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3.1-70b-instruct" sheetId="7" r:id="rId10"/>
    <sheet state="hidden" name="__flatlist__" sheetId="8" r:id="rId11"/>
    <sheet state="visible" name="📚 Glossary" sheetId="9" r:id="rId12"/>
    <sheet state="visible" name="✏️ Notes" sheetId="10" r:id="rId13"/>
    <sheet state="hidden" name="__lookup__" sheetId="11" r:id="rId14"/>
  </sheets>
  <definedNames>
    <definedName hidden="1" localSheetId="0" name="_xlnm._FilterDatabase">Summary!$A$1:$K$25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12">
      <text>
        <t xml:space="preserve">model inserted correct external knowledge (underlined); should this be considered an error for consistency as are hallucinations? I'd say no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<sst xmlns="http://schemas.openxmlformats.org/spreadsheetml/2006/main" count="617" uniqueCount="194">
  <si>
    <t>ID</t>
  </si>
  <si>
    <t>Model</t>
  </si>
  <si>
    <t>Prompt</t>
  </si>
  <si>
    <t>wc</t>
  </si>
  <si>
    <t>Coherence</t>
  </si>
  <si>
    <t>Consistency</t>
  </si>
  <si>
    <t>Fluency</t>
  </si>
  <si>
    <t>Relevance</t>
  </si>
  <si>
    <t>5W1H</t>
  </si>
  <si>
    <t>avg</t>
  </si>
  <si>
    <t>rank</t>
  </si>
  <si>
    <t>coh</t>
  </si>
  <si>
    <t>cons</t>
  </si>
  <si>
    <t>fluen</t>
  </si>
  <si>
    <t>rel</t>
  </si>
  <si>
    <t>Human</t>
  </si>
  <si>
    <t>Heading</t>
  </si>
  <si>
    <t>Jeremy</t>
  </si>
  <si>
    <t>Begoña</t>
  </si>
  <si>
    <t>Naiara</t>
  </si>
  <si>
    <t>Claude Sonnet 3.5</t>
  </si>
  <si>
    <t>Base</t>
  </si>
  <si>
    <t>CoT</t>
  </si>
  <si>
    <t>tldr</t>
  </si>
  <si>
    <t>Command R+</t>
  </si>
  <si>
    <t>GPT 4o</t>
  </si>
  <si>
    <t>Reka Core</t>
  </si>
  <si>
    <t>Llama-3.1-70b-instruct</t>
  </si>
  <si>
    <t>AVERAGE</t>
  </si>
  <si>
    <t>STDEV</t>
  </si>
  <si>
    <t>Text</t>
  </si>
  <si>
    <t>Author</t>
  </si>
  <si>
    <t>Summary</t>
  </si>
  <si>
    <t>www.berria.eus/euskal-herria/ehunka-herritarrek-etxebarriko-sexu-erasoa-salatu-dute_2126343_102.html</t>
  </si>
  <si>
    <t>Emakume batek sexu eraso bat jasan zuela salatu zuen atzo goizaldean, Etxebarrin (Bizkaia). Herriko jaiak ospatzen ari dira, eta kalean jarri ohi dituzten komunetan jazo zen erasoa. Etxebarriko Udalak bertan behera utzi zituen atzorako antolatuta zeuden ekitaldi guztiak. Udalak, sanantonioetako jai batzordeak eta txosnek elkarretaratzea egin dute Zintururi plazan, eta ehunka herritar bildu dira 'Erasorik ez, erantzunik gabe' lelopean. Ertzaintzak ikerketa abiatu du, eta ez dute inor atxilotu.
«Gure jaiak elkartzeko eta dibertitzeko guneak dira, eta gozatu nahi duten pertsona guztiak gonbidatzen ditugu, betiere askatasuna eta bizikidetza errespetatuz. Mezu hau ulertzen ez duten eta bestelako helburuak dituzten pertsonak ez dira ongi etorriak», adierazi du udalak ohar bidez.</t>
  </si>
  <si>
    <r>
      <rPr>
        <rFont val="Arial"/>
        <color rgb="FFFF0000"/>
        <sz val="9.0"/>
      </rPr>
      <t>Ehunka herritarrek</t>
    </r>
    <r>
      <rPr>
        <rFont val="Arial"/>
        <color theme="1"/>
        <sz val="9.0"/>
      </rPr>
      <t xml:space="preserve"> </t>
    </r>
    <r>
      <rPr>
        <rFont val="Arial"/>
        <color rgb="FFFF9900"/>
        <sz val="9.0"/>
      </rPr>
      <t>Etxebarriko</t>
    </r>
    <r>
      <rPr>
        <rFont val="Arial"/>
        <color theme="1"/>
        <sz val="9.0"/>
      </rPr>
      <t xml:space="preserve"> </t>
    </r>
    <r>
      <rPr>
        <rFont val="Arial"/>
        <color rgb="FF38761D"/>
        <sz val="9.0"/>
      </rPr>
      <t>sexu erasoa salatu dute</t>
    </r>
    <r>
      <rPr>
        <rFont val="Arial"/>
        <color theme="1"/>
        <sz val="9.0"/>
      </rPr>
      <t xml:space="preserve">. </t>
    </r>
    <r>
      <rPr>
        <rFont val="Arial"/>
        <color rgb="FF38761D"/>
        <sz val="9.0"/>
      </rPr>
      <t>Elkarretaratzea egin dute</t>
    </r>
    <r>
      <rPr>
        <rFont val="Arial"/>
        <color theme="1"/>
        <sz val="9.0"/>
      </rPr>
      <t xml:space="preserve"> </t>
    </r>
    <r>
      <rPr>
        <rFont val="Arial"/>
        <strike/>
        <color theme="1"/>
        <sz val="9.0"/>
      </rPr>
      <t>17:00etan</t>
    </r>
    <r>
      <rPr>
        <rFont val="Arial"/>
        <color theme="1"/>
        <sz val="9.0"/>
      </rPr>
      <t xml:space="preserve">, </t>
    </r>
    <r>
      <rPr>
        <rFont val="Arial"/>
        <color rgb="FFFF9900"/>
        <sz val="9.0"/>
      </rPr>
      <t>Zintururi plazan</t>
    </r>
    <r>
      <rPr>
        <rFont val="Arial"/>
        <color theme="1"/>
        <sz val="9.0"/>
      </rPr>
      <t xml:space="preserve">. </t>
    </r>
    <r>
      <rPr>
        <rFont val="Arial"/>
        <color rgb="FFFF0000"/>
        <sz val="9.0"/>
      </rPr>
      <t>Ertzaintzak</t>
    </r>
    <r>
      <rPr>
        <rFont val="Arial"/>
        <color theme="1"/>
        <sz val="9.0"/>
      </rPr>
      <t xml:space="preserve"> </t>
    </r>
    <r>
      <rPr>
        <rFont val="Arial"/>
        <color rgb="FF38761D"/>
        <sz val="9.0"/>
      </rPr>
      <t>ikerketa abiatu du</t>
    </r>
    <r>
      <rPr>
        <rFont val="Arial"/>
        <color theme="1"/>
        <sz val="9.0"/>
      </rPr>
      <t>, eta ez dute inor atxilotu.</t>
    </r>
  </si>
  <si>
    <t>Emakume batek sexu eraso bat jasan zuen atzo Etxebarrin, herriko jaietan kalean jarri ohi dituzten komunetan. Etxebarriko Udalak bertan behera utzi zituen antolatutako ekintza gutztiak eta sexu erasoen kontrako elkarretaratzea egin zuen, jaietako beste antolatzaileekin batera. Ertzaintzak ikerketa hasi du.</t>
  </si>
  <si>
    <t>Emakume batek jaietan jartzen diren kaleko komunetan sexu eraso bat jasan zuela salatu zuen atzo goizaldean, Etxebarrin (Bizkaia). Udalak bertan behera utzi zituen atzorako antolatuta zeuden ekitaldi guztiak eta sanantonioetako jai batzordearekin eta txosnekin elkarretaratzea egin du Zintururi plazan, ehunka herritar bilduz. Ertzaintzak ikerketa abiatu du, baina ez du inor atxilotu. Udalak ohar bidez adierazi du jaiak elkartzeko eta dibertitzeko guneak direla, betiere askatasuna eta bizikidetza errespetatuz, eta mezu hau ulertzen ez dutenak ez direla ongi etorriak.</t>
  </si>
  <si>
    <t xml:space="preserve">Etxebarriko jaietan, kalean jarritako komunetan sexu eraso bat jasan zuela salatu zuen emakume batek atzo goizaldean. Ertzaintzak ikerketa abiatu du, baina oraindik ez dute inor atxilotu. Erasoaren ondorioz, Etxebarriko Udalak atzoko ekitaldi guztiak bertan behera utzi zituen, eta ehunka herritar bildu dira Zintururi plazan egindako elkarretaratzean, "Erasorik ez, erantzunik gabe" lelopean. </t>
  </si>
  <si>
    <t>https://www.berria.eus/euskal-herria/erramun-baxok-ohorezko-euskaltzaina-zendu-da_2126101_102.html</t>
  </si>
  <si>
    <t>Euskaltzaindiak jakinarazi du Erramun Baxok ohorezko euskaltzainak azken hatsa eman duela; 96 urte zituen. Filosofian doktorea zen Baxok, eta irakasle eta ikerlari gisa aritu izan da lanean. Euskal Herriko mundu pedagogikoan, soziolinguistikoan eta kulturalean inplikatua izan da. Pizkundean eta Euskal Konfederazioan parte hartu zuen, eta Euskal Kultur Erakundearen buru izan zen 1990etik 2005era. Euskaltzaindiak ohorezko kide izendatu zuen 2010ean. «Euskaltzain jakintsua, euskararen geroaz kezkatuta beti, eta soziolinguistikan goren mailako aditua» zela oroitu du Andres Urrutia euskaltzainburuak.
Suhuskunen (Nafarroa Beherea) sortu zen Baxok, 1928an, sei haurrideko familia batean. Gurasoak euskaldun elebakarrak zituen, eta frantsesezko hitz gutxi zekizkiela hasi zen herriko eskola publikoan, sei urterekin. «Eskolan dena frantsesez egiten genuen, errientsa euskalduna zelarik». Euskaltzaleen Biltzarrarekin harremana izan zuen, baina bere baitarik landu zuen euskara nagusiki, Piarres Lafitteren hiztegiarekin, eta gerora Xarles Bidegainekin. Terexa Lekunberrik elkarrizketatu zuen 2010ean, Ipar Euskal Herriko ahozko memoria biltzea helburu duen Mintzoak proiektuarentzat, eta orduan kontatu zuen oroitzapen hori.
Seminarioan egin zituen ikasketak, Landetan, Bretainian eta Frantzian; unibertsitateko ikasketen ondotik, Filosofiako lizentzia eskuratu zuen 1953an. Apaiza eta filosofia irakaslea izan zen 1967 arte.
Gerora, Renee Samsonekin ezkondu, eta 1968tik 1978ra Quebecen bizi izan ziren. Han sortu ziren haien hiru haurrak. Ikasketekin segitu zuen Quebecen, eta pertsonalismoari buruzko doktoretza aurkeztu zuen 1976an. Soziolinguistikari buruzko ikasketak egin zituen ondotik, Elebitasunari Buruzko Ikerketen Nazioarteko Zentroan (CIRB).
Euskal Herrira itzuli zenean, hizkuntzalaritza aplikatua irakasten aritu zen, baina Quebecen eskolak ematen ere segitu zuen. Euskal Herriko proiektu anitzetan hartu zuen parte, hala nola Ikas pedagogia zentroan: Euskaraz Bizi multimedia metodoa sortzen aritu zen. Euskararen eta euskal kulturaren jardunaldietan parte hartu zuen, eta Pizkundea elkarteko eta Euskal Konfederazioko zuzendaritzako kide izan zen. 1991tik 2011 bitartean, bost urtean behin egin ziren inkesta soziolinguistikoetan parte hartu zuen.
Soziolinguistikan ekarpena
1995 eta 2000 bitartean, hizkuntzaren antolaketa eskemaren idazketan parte hartu zuen Baxokek, Euskal Herriko Garapen Kontseiluan. Halaber, EKE Euskal Kultur Erakundeko eta Euskararen Erakunde Publikoko soziolinguistika aholkularia zen, eta Euskaltzaindiko euskararen sustapen saileko kide aktiboa. 2005ean, EKE utzi zuenenean, Erramuzpek hartu zuen Baxoken segida lehendakaritzan. Eskerrak eman nahi izan dizkio, «kuraia eta konfiantza» handia eman ziolako. «Jendekina zen biziki, eta jakintsu handia zen enetzat», oroitu du.
Soziolinguistika arloan egin zuen ekarpena azpimarratu du Xarles Bidegain euskaltzainak. «Quebecen hizkuntzaren inguruan egiten zuten lana ikertu zuen, eta hona ekarri zuen». Erran du hizkuntza politika bat zutik ezartzeko «ikuspegia» ekarria zuela Baxokek, «euskara ez zela norberaren problema, problema publikoa baizik». Gauza bera nabarmendu du Mikel Erramuzpek ere: «Ekarpen ikaragarria egin zuen: Quebeceko kontzeptuak eta irakurketak ekarri zituen Euskal Herrira. Guk ez genekizkien gauza horiek. Euskararen alde ginen, bai, baina nola funtzionatzen du hizkuntza batek gizarte batean? Hori ekarri zuen Baxokek».
X sarean zabaldutako mezu batean, Soziolinguista Klusterrak jakinarazi du Baxokek egindako proposamenetatik abiatu zirela Klusterraren sorrerarako lehen hausnarketak. «Euskal Herrian Quebecen ezagututakoen antzeko soziolinguistika ikergune bat sortzeko beharra azaleratu zuen». Hogei urte beteko ditu aurten Soziolinguistika Klusterrak.
«Langile porrokatua» izan zela adierazi du EKEk, sareetan zabaldutako mezu batean, eta doluminak adierazi dizkio familiari. Euskalgintzaren Kontseiluak besarkada estua helarazi die «bidelagun» izan zutenaren adiskide eta senideei. «Herriak militante bat galdu du. Milesker euskararen alde egindako lan guziagatik», adierazi du EH Baik. «Euskararen aldeko defendatzaile nekaezina» omendu du EAJk.
BERRIAk elkarrizketa egin zion 2013an, BERRIAlaguna kanpainaren harira. Euskarazko hedabidea laguntzeko beharraz aritu zen: «Lehenik Euskaldunon Egunkaria, eta gero BERRIA; beti irakurri ditut biak. Ideia nuen BERRIAri ez zitzaiola gertatu behar Egunkaria-ri gertatu zitzaiona, ez behintzat gure faltagatik».</t>
  </si>
  <si>
    <r>
      <rPr>
        <rFont val="Arial"/>
        <color rgb="FFFF0000"/>
        <sz val="9.0"/>
      </rPr>
      <t>Erramun Baxok ohorezko euskaltzaina</t>
    </r>
    <r>
      <rPr>
        <rFont val="Arial"/>
        <color theme="1"/>
        <sz val="9.0"/>
      </rPr>
      <t xml:space="preserve"> </t>
    </r>
    <r>
      <rPr>
        <rFont val="Arial"/>
        <color rgb="FF38761D"/>
        <sz val="9.0"/>
      </rPr>
      <t>zendu da</t>
    </r>
    <r>
      <rPr>
        <rFont val="Arial"/>
        <color theme="1"/>
        <sz val="9.0"/>
      </rPr>
      <t>. Mundu pedagogikoan, soziolinguistikoan eta kulturalean inplikatua izan da. Euskal Kultur Erakundeko lehendakari izan zen 1990etik 2005era.</t>
    </r>
  </si>
  <si>
    <t>Erramun Baxok (Suhuskune, Nafarroa Behera, 1928), ohorezko euskaltzaina, zendu da, 96 urte zituela. Baxokek Euskal Herriko mundu pedagogikoan, soziolinguistikoan eta kulturalean inplikazio handia zuen. Doktoregoa filosofian egin ostean, Euskal Herriko eta Quebeceko hainbat lekutan ibili zen irakasten eta ikertzen, bere familiak lagunduta. Hainbat adituren iritziz, soziolinguistika arloan egin zuen ekarpenik handiena, Quebeceko hizkuntza ereduak Euskal Herrira ekarrita.</t>
  </si>
  <si>
    <t>Euskaltzaindiak jakinarazi duenez, Erramun Baxok (Suhuskune, Nafarroa Beherea, 1928) ohorezko euskaltzaina hil da 96 urterekin. Filosofian doktorea zen Baxok, eta irakasle eta ikerlari gisa aritu zen lanean, Quebecen lehenik eta Euskal Herrian ondoren. Filosofiako lizentzia eskuratu zuen 1953an eta apaiz eta filosofia irakasle aritu zen 1967 arte. Gerora, Renee Samsonekin ezkondu, eta Quebecen jarraitu zuen ikasten eta irakasten. Ondoren, Euskal Herriko mundu pedagogikoan, soziolinguistikoan eta kulturalean inplikatu zen: Pizkundean eta Euskal Konfederazioan parte hartu zuen, eta Euskal Kultur Erakundearen buru izan zen 1990etik 2005era. Soziolinguistikan egin zuen ekarpena azpimarratu du Xarles Bidegain euskaltzainak. Quebecen soziolinguistikari buruzko ikasketak egin zituen Elebitasunari Buruzko Ikerketen Nazioarteko Zentroan (CIRB) eta Euskal Herrira euskara problema publikoa zelako ideia ekarri zuen. Era berean, Soziolinguista Klusterrak jakinarazi du Baxokek egindako proposamenetatik abiatu zirela Klusterraren sorrerarako lehen hausnarketak.
Euskalgintzaren Kontseiluak, EH Baik eta EAJk ere Baxoken figura goraipatu eta omendu dute sare sozialetan eta BERRIAk 2010ean egindako elkarrizketan agertutako euskarazko hedabidea laguntzeko beharra gogoratu du.</t>
  </si>
  <si>
    <t>Erramun Baxok, ohorezko euskaltzaina, filosofoa eta soziolinguistika arloan aditua, 96 urterekin hil da. Quebecen soziolinguistikaren inguruko ikasketak egin ondoren, haren kontzeptuak Euskal Herrira ekarri eta arloaren garapenean ekarpen nabarmena egin zuen. Adibidez, hizkuntzaren antolaketa eskemaren idazketan parte hartu zuen Euskal Herriko Garapen Kontseiluan, EKE Euskal Kultur Erakundeko eta Euskararen Erakunde Publikoko soziolinguistika aholkularia zen, eta Euskaltzaindiko euskararen sustapen saileko kide aktiboa. Baxokek egindako proposamenetatik abiatu ziren ere Soziolinguista Klusterrak sorrerarako lehen hausnarketak.</t>
  </si>
  <si>
    <t>https://www.berria.eus/euskal-herria/etxelekuren-kargugabetzea-kritikatu-dute-errobiko-bederatzi-hautetsik_2125690_102.html</t>
  </si>
  <si>
    <t>Errobiko bederatzi hautetsik agiria zabaldu dute Peio Etxelekuri lurralde eremuko ordezkaritza kendu izana kritikatzeko. Etxelekuren kontra jo zuten sei auzapezen jarrera salatu dute, eta ez dute ontzat eman Jean Rene Etxegarai Euskal Hirigune Elkargoko lehendakariak kargua kentzeko erabakia hartu izana, lurralde eremuko batzordea «informatu eta kontsultatu gabe».
Ikusi gehiago
Hauek dira adierazpena izenpetu duten hautetsiak: Yannick Bassier eta Emmanuelle Dallet (Basusarri), Denise Cedarry, Mikel Goienetxe, Erik Mailharrancin eta Françoise Gallois (Uztaritze), Laetitia Croc eta Nicole Etxamendi (Itsasu), eta Argitxu Hiriart Urruti. Mikel Hiribarren Itsasuko auzapezak ere izenpetu du testua —ez du lurralde eremuan parte hartzen—.
Sei auzapezek Etxelekuren kontra gutun bat idaztearen «printzipioa» bera salatu dute hautetsi izenpetzaileek, eta baita Etxegarairen «presakako eta errekurtsorik gabeko» erabakia ere. «Lurralde eremuko 11 auzapezetatik seik sinatzea gehiengo eskasa da. Hiru auzapezek ez dute gutuna izenpetzea onartu, eta beste biei ez zaie jakinarazi ere egin», gaineratu dute.
Izenpetzaileen hitzetan, lehendakariak «berehala» kendu dio ordezkaritza Etxelekuri, «haren argudioak entzun gabe, eta sinatzaile ez diren auzapezen jarrera ezagutzen saiatu gabe». Horrez gain, azpimarratu dute lurralde eremua «informatu eta kontsultatu» gabe jardun dela.
Euskal Hirigune Elkargoko gobernantza itunaren kontrakoa da hori, hautetsien iritziz. Izan ere, bertan idatzia da lurralde eremuak egindako proposamenetan oinarrituko dela lehendakaria eremu bakoitzeko ordezkariak izendatzeko. «Lurralde batzordeko kideak izan dira, haien artean kargu hori zuten auzapezak, beren erreferentearen proposamenaren alde bozkatu dutenak eta, ondorioz, beren burua zilegitzat jotzen dutenak balioesteko ea erreferenteak bere eginkizuna behar bezala betetzen ote duen».
Hautetsiek erran dute ez dutela «onartzen» gertatu dena, eta eskatu dute gobernantza itunean «zehaztua eta berriz aztertua» izan dadila lurralde batzordeetako kideek duten «rola eta zilegitasuna».
Lurralde eremuetako batzordeak
2020ko agintaldia hasterako sortu zituzten lurralde eremuetako batzordeak Euskal Hirigune Elkargoan. Erakundea sortu aitzin ziren hamar herri elkargoen perimetroak hautatu zituzten. Elkarrizketa eta eztabaidarako eremuak dira, hirigune elkargoan aztergai dituzten gaiak lantzeko. Errobiko lurralde eremuan, Lapurdi barnealdeko 11 herri daude: Arrangoitze, Basusarri, Larresoro, Zuraide, Ezpeleta, Itsasu, Luhuso, Kanbo, Haltsu, Jatsu eta Uztaritze. 35 hautetsik parte hartzen dute; batzuk herriko bozetan elkargoko hautetsi izendatu zituzten, eta gainerakoak herriko kontseiluetan izendatu zituzten. Errobiko zortzi auzapez dira lurralde batzordeko kide; gainerako hirurek herriko beste hautetsi baten esku utzi dute funtzioa.</t>
  </si>
  <si>
    <r>
      <rPr>
        <rFont val="Arial"/>
        <color rgb="FF38761D"/>
        <sz val="9.0"/>
      </rPr>
      <t>Etxelekuren kargugabetzea kritikatu dute</t>
    </r>
    <r>
      <rPr>
        <rFont val="Arial"/>
        <color theme="1"/>
        <sz val="9.0"/>
      </rPr>
      <t xml:space="preserve"> </t>
    </r>
    <r>
      <rPr>
        <rFont val="Arial"/>
        <color rgb="FFFF0000"/>
        <sz val="9.0"/>
      </rPr>
      <t>Errobiko bederatzi hautetsik</t>
    </r>
    <r>
      <rPr>
        <rFont val="Arial"/>
        <color theme="1"/>
        <sz val="9.0"/>
      </rPr>
      <t xml:space="preserve">. </t>
    </r>
    <r>
      <rPr>
        <rFont val="Arial"/>
        <color rgb="FF38761D"/>
        <sz val="9.0"/>
      </rPr>
      <t>Etxegarai lehendakariaren egiteko moldea gaitzetsi dute, eta adierazi dute ez duela errespetatu elkargoaren gobernantza ituna</t>
    </r>
    <r>
      <rPr>
        <rFont val="Arial"/>
        <color theme="1"/>
        <sz val="9.0"/>
      </rPr>
      <t>.</t>
    </r>
  </si>
  <si>
    <t>Errobiko bederatzi hautetsik agiri bat zabaldu dute Peio Etxelekuri lurralde eremuko ordezkaritza kendu izana kritikatzeko. Izan ere, lurralde eremuko 11 auzapezetatik seik Jean Rene Etxegarai Euskal Hirigune Elkargoko lehendakariari gutun bat bidali zioten Etxelekuri kargua kentzeko eskatuz eta honek erabakia hartu omen zuen beste bost auzapezei kontsulatu eta informatu gabe eta Etxelekuri bere burua defendatzeko aukera eman gabe. Erabakia kritikatzeaz gain, bederatzi izenpetzaileek eskatzen dute lurralde batzordeetako kideek duten rola eta zilegitasuna berriz aztertzeko.</t>
  </si>
  <si>
    <t>Errobiko bederatzi hautetsik (Yannick Bassier eta Emmanuelle Dallet (Basusarri), Denise Cedarry, Mikel Goienetxe, Erik Mailharrancin eta Françoise Gallois (Uztaritze), Laetitia Croc eta Nicole Etxamendi (Itsasu), eta Argitxu Hiriart Urruti) agiria zabaldu dute Peio Etxelekuri Euskal Hirigune Elkargoan lurralde eremuko ordezkaritza kendu izana kritikatzeko. Lurralde eremuko 11 auzapezetatik seik Etxelekuren kontra gutun bat idaztearen "printzipioa" bera salatu dute, eta gehiengo eskasa dela adierazi dute. Halaber, ez dute ontzat eman Jean Rene Etxegarai Euskal Hirigune Elkargoko lehendakariak kargua kentzeko erabakia hartu izana, Etxelekuren argudioak eta sinatzaile ez diren auzapezen jarrera ezagutzen saitu gabe eta lurralde eremua "informatu eta kontsultatu gabe jardun baitu.
Euskal Hirigune Elkargoko gobernantza itunaren kontrakoa da jokabide hori, hautetsien iritziz, bertan idatzia baita lurralde eremuak egindako proposamenetan oinarrituko dela lehendakaria eremu bakoitzeko ordezkariak izendatzeko. Gobernantza itunean lurralde batzordeetako kideek duten "rola eta zilegitasuna" zehaztu eta berraztertu dadila ere eskatu dute.</t>
  </si>
  <si>
    <t xml:space="preserve">Errobiko bederatzi hautetsik Peio Etxelekuri lurralde eremuko ordezkaritza kendu izana salatu eta erabakia onartzen ez dutela esan dute. Izan ere, Jean Rene Etxegarai lehendakariak erabakia lurralde eremua informatu eta kontsultatu gabe hartu du. Hautetsien ustez, Euskal Hirigune Elkargoko gobernantza itunaren kontrakoa da hori. Gainera, nabarmendu dute argudioak aurkezteko aukera ere ukatu zaiola Etxelekuri, eta gehiengo eskas batek izenpetu duela gutuna. Ondorioz, gobernantza ituna berrikustea eskatu dute, lurralde batzordeetako kideen rola eta zilegitasuna argitzeko. </t>
  </si>
  <si>
    <t>https://www.berria.eus/euskal-herria/itziar-lakari-eman-diote-eusko-ikaskuntzaren-saria_2125317_102.html</t>
  </si>
  <si>
    <t>Eusko Ikaskuntzak iragarri duenez, Itziar Lakari emango diote Eusko Ikaskuntza-Laboral Kutxaren Humanitateen, Kulturaren, Arteen eta Gizarte Zientzien Saria. Nabarmendu dutenez, Lakak «ekarpen berritzaileak» egin ditu euskararen garapenerako eta «hizkuntza gaitasunak gobernatzen dituzten mekanismoetan» sakontzeko: «Ekarpen nabarmena egin du euskararen eta Euskal Herriko garapen zientifikoaren eta kulturalaren inguruan».
Laka Getxon sortua da (Bizkaia), 1962an, eta hizkuntzalaria. Eusko Ikaskuntzak nabarmendu duenez, hizkuntzalaritza esperimentala eta neurohizkuntzalaritza lantzen dituen lehenengo ikerketa taldea sortu zuen 2010ean. Halaber, hainbat proiekturen ikertzaile nagusi izan da, eta zenbait unibertsitatetan irakasle ere aritu da. Epaimahaiak Lakak egindako ibilbidea saritu du: «Eredu handia izan da, gazteen artean ere, euskara goreneko maila zientifikoan jarriz, metodologia berriak baliatuz, punta-puntako ikerketekin landuz, egun berebiziko garrantzia duten alorrak jorratuz».
Ibilbide horretan, epaimahaiaren ustez, «funtsezko dimentsioa» izan da euskara unibertsitatean eta gizartean sustatzea. Gaur egun, Euskara Sustatzeko Zuzendaritzako buru da EHU Euskal Herriko Unibertsitateko EuskaraREN, KulturaREN eta Nazioartekotzearen arloko errektoreordetzan, eta, EHUko Euskara Institutuarekin lankidetzan, hizkuntzalaritza lan klasikoen itzulpena sustatu du. Gainera, adierazi dute Lakak «lan itzela» egin duela zientziaren eta zientzia kulturaren zabalpenean: «Elebitasunaren inguruan egon diren mito batzuk ebidentzia zientifikoaren bitartez bertan behera utzi ditu, eta, euskarari ez ezik, hizkuntzalaritzari bere osotasunean ere ekarpen nabaria eta agerikoa egin».</t>
  </si>
  <si>
    <t>Itziar Lakari eman diote Eusko Ikaskuntzaren saria. Eusko Ikaskuntzaren irudiko, «ekarpen nabarmena» egin du euskararen eta Euskal Herriko garapen zientifikoaren eta kulturalaren inguruan. Horregatik emango diote Eusko Ikaskuntzako Humanitateen, Kulturaren, Arteen eta Gizarte Zientzien Saria.</t>
  </si>
  <si>
    <t>Eusko Ikaskuntzak Itziar Lakari emango dio Eusko Ikaskuntza-Laboral Kutxaren Humanitateen, Kulturaren, Arteen eta Gizarte Zientzien Saria, euskararen eta Euskal Herriko garapen zientifiko eta kulturalaren inguruko ekarpenengatik. Halaber, azpimarratu dute euskara unibertsitatean eta gizartean sustatzeaz gain, Lakak hizkuntzalaritza arloan egindako ekarpen zientifikoak garrantzi handikoak izan direla, hala nola, elebitasunaren inguruan egon diren mito batzuk zientifikoki gezurtatzea.</t>
  </si>
  <si>
    <t>Eusko Ikaskuntzak iragarri du Itziar Lakari (Getxo, Bizkaia, 1962) emango diotela Eusko Ikaskuntza-Laboral Kutxaren Humanitateen, Kulturaren, Arteen eta Gizarte Zientzien Saria, euskararen garapenerako eta "hizkuntza gaitasunak gobernatzen dituzten mekanismoetan" sakontzeko egindako lanagatik. 
Laka hizkuntzalaria da eta hizkuntzalaritza esperimentala eta neurohizkuntzalaritza lantzen dituen lehenengo ikerketa taldea sortu zuen 2010ean eta gaur egun, Euskara Sustatzeko Zuzendaritzako buru da EHU Euskal Herriko Unibertsitateko Euskararen, Kulturaren eta Nazioartekotzearen arloko errektoreordetzan. Epaimahaiak Lakak egindako ibilbidea saritu du, eredu handia izan baita, baita gazteen artean ere. Izan ere, proiektuetako ikertzaile nagusi gisa eta unibertsitateko irakasle gisa euskara unibertistatean eta gizartean sustatu du eta "elebitasunaren inguruan egon diren mito batzuk ebidentzia zientifikoaren bitartez bertan behera utzi ditu, eta, euskarari ez ezik, hizkuntzalaritzari bere osotasunean ere ekarpen nabaria eta agerikoa egin" dio.</t>
  </si>
  <si>
    <t>Itziar Lakak jasoko du Eusko Ikaskuntza-Laboral Kutxaren Humanitateen, Kulturaren, Arteen eta Gizarte Zientzien Saria. Lakak hizkuntzalaritza esperimentala eta neurohizkuntzalaritza lantzen dituen lehenengo ikerketa taldea sortu zuen 2010ean. Gaur egun, Euskara Sustatzeko Zuzendaritzako buru da EHUko Euskara, Kultura eta Nazioartekotzearen arloko errektoreordetzan. Epaimahaiak nabarmendu duenez, «ekarpen berritzaileak» egin ditu euskararen garapenerako eta eredu handia izan da, euskara goreneko maila zientifikoan jarriz. Adibidez, elebitasunaren inguruan egon diren mito batzuk ebidentzia zientifikoaren bitartez bertan behera utzi ditu. Oro har, ageriko ekarpenak egin dizkio bai euskarari, bai hizkuntzalaritzari bere osotasunean.</t>
  </si>
  <si>
    <t>https://www.berria.eus/euskal-herria/sexu-indarkeriaren-biktimentzako-zentro-bat-zabaldu-dute-araban_2124914_102.html</t>
  </si>
  <si>
    <t>Sexu indarkeria jasaten duten emakumeei arreta integrala emateko zentro bat zabaldu du Arabako Foru Aldundiak. «Krisi eta larrialdi egoeretan» artatuko dituzte andreak, egunean 24 orduz eta urtean 365 egunez, aurrez aurre, telefonoz zein online. Apirilaren 19tik dago martxan Tximeletak zentroa, Gasteizko erdigunean, baina ez dute zehaztu non dagoen, erabiltzaileen konfidentzialtasuna bermatze aldera. Sexu bortizkeria nozitu duten emakumeei eta haien gertukoei arreta integrala emateko ireki dute gunea, eta biktimen lehengoratze psikologikoa sustatuko du, laguntza sozial eta juridikorako tresnak haien esku jarrita.
Gorka Urtaran Gizarte Politiketarako diputatuak eta Maika Diez Bermejo Esku Hartze Sozialeko zuzendariorde teknikoak eman dituzte zentro berriaren xehetasunak. Biktimak babesteko, laguntzeko eta osatzeko lan egingo dute zentroan, eta gainerako arreta zerbitzuekin koordinatuta arituko dira, bortizkeriaren biktimak bertara bideratu ditzaten. Baina andrazkoek euren kabuz ere jo dezakete hara, bai telefonoz (650-80 10 80), bai posta elektronikoz ([email protected]), bai webgunearen bidez (www.tximeletak24h.araba.eus).
Sexu indarkeriaren biktimei arreta osoa emate aldera, Hego Euskal Herriko herrialde guztietan zabaldu behar dute horrelako zentro bat, Istanbulgo Hitzarmenak eta soilik baietz da baietz legeak hala zehaztuta. Jada zentro bat zabaldua dute Nafarroan, baita Bizkaian ere —beste bat irekitzea aurreikusi dute han—, eta hiru irekiko dituzte Gipuzkoan.
Urtaranek esplikatu du indarrean den legediak zehazten duela sexu indarkeria giza eskubideen urraketa «larria» eta «egiturazkoa» dela, baina maiz «ezkutuan» dagoela. Hala, ireki berri duten zentroan, diziplina askotako profesional talde batek aurrez aurreko laguntza eskainiko dio biktimari krisi eta larrialdi egoeretan, arreta psikologikoa eta aholkularitza juridikoa barne.
Beharrezkoa bada, biktimari laguntza eskainiko diote Osakidetzako larrialdietara edo lehen mailako arretara jotzeko, salaketa jartzeko edota bere gertuko senide edo lagunekin elkartzeko. Biktimen detekzioan, prebentzioan eta arretan lan egiten duten eragile guztien koordinazioa bermatuko dute hala: harrera eta komunikazio protokoloak landu dituzte Ertzaintzarekin, Osakidetzarekin, Justiziarekin, Emakunderekin eta beste gizarte zerbitzuekin.
«Sexu indarkeria giza eskubideen urraketa larria eta egiturazkoa da, baina, maiz, ezkutuan dago».
GORKA URTARANArabako Gizarte Politiketako diputatua
Sexu bortizkeria noiznahi jasan duten emakumeek jo dezakete zentrora, 18 urte baino gehiago badituzte edo adingabe emantzipatuak badira, eta ez da beharrezkoa aurrez salaketa jarria izatea. Artatuak izango dira sexu-indarkeria molde guztiak pairatu dituzten andrazkoak, hala nola sexu erasoak, jazarpena, sexu konnotazioa duen jazarpena, eremu digitaleko sexu indarkeria eta sexu indarkeriarekin lotutako hilketak.
Biktimentzako «abaroa»
Biktimen «lehengoratze integrala» sustatuko dute bertan, besteak beste informazioa, aholkularitza eta arreta soziala, juridikoa eta psikologikoa eskainita. Indarkeria sexualaren ondorioen aurkako estrategia baten barruan lan egingo dute, helburua baita biktimaren erreparazioa lortzea, emakume kaltetuek bizitako esperientzia traumatikoen ondoren euren bizitzarekin jarraitu ahal izan dezaten.
«Sexu eraso batek shock egoera bat sortzen du, eta esku hartzea ezinbestekoa da, trauma bihurtu ez dadin», azaldu du Urtaranek. Biktimentzako «abaro» izan nahi du zentroak, «babestuta, zainduta eta onartuta» sentitu daitezen, eta haien testigantzei sinesgarritasuna emango zaie, haien «birbiktimizazioa» saihesteko. Mezu horretan jarri du indarra Diezek: «Gure premisa zera da: sinesten dizugu, entzuten dizugu, eta lagunduko dizugu».
Ia laurehun metro koadroko lokala atondu dute hiriaren erdigunean, biktimak «babestuta, zainduta eta onartuta» egon daitezen. Biktimei arreta emateko bulegoak, patio bat, eta hitzaldietarako eta prestakuntzarako gelak ditu. Zentroa Europako Batasunaren Next Generation funtsekin eraiki dute; denera, 1,4 miloi euro. Kudeaketa gastuak bere gain hartuko ditu Arabako Foru Aldundiak, eta datozen bi urteetan milioi bat euro bideratuko dizkio egitasmoari.
1092023an zenbat biktima Araban. 2023. urtean sexu askatasunaren aurkako delituen biktima izan ziren 109 emakume artatu zituzten Hegoak foru zerbitzuan. Kasu horiekin batera, zuzeneko biktimak izan ziren 23 adingaberi eta 45 senideri ere arreta eskaini zieten. Orain arte Hegoak erakundeak artatu dituen sexu indarkeriaren biktimak hartuko ditu aurrerantzean Tximeletak krisi zentroak. Emakunderen datuen arabera, 2023an 92 emakumek aurkeztu zuten salaketa Araban sexu askatasunaren aurkako delituengatik. Aurtengo lehen hiruhilekoan sexu indarkeriagatiko 19 salaketa erregistratu dira, iazko aldi berean zenbatutakoak halako lau.</t>
  </si>
  <si>
    <r>
      <rPr>
        <rFont val="Arial"/>
        <color rgb="FF38761D"/>
        <sz val="9.0"/>
      </rPr>
      <t>Sexu indarkeriaren biktimentzako zentro bat zabaldu dute</t>
    </r>
    <r>
      <rPr>
        <rFont val="Arial"/>
        <color theme="1"/>
        <sz val="9.0"/>
      </rPr>
      <t xml:space="preserve"> </t>
    </r>
    <r>
      <rPr>
        <rFont val="Arial"/>
        <color rgb="FFFF9900"/>
        <sz val="9.0"/>
      </rPr>
      <t>Araban</t>
    </r>
    <r>
      <rPr>
        <rFont val="Arial"/>
        <color theme="1"/>
        <sz val="9.0"/>
      </rPr>
      <t>. Bortxa sexuala jasan duten andreei arta «integrala» ematea du helburu, «krisi eta larrialdi egoeretan».</t>
    </r>
  </si>
  <si>
    <t xml:space="preserve">Zentro berri bat zabaldu du Arabako Foru Aldundiak sexu indarkeria jasaten duten emakumeei eta haien gertukoei arreta integrala emateko. Halaber, Tximeletak zentroa izango du izena eta egunean 24 orduz eta urtean 365 egunez irekita egongo da, aurrez aurre, telefonoz zein online. Apirilaren 19tik dago martxan Gasteizko erdigunean, baina ez dute kokapen zehatzik eman, erabiltzaileen konfidentzialtasuna bermatzeko. Sexu bortizkeria noiznahi pairatu duten emakamumeek jo dezakete zentrora, 18 urte baino gehiago badituzte edo adingabe emantzipatuak badira. Behin zentroan, hango langileek informazioa, aholkularitza eta arreta soziala, juridikoa eta psikologikoa eskainiko dizkiete, beste zerbitzu sozialekin koordinatuta. </t>
  </si>
  <si>
    <t>Sexu indarkeria jasaten duten emakumeei arreta integrala emateko Tximeletak zentroa zabaldu du apirilaren 19an Gasteizko erdigunean Arabako Foru Aldundiak. Sexu-indarkeria molde guztiak pairatu dituzten andrazkoak eta beren gertukoak, egunean 24 orduz eta urtean 365 egunez, aurrez aurre, telefonoz (650-80 10 80) zein online (www.tximeletak24h.araba.eus eta emailez). Biktimen lehengoratze psikologikoa sustatuko du, laguntza sozial eta juridikorako tresnak haien esku jarrita. 18 urtetik gorako emakumeek eta adingabe emantzipatuek jo dezakete zentrora eta ez da beharrezkoa aurrez salaketa jarria izatea. Tximeletak zentroan diziplina askotako profesional talde batek aurrez aurreko laguntza eskainiko dio biktimari krisi eta larrialdi egoeretan, arreta psikologikoa eta aholkularitza juridikoa barne eta biktimari laguntza eskainiko diote Osakidetzako larrialdietara edo lehen mailako arretara jotzeko, salaketa jartzeko edota gertukoekin elkartzeko. 
Hego Euskal Herriko herrialde guztietan zabaldu behar dute horrelako zentro bat, Istanbulgo Hitzarmenak eta soilik baietz da baietz legeak hala zehaztuta. Zentroa Europako Batasunaren Next Generation funtsekin eraiki dute; denera, 1,4 miloi euro. Kudeaketa gastuak bere gain hartuko ditu Arabako Foru Aldundiak, eta datozen bi urteetan milioi bat euro bideratuko dizkio egitasmoari.
Gorka Urtaran Gizarte Politiketarako diputatuak aipatu du sexu indarkeria giza eskubideen urraketa "larria" eta "egiturazkoa" dela, baina maiz "ezkutuan" dagoela. Ondorioz, biktimentzako "abaro" izan nahi du zentroak, "babestuta, zainduta eta onartuta" sentitu daitezen, eta haien testigantzei sinesgarritasuna emango zaie, haien "birbiktimizazioa" saihesteko.
Orain arte Hegoak erakundeak artatu dituen sexu indarkeriaren biktimak hartuko ditu aurrerantzean Tximeletak krisi zentroak. 2023. urtean sexu askatasunaren aurkako delituen biktima izan ziren 109 emakume artatu zituzten Hegoak foru zerbitzuan eta 23 adingaberi eta 45 senideri ere arreta eskaini zieten. Emakunderen arabera, 2023an 92 emakumek aurkeztu zuten salaketa Araban sexu askatasunaren aurkako delituengatik eta aurtengo lehen hiruhilekoan sexu indarkeriagatiko 19 salaketa erregistratu dira.</t>
  </si>
  <si>
    <t>Arabako Foru Aldundiak Tximeletak arreta zentroa ireki du Gasteizen, sexu indarkeria jasaten duten emakumeei arreta integrala eskaintzeko. Zentroak urteko 365 egunetan eta egunean 24 orduz funtzionatuko du, aurrez aurre, telefonoz (650-80 10 80) eta online (www.tximeletak24h.araba.eus). Krisi eta larrialdi egoeretan dauden biktimak artatuko dituzte, salaketa aurkeztu ez duten emakumeak barne. Zerbitzuak arreta psikologikoa, juridikoa eta soziala barne hartuko ditu, eta beste erakunde batzuekin koordinatuta arituko da (Osakidetza, Ertzaintza eta bestelako gizarte zerbitzuak). Erabiltzaileen konfidentzialtasuna bermatzeko diseinatu dira instalazioak, zentroaren helburua biktimen birbiktimizazioa saihestea eta lehengoratze integrala sustatzea izanik. Hego Euskal Herriko herrialde guztietan zabaldu behar dute horrelako zentro bat, Istanbulgo Hitzarmenaren eta soilik baietz da baietz legearen arabera. Gasteizko zentroa Europako Next Generation funtsen bidez eta Arabako Foru Aldundiaren aurrekontuekin finantzatu da.</t>
  </si>
  <si>
    <r>
      <rPr>
        <rFont val="Arial"/>
        <color rgb="FF666666"/>
        <sz val="9.0"/>
      </rPr>
      <t>Testu horren analisia egingo dut:</t>
    </r>
    <r>
      <rPr>
        <rFont val="Arial"/>
        <color theme="1"/>
        <sz val="9.0"/>
      </rPr>
      <t xml:space="preserve">
GERTAERA NAGUSIA:
- </t>
    </r>
    <r>
      <rPr>
        <rFont val="Arial"/>
        <color rgb="FF38761D"/>
        <sz val="9.0"/>
      </rPr>
      <t>Sexu eraso bat gertatu da</t>
    </r>
    <r>
      <rPr>
        <rFont val="Arial"/>
        <color theme="1"/>
        <sz val="9.0"/>
      </rPr>
      <t xml:space="preserve"> </t>
    </r>
    <r>
      <rPr>
        <rFont val="Arial"/>
        <color rgb="FFFF9900"/>
        <sz val="9.0"/>
      </rPr>
      <t>Etxebarriko (Bizkaia)</t>
    </r>
    <r>
      <rPr>
        <rFont val="Arial"/>
        <color theme="1"/>
        <sz val="9.0"/>
      </rPr>
      <t xml:space="preserve"> </t>
    </r>
    <r>
      <rPr>
        <rFont val="Arial"/>
        <color rgb="FF4A86E8"/>
        <sz val="9.0"/>
      </rPr>
      <t>jaietan</t>
    </r>
    <r>
      <rPr>
        <rFont val="Arial"/>
        <color theme="1"/>
        <sz val="9.0"/>
      </rPr>
      <t xml:space="preserve">, zehazki </t>
    </r>
    <r>
      <rPr>
        <rFont val="Arial"/>
        <color rgb="FFFF9900"/>
        <sz val="9.0"/>
      </rPr>
      <t>komun publikoetan</t>
    </r>
    <r>
      <rPr>
        <rFont val="Arial"/>
        <color theme="1"/>
        <sz val="9.0"/>
      </rPr>
      <t xml:space="preserve"> </t>
    </r>
    <r>
      <rPr>
        <rFont val="Arial"/>
        <strike/>
        <color theme="1"/>
        <sz val="9.0"/>
      </rPr>
      <t>goizaldean</t>
    </r>
    <r>
      <rPr>
        <rFont val="Arial"/>
        <color theme="1"/>
        <sz val="9.0"/>
      </rPr>
      <t xml:space="preserve">
ONDORIOAK:
1. Instituzionala:
- </t>
    </r>
    <r>
      <rPr>
        <rFont val="Arial"/>
        <color rgb="FFFF0000"/>
        <sz val="9.0"/>
      </rPr>
      <t>Udalak</t>
    </r>
    <r>
      <rPr>
        <rFont val="Arial"/>
        <color theme="1"/>
        <sz val="9.0"/>
      </rPr>
      <t xml:space="preserve"> </t>
    </r>
    <r>
      <rPr>
        <rFont val="Arial"/>
        <color rgb="FF38761D"/>
        <sz val="9.0"/>
      </rPr>
      <t>egun horretarako programatutako ekitaldi guztiak bertan behera utzi ditu</t>
    </r>
    <r>
      <rPr>
        <rFont val="Arial"/>
        <color theme="1"/>
        <sz val="9.0"/>
      </rPr>
      <t xml:space="preserve">
- </t>
    </r>
    <r>
      <rPr>
        <rFont val="Arial"/>
        <color rgb="FFFF0000"/>
        <sz val="9.0"/>
      </rPr>
      <t>Ertzaintzak</t>
    </r>
    <r>
      <rPr>
        <rFont val="Arial"/>
        <color theme="1"/>
        <sz val="9.0"/>
      </rPr>
      <t xml:space="preserve"> </t>
    </r>
    <r>
      <rPr>
        <rFont val="Arial"/>
        <color rgb="FF38761D"/>
        <sz val="9.0"/>
      </rPr>
      <t>ikerketa hasi du</t>
    </r>
    <r>
      <rPr>
        <rFont val="Arial"/>
        <color theme="1"/>
        <sz val="9.0"/>
      </rPr>
      <t xml:space="preserve">, baina oraingoz ez dago atxiloturik
2. Herritarren erantzuna:
- </t>
    </r>
    <r>
      <rPr>
        <rFont val="Arial"/>
        <color rgb="FF38761D"/>
        <sz val="9.0"/>
      </rPr>
      <t>Elkarretaratzea antolatu dute</t>
    </r>
    <r>
      <rPr>
        <rFont val="Arial"/>
        <color theme="1"/>
        <sz val="9.0"/>
      </rPr>
      <t xml:space="preserve"> hainbat erakundek:
  * </t>
    </r>
    <r>
      <rPr>
        <rFont val="Arial"/>
        <color rgb="FFFF0000"/>
        <sz val="9.0"/>
      </rPr>
      <t xml:space="preserve">Udala
</t>
    </r>
    <r>
      <rPr>
        <rFont val="Arial"/>
        <color theme="1"/>
        <sz val="9.0"/>
      </rPr>
      <t xml:space="preserve">  * </t>
    </r>
    <r>
      <rPr>
        <rFont val="Arial"/>
        <color rgb="FFFF0000"/>
        <sz val="9.0"/>
      </rPr>
      <t xml:space="preserve">Jai batzordea
</t>
    </r>
    <r>
      <rPr>
        <rFont val="Arial"/>
        <color theme="1"/>
        <sz val="9.0"/>
      </rPr>
      <t xml:space="preserve">  * </t>
    </r>
    <r>
      <rPr>
        <rFont val="Arial"/>
        <color rgb="FFFF0000"/>
        <sz val="9.0"/>
      </rPr>
      <t>Txosnak</t>
    </r>
    <r>
      <rPr>
        <rFont val="Arial"/>
        <color theme="1"/>
        <sz val="9.0"/>
      </rPr>
      <t xml:space="preserve">
- </t>
    </r>
    <r>
      <rPr>
        <rFont val="Arial"/>
        <color rgb="FFFF0000"/>
        <sz val="9.0"/>
      </rPr>
      <t>Ehunka herritar</t>
    </r>
    <r>
      <rPr>
        <rFont val="Arial"/>
        <color theme="1"/>
        <sz val="9.0"/>
      </rPr>
      <t xml:space="preserve"> </t>
    </r>
    <r>
      <rPr>
        <rFont val="Arial"/>
        <color rgb="FF38761D"/>
        <sz val="9.0"/>
      </rPr>
      <t>bildu dira protestatzeko</t>
    </r>
    <r>
      <rPr>
        <rFont val="Arial"/>
        <color theme="1"/>
        <sz val="9.0"/>
      </rPr>
      <t xml:space="preserve">
- </t>
    </r>
    <r>
      <rPr>
        <rFont val="Arial"/>
        <color rgb="FFBF9000"/>
        <sz val="9.0"/>
      </rPr>
      <t>Leloa: "Erasorik ez, erantzunik gabe"</t>
    </r>
    <r>
      <rPr>
        <rFont val="Arial"/>
        <color theme="1"/>
        <sz val="9.0"/>
      </rPr>
      <t xml:space="preserve">
UDALAREN JARRERA:
- Argi utzi du jaiak dibertitzeko eta elkartzeko guneak direla
- Askatasuna eta bizikidetza errespetatzea ezinbestekotzat jo du
- Helburu desegokiak dituzten pertsonak ez direla ongi etorriak azpimarratu du
</t>
    </r>
    <r>
      <rPr>
        <rFont val="Arial"/>
        <color rgb="FF666666"/>
        <sz val="9.0"/>
      </rPr>
      <t xml:space="preserve">
Testuak erakusten du nola </t>
    </r>
    <r>
      <rPr>
        <rFont val="Arial"/>
        <color theme="1"/>
        <sz val="9.0"/>
      </rPr>
      <t>komunitate batek sexu eraso</t>
    </r>
    <r>
      <rPr>
        <rFont val="Arial"/>
        <strike/>
        <color theme="1"/>
        <sz val="9.0"/>
      </rPr>
      <t>en</t>
    </r>
    <r>
      <rPr>
        <rFont val="Arial"/>
        <color theme="1"/>
        <sz val="9.0"/>
      </rPr>
      <t xml:space="preserve"> aurrean erantzun duen, bai instituzionalki bai herritarren aldetik, gertaera larri honen aurrean elkartasuna eta gaitzespena adieraziz.</t>
    </r>
  </si>
  <si>
    <r>
      <rPr>
        <rFont val="Arial"/>
        <color rgb="FF666666"/>
        <sz val="9.0"/>
      </rPr>
      <t>Testuaren edukirik garrantzitsuena da</t>
    </r>
    <r>
      <rPr>
        <rFont val="Arial"/>
        <color theme="1"/>
        <sz val="9.0"/>
      </rPr>
      <t xml:space="preserve"> </t>
    </r>
    <r>
      <rPr>
        <rFont val="Arial"/>
        <color rgb="FF4A86E8"/>
        <sz val="9.0"/>
      </rPr>
      <t>Etxebarriko (Bizkaia) jaietan</t>
    </r>
    <r>
      <rPr>
        <rFont val="Arial"/>
        <color theme="1"/>
        <sz val="9.0"/>
      </rPr>
      <t xml:space="preserve"> </t>
    </r>
    <r>
      <rPr>
        <rFont val="Arial"/>
        <color rgb="FF38761D"/>
        <sz val="9.0"/>
      </rPr>
      <t>sexu eraso bat gertatu zela</t>
    </r>
    <r>
      <rPr>
        <rFont val="Arial"/>
        <color theme="1"/>
        <sz val="9.0"/>
      </rPr>
      <t xml:space="preserve"> eta horren ondorioz </t>
    </r>
    <r>
      <rPr>
        <rFont val="Arial"/>
        <color rgb="FFFF0000"/>
        <sz val="9.0"/>
      </rPr>
      <t>herriak</t>
    </r>
    <r>
      <rPr>
        <rFont val="Arial"/>
        <color theme="1"/>
        <sz val="9.0"/>
      </rPr>
      <t xml:space="preserve"> </t>
    </r>
    <r>
      <rPr>
        <rFont val="Arial"/>
        <color rgb="FF38761D"/>
        <sz val="9.0"/>
      </rPr>
      <t>erantzun sendoa eman zuela</t>
    </r>
    <r>
      <rPr>
        <rFont val="Arial"/>
        <color theme="1"/>
        <sz val="9.0"/>
      </rPr>
      <t xml:space="preserve">.
</t>
    </r>
    <r>
      <rPr>
        <rFont val="Arial"/>
        <color rgb="FF666666"/>
        <sz val="9.0"/>
      </rPr>
      <t>Laburpena eduki nagusian oinarrituta:</t>
    </r>
    <r>
      <rPr>
        <rFont val="Arial"/>
        <color theme="1"/>
        <sz val="9.0"/>
      </rPr>
      <t xml:space="preserve">
</t>
    </r>
    <r>
      <rPr>
        <rFont val="Arial"/>
        <color rgb="FF4A86E8"/>
        <sz val="9.0"/>
      </rPr>
      <t>Etxebarriko jaietan</t>
    </r>
    <r>
      <rPr>
        <rFont val="Arial"/>
        <color theme="1"/>
        <sz val="9.0"/>
      </rPr>
      <t xml:space="preserve"> </t>
    </r>
    <r>
      <rPr>
        <rFont val="Arial"/>
        <color rgb="FFFF0000"/>
        <sz val="9.0"/>
      </rPr>
      <t>emakume batek</t>
    </r>
    <r>
      <rPr>
        <rFont val="Arial"/>
        <color theme="1"/>
        <sz val="9.0"/>
      </rPr>
      <t xml:space="preserve"> </t>
    </r>
    <r>
      <rPr>
        <rFont val="Arial"/>
        <color rgb="FF38761D"/>
        <sz val="9.0"/>
      </rPr>
      <t>sexu erasoa jasan zuen</t>
    </r>
    <r>
      <rPr>
        <rFont val="Arial"/>
        <color theme="1"/>
        <sz val="9.0"/>
      </rPr>
      <t xml:space="preserve"> </t>
    </r>
    <r>
      <rPr>
        <rFont val="Arial"/>
        <color rgb="FFFF9900"/>
        <sz val="9.0"/>
      </rPr>
      <t>herriko komun publikoetan</t>
    </r>
    <r>
      <rPr>
        <rFont val="Arial"/>
        <color theme="1"/>
        <sz val="9.0"/>
      </rPr>
      <t xml:space="preserve">. </t>
    </r>
    <r>
      <rPr>
        <rFont val="Arial"/>
        <color rgb="FF674EA7"/>
        <sz val="9.0"/>
      </rPr>
      <t>Gertaeraren aurrean</t>
    </r>
    <r>
      <rPr>
        <rFont val="Arial"/>
        <color theme="1"/>
        <sz val="9.0"/>
      </rPr>
      <t xml:space="preserve">, </t>
    </r>
    <r>
      <rPr>
        <rFont val="Arial"/>
        <color rgb="FFFF0000"/>
        <sz val="9.0"/>
      </rPr>
      <t>udalak</t>
    </r>
    <r>
      <rPr>
        <rFont val="Arial"/>
        <color theme="1"/>
        <sz val="9.0"/>
      </rPr>
      <t xml:space="preserve"> </t>
    </r>
    <r>
      <rPr>
        <rFont val="Arial"/>
        <color rgb="FF38761D"/>
        <sz val="9.0"/>
      </rPr>
      <t>eguneko ekitaldiak bertan behera utzi zituen</t>
    </r>
    <r>
      <rPr>
        <rFont val="Arial"/>
        <color theme="1"/>
        <sz val="9.0"/>
      </rPr>
      <t xml:space="preserve"> eta </t>
    </r>
    <r>
      <rPr>
        <rFont val="Arial"/>
        <color rgb="FFFF0000"/>
        <sz val="9.0"/>
      </rPr>
      <t>herritarrek</t>
    </r>
    <r>
      <rPr>
        <rFont val="Arial"/>
        <color theme="1"/>
        <sz val="9.0"/>
      </rPr>
      <t xml:space="preserve"> </t>
    </r>
    <r>
      <rPr>
        <rFont val="Arial"/>
        <color rgb="FF38761D"/>
        <sz val="9.0"/>
      </rPr>
      <t>elkarretaratzea egin zuten</t>
    </r>
    <r>
      <rPr>
        <rFont val="Arial"/>
        <color theme="1"/>
        <sz val="9.0"/>
      </rPr>
      <t xml:space="preserve"> </t>
    </r>
    <r>
      <rPr>
        <rFont val="Arial"/>
        <color rgb="FFBF9000"/>
        <sz val="9.0"/>
      </rPr>
      <t>'Erasorik ez, erantzunik gabe' lelopean</t>
    </r>
    <r>
      <rPr>
        <rFont val="Arial"/>
        <color theme="1"/>
        <sz val="9.0"/>
      </rPr>
      <t xml:space="preserve">. </t>
    </r>
    <r>
      <rPr>
        <rFont val="Arial"/>
        <color rgb="FFFF0000"/>
        <sz val="9.0"/>
      </rPr>
      <t>Ertzaintza</t>
    </r>
    <r>
      <rPr>
        <rFont val="Arial"/>
        <color theme="1"/>
        <sz val="9.0"/>
      </rPr>
      <t xml:space="preserve"> </t>
    </r>
    <r>
      <rPr>
        <rFont val="Arial"/>
        <color rgb="FF38761D"/>
        <sz val="9.0"/>
      </rPr>
      <t>gertaera ikertzen ari da</t>
    </r>
    <r>
      <rPr>
        <rFont val="Arial"/>
        <color theme="1"/>
        <sz val="9.0"/>
      </rPr>
      <t>.</t>
    </r>
  </si>
  <si>
    <r>
      <rPr>
        <rFont val="Arial"/>
        <color rgb="FF666666"/>
        <sz val="9.0"/>
      </rPr>
      <t>Hona hemen 5W1H metodoa erabiliz egindako analisia:</t>
    </r>
    <r>
      <rPr>
        <rFont val="Arial"/>
        <color theme="1"/>
        <sz val="9.0"/>
      </rPr>
      <t xml:space="preserve">
ZER? (What?)
- </t>
    </r>
    <r>
      <rPr>
        <rFont val="Arial"/>
        <color rgb="FF38761D"/>
        <sz val="9.0"/>
      </rPr>
      <t>Sexu eraso bat gertatu zen</t>
    </r>
    <r>
      <rPr>
        <rFont val="Arial"/>
        <color theme="1"/>
        <sz val="9.0"/>
      </rPr>
      <t xml:space="preserve">
- </t>
    </r>
    <r>
      <rPr>
        <rFont val="Arial"/>
        <color rgb="FFFF0000"/>
        <sz val="9.0"/>
      </rPr>
      <t>Udalak</t>
    </r>
    <r>
      <rPr>
        <rFont val="Arial"/>
        <color theme="1"/>
        <sz val="9.0"/>
      </rPr>
      <t xml:space="preserve"> </t>
    </r>
    <r>
      <rPr>
        <rFont val="Arial"/>
        <color rgb="FF38761D"/>
        <sz val="9.0"/>
      </rPr>
      <t>eguneko ekitaldi guztiak bertan behera utzi zituen</t>
    </r>
    <r>
      <rPr>
        <rFont val="Arial"/>
        <color theme="1"/>
        <sz val="9.0"/>
      </rPr>
      <t xml:space="preserve">
- </t>
    </r>
    <r>
      <rPr>
        <rFont val="Arial"/>
        <color rgb="FF38761D"/>
        <sz val="9.0"/>
      </rPr>
      <t>Elkarretaratzea egin zen protesta moduan</t>
    </r>
    <r>
      <rPr>
        <rFont val="Arial"/>
        <color theme="1"/>
        <sz val="9.0"/>
      </rPr>
      <t xml:space="preserve">
- </t>
    </r>
    <r>
      <rPr>
        <rFont val="Arial"/>
        <color rgb="FFFF0000"/>
        <sz val="9.0"/>
      </rPr>
      <t>Ertzaintzak</t>
    </r>
    <r>
      <rPr>
        <rFont val="Arial"/>
        <color rgb="FF38761D"/>
        <sz val="9.0"/>
      </rPr>
      <t xml:space="preserve"> ikerketa bat abiatu zuen</t>
    </r>
    <r>
      <rPr>
        <rFont val="Arial"/>
        <color theme="1"/>
        <sz val="9.0"/>
      </rPr>
      <t xml:space="preserve">
NORK? (Who?)
- </t>
    </r>
    <r>
      <rPr>
        <rFont val="Arial"/>
        <color rgb="FFFF0000"/>
        <sz val="9.0"/>
      </rPr>
      <t>Biktima: Emakume bat</t>
    </r>
    <r>
      <rPr>
        <rFont val="Arial"/>
        <color theme="1"/>
        <sz val="9.0"/>
      </rPr>
      <t xml:space="preserve">
- Antolatzaileak: Etxebarriko Udala, sanantonioetako jai batzordea eta txosnak
- Parte-hartzaileak: </t>
    </r>
    <r>
      <rPr>
        <rFont val="Arial"/>
        <color rgb="FFFF0000"/>
        <sz val="9.0"/>
      </rPr>
      <t>Ehunka herritar</t>
    </r>
    <r>
      <rPr>
        <rFont val="Arial"/>
        <color theme="1"/>
        <sz val="9.0"/>
      </rPr>
      <t xml:space="preserve"> </t>
    </r>
    <r>
      <rPr>
        <rFont val="Arial"/>
        <color rgb="FF38761D"/>
        <sz val="9.0"/>
      </rPr>
      <t>elkarretaratzean</t>
    </r>
    <r>
      <rPr>
        <rFont val="Arial"/>
        <color theme="1"/>
        <sz val="9.0"/>
      </rPr>
      <t xml:space="preserve">
- Ikertzaileak: Ertzaintza
NOIZ? (When?)
- </t>
    </r>
    <r>
      <rPr>
        <rFont val="Arial"/>
        <strike/>
        <color theme="1"/>
        <sz val="9.0"/>
      </rPr>
      <t>Atzo goizaldean gertatu zen erasoa</t>
    </r>
    <r>
      <rPr>
        <rFont val="Arial"/>
        <color theme="1"/>
        <sz val="9.0"/>
      </rPr>
      <t xml:space="preserve">
- </t>
    </r>
    <r>
      <rPr>
        <rFont val="Arial"/>
        <color rgb="FF4A86E8"/>
        <sz val="9.0"/>
      </rPr>
      <t>Herriko jaiak ospatzen ari ziren momentuan</t>
    </r>
    <r>
      <rPr>
        <rFont val="Arial"/>
        <color theme="1"/>
        <sz val="9.0"/>
      </rPr>
      <t xml:space="preserve">
NON? (Where?)
- </t>
    </r>
    <r>
      <rPr>
        <rFont val="Arial"/>
        <color rgb="FFFF9900"/>
        <sz val="9.0"/>
      </rPr>
      <t>Etxebarrin (Bizkaia)</t>
    </r>
    <r>
      <rPr>
        <rFont val="Arial"/>
        <color theme="1"/>
        <sz val="9.0"/>
      </rPr>
      <t xml:space="preserve">
- Zehazki, </t>
    </r>
    <r>
      <rPr>
        <rFont val="Arial"/>
        <color rgb="FFFF9900"/>
        <sz val="9.0"/>
      </rPr>
      <t>kalean jarritako komunetan</t>
    </r>
    <r>
      <rPr>
        <rFont val="Arial"/>
        <color theme="1"/>
        <sz val="9.0"/>
      </rPr>
      <t xml:space="preserve">
- </t>
    </r>
    <r>
      <rPr>
        <rFont val="Arial"/>
        <color rgb="FF38761D"/>
        <sz val="9.0"/>
      </rPr>
      <t>Elkarretaratzea</t>
    </r>
    <r>
      <rPr>
        <rFont val="Arial"/>
        <color theme="1"/>
        <sz val="9.0"/>
      </rPr>
      <t xml:space="preserve"> </t>
    </r>
    <r>
      <rPr>
        <rFont val="Arial"/>
        <color rgb="FFFF9900"/>
        <sz val="9.0"/>
      </rPr>
      <t>Zintururi plazan</t>
    </r>
    <r>
      <rPr>
        <rFont val="Arial"/>
        <color theme="1"/>
        <sz val="9.0"/>
      </rPr>
      <t xml:space="preserve"> egin zen
ZERGATIK? (Why?)
- Sexu eraso bat salatu zelako
- Udalak argi utzi nahi zuelako jaiak dibertitzeko eta elkartzeko guneak direla, ez erasotzeko
NOLA? (How?)
- Erasoaren ondoren, udalak erantzun instituzionala eman zuen:
  * </t>
    </r>
    <r>
      <rPr>
        <rFont val="Arial"/>
        <color rgb="FF38761D"/>
        <sz val="9.0"/>
      </rPr>
      <t>Eguneko ekitaldiak bertan behera utzi</t>
    </r>
    <r>
      <rPr>
        <rFont val="Arial"/>
        <color theme="1"/>
        <sz val="9.0"/>
      </rPr>
      <t xml:space="preserve">
  * Elkarretaratzea antolatu "Erasorik ez, erantzunik gabe" lelopean
  * Ohar bat kaleratu, jarrera erasotzaileak gaitzesteko
- </t>
    </r>
    <r>
      <rPr>
        <rFont val="Arial"/>
        <color rgb="FFFF0000"/>
        <sz val="9.0"/>
      </rPr>
      <t>Ertzaintzak</t>
    </r>
    <r>
      <rPr>
        <rFont val="Arial"/>
        <color theme="1"/>
        <sz val="9.0"/>
      </rPr>
      <t xml:space="preserve"> </t>
    </r>
    <r>
      <rPr>
        <rFont val="Arial"/>
        <color rgb="FF38761D"/>
        <sz val="9.0"/>
      </rPr>
      <t>ikerketa abiatu zuen</t>
    </r>
    <r>
      <rPr>
        <rFont val="Arial"/>
        <color theme="1"/>
        <sz val="9.0"/>
      </rPr>
      <t>, baina oraindik ez dute inor atxilotu</t>
    </r>
  </si>
  <si>
    <r>
      <rPr>
        <rFont val="Arial"/>
        <color rgb="FF666666"/>
        <sz val="9.0"/>
      </rPr>
      <t>Hona hemen gertaeren laburpena:</t>
    </r>
    <r>
      <rPr>
        <rFont val="Arial"/>
        <color theme="1"/>
        <sz val="9.0"/>
      </rPr>
      <t xml:space="preserve">
- </t>
    </r>
    <r>
      <rPr>
        <rFont val="Arial"/>
        <color rgb="FFFF9900"/>
        <sz val="9.0"/>
      </rPr>
      <t>Etxebarriko (Bizkaia)</t>
    </r>
    <r>
      <rPr>
        <rFont val="Arial"/>
        <color theme="1"/>
        <sz val="9.0"/>
      </rPr>
      <t xml:space="preserve"> </t>
    </r>
    <r>
      <rPr>
        <rFont val="Arial"/>
        <color rgb="FF4A86E8"/>
        <sz val="9.0"/>
      </rPr>
      <t>jaietan</t>
    </r>
    <r>
      <rPr>
        <rFont val="Arial"/>
        <color theme="1"/>
        <sz val="9.0"/>
      </rPr>
      <t xml:space="preserve"> </t>
    </r>
    <r>
      <rPr>
        <rFont val="Arial"/>
        <color rgb="FF38761D"/>
        <sz val="9.0"/>
      </rPr>
      <t>sexu eraso bat gertatu zen</t>
    </r>
    <r>
      <rPr>
        <rFont val="Arial"/>
        <color theme="1"/>
        <sz val="9.0"/>
      </rPr>
      <t xml:space="preserve"> </t>
    </r>
    <r>
      <rPr>
        <rFont val="Arial"/>
        <strike/>
        <color theme="1"/>
        <sz val="9.0"/>
      </rPr>
      <t>atzo goizaldean</t>
    </r>
    <r>
      <rPr>
        <rFont val="Arial"/>
        <color theme="1"/>
        <sz val="9.0"/>
      </rPr>
      <t xml:space="preserve"> </t>
    </r>
    <r>
      <rPr>
        <rFont val="Arial"/>
        <color rgb="FF4A86E8"/>
        <sz val="9.0"/>
      </rPr>
      <t>herriko jai-komunetan</t>
    </r>
    <r>
      <rPr>
        <rFont val="Arial"/>
        <color theme="1"/>
        <sz val="9.0"/>
      </rPr>
      <t xml:space="preserve">
- </t>
    </r>
    <r>
      <rPr>
        <rFont val="Arial"/>
        <color rgb="FFFF0000"/>
        <sz val="9.0"/>
      </rPr>
      <t>Udalak</t>
    </r>
    <r>
      <rPr>
        <rFont val="Arial"/>
        <color theme="1"/>
        <sz val="9.0"/>
      </rPr>
      <t xml:space="preserve"> </t>
    </r>
    <r>
      <rPr>
        <rFont val="Arial"/>
        <color rgb="FF38761D"/>
        <sz val="9.0"/>
      </rPr>
      <t>eguneko ekitaldi guztiak bertan behera utzi zituen</t>
    </r>
    <r>
      <rPr>
        <rFont val="Arial"/>
        <color theme="1"/>
        <sz val="9.0"/>
      </rPr>
      <t xml:space="preserve">
- </t>
    </r>
    <r>
      <rPr>
        <rFont val="Arial"/>
        <color rgb="FFFF0000"/>
        <sz val="9.0"/>
      </rPr>
      <t>Ehunka herritar</t>
    </r>
    <r>
      <rPr>
        <rFont val="Arial"/>
        <color theme="1"/>
        <sz val="9.0"/>
      </rPr>
      <t xml:space="preserve"> </t>
    </r>
    <r>
      <rPr>
        <rFont val="Arial"/>
        <color rgb="FF38761D"/>
        <sz val="9.0"/>
      </rPr>
      <t>elkarretaratu ziren</t>
    </r>
    <r>
      <rPr>
        <rFont val="Arial"/>
        <color theme="1"/>
        <sz val="9.0"/>
      </rPr>
      <t xml:space="preserve"> </t>
    </r>
    <r>
      <rPr>
        <rFont val="Arial"/>
        <color rgb="FFFF9900"/>
        <sz val="9.0"/>
      </rPr>
      <t>Zintururi plazan</t>
    </r>
    <r>
      <rPr>
        <rFont val="Arial"/>
        <color theme="1"/>
        <sz val="9.0"/>
      </rPr>
      <t xml:space="preserve"> </t>
    </r>
    <r>
      <rPr>
        <rFont val="Arial"/>
        <color rgb="FFBF9000"/>
        <sz val="9.0"/>
      </rPr>
      <t>"Erasorik ez, erantzunik gabe" lelopean</t>
    </r>
    <r>
      <rPr>
        <rFont val="Arial"/>
        <color theme="1"/>
        <sz val="9.0"/>
      </rPr>
      <t xml:space="preserve">
- </t>
    </r>
    <r>
      <rPr>
        <rFont val="Arial"/>
        <color rgb="FFFF0000"/>
        <sz val="9.0"/>
      </rPr>
      <t>Ertzaintza</t>
    </r>
    <r>
      <rPr>
        <rFont val="Arial"/>
        <color theme="1"/>
        <sz val="9.0"/>
      </rPr>
      <t xml:space="preserve"> </t>
    </r>
    <r>
      <rPr>
        <rFont val="Arial"/>
        <color rgb="FF38761D"/>
        <sz val="9.0"/>
      </rPr>
      <t>ikertzen ari da</t>
    </r>
    <r>
      <rPr>
        <rFont val="Arial"/>
        <color theme="1"/>
        <sz val="9.0"/>
      </rPr>
      <t xml:space="preserve"> baina oraindik ez dute inor atxilotu
- Udalak adierazi du jaiak dibertitzeko direla, baina ez direla onartuko askatasuna eta bizikidetza errespetatzen ez dituztenak</t>
    </r>
  </si>
  <si>
    <r>
      <rPr>
        <rFont val="Arial"/>
        <color rgb="FF666666"/>
        <sz val="9.0"/>
      </rPr>
      <t xml:space="preserve">Testua aztertu ondoren, hona hemen </t>
    </r>
    <r>
      <rPr>
        <rFont val="Arial"/>
        <color rgb="FFFF0000"/>
        <sz val="9.0"/>
      </rPr>
      <t>Erramun Baxok</t>
    </r>
    <r>
      <rPr>
        <rFont val="Arial"/>
        <color theme="1"/>
        <sz val="9.0"/>
      </rPr>
      <t xml:space="preserve">en bizitzaren eta ekarpenaren laburpen nagusiak:
Oinarrizko datuak:
- 1928an jaio zen Suhuskunen (Nafarroa Beherea)
- 96 urterekin </t>
    </r>
    <r>
      <rPr>
        <rFont val="Arial"/>
        <color rgb="FF38761D"/>
        <sz val="9.0"/>
      </rPr>
      <t>hil da</t>
    </r>
    <r>
      <rPr>
        <rFont val="Arial"/>
        <color theme="1"/>
        <sz val="9.0"/>
      </rPr>
      <t xml:space="preserve">
- Filosofian doktorea
- 2010ean Euskaltzaindiko ohorezko kide izendatu zuten
Ibilbide akademiko eta profesionala:
1. Hezkuntza:
- Herriko eskola publikoan hasi zen 6 urterekin
- Seminarioan ikasi zuen (Landetan, Bretainian eta Frantzian)
- 1953an Filosofiako lizentzia lortu zuen
- 1976an pertsonalismoari buruzko doktoretza egin zuen Quebecen
2. Lan-ibilbidea:
- 1967 arte apaiz eta filosofia irakasle izan zen
- 1968-1978: Quebecen bizi izan zen
- Hizkuntzalaritza aplikatua irakatsi zuen
- Euskal Kultur Erakundeko buru izan zen (1990-2005)
Ekarpen nagusiak:
1. Soziolinguistikan:
- Quebeceko hizkuntza-ereduak Euskal Herrira ekarri zituen
- Inkesta soziolinguistikoetan parte hartu zuen (1991-2011)
- Hizkuntzaren antolaketa eskeman lan egin zuen
- Soziolinguistika Klusterraren sorreraren inspiratzaile izan zen
2. Euskal kulturan:
- Ikas pedagogia zentroan lan egin zuen
- Pizkundea eta Euskal Konfederazioan parte hartu zuen
- EKEn eta Euskararen Erakunde Publikoan aholkulari gisa aritu zen
Bere lana aintzatetsi dute hainbat erakundek, besteak beste Euskaltzaindiak, EKEk, Euskalgintzaren Kontseiluak eta alderdi politikoek, euskararen alde egindako lan nekaezina azpimarratuz.</t>
    </r>
  </si>
  <si>
    <r>
      <rPr>
        <rFont val="Arial"/>
        <color rgb="FF666666"/>
        <sz val="9.0"/>
      </rPr>
      <t>Testuaren edukirik garrantzitsuena da</t>
    </r>
    <r>
      <rPr>
        <rFont val="Arial"/>
        <color theme="1"/>
        <sz val="9.0"/>
      </rPr>
      <t xml:space="preserve"> </t>
    </r>
    <r>
      <rPr>
        <rFont val="Arial"/>
        <color rgb="FFFF0000"/>
        <sz val="9.0"/>
      </rPr>
      <t xml:space="preserve">Erramun Baxok ohorezko euskaltzainaren </t>
    </r>
    <r>
      <rPr>
        <rFont val="Arial"/>
        <color rgb="FF38761D"/>
        <sz val="9.0"/>
      </rPr>
      <t>heriotza</t>
    </r>
    <r>
      <rPr>
        <rFont val="Arial"/>
        <color theme="1"/>
        <sz val="9.0"/>
      </rPr>
      <t xml:space="preserve"> (96 urte)</t>
    </r>
    <r>
      <rPr>
        <rFont val="Arial"/>
        <color rgb="FF666666"/>
        <sz val="9.0"/>
      </rPr>
      <t xml:space="preserve"> eta bere bizitzako ekarpen nagusiak. Hona hemen laburpena:
</t>
    </r>
    <r>
      <rPr>
        <rFont val="Arial"/>
        <color theme="1"/>
        <sz val="9.0"/>
      </rPr>
      <t xml:space="preserve">
Erramun Baxok (1928-</t>
    </r>
    <r>
      <rPr>
        <rFont val="Arial"/>
        <strike/>
        <color theme="1"/>
        <sz val="9.0"/>
      </rPr>
      <t>2024</t>
    </r>
    <r>
      <rPr>
        <rFont val="Arial"/>
        <color theme="1"/>
        <sz val="9.0"/>
      </rPr>
      <t>) euskaltzain, irakasle eta ikerlari nabarmena hil da. Filosofian doktorea, Quebecen bizitako esperientziatik soziolinguistikaren arloan ekarpen handiak egin zituen Euskal Herrira. Euskal Kultur Erakundeko buru izan zen (1990-2005) eta hainbat erakundetan parte hartu zuen, besteak beste Pizkundean eta Euskal Konfederazioan. Bere lan garrantzitsuenen artean daude hizkuntzaren antolaketa eskemaren idazketa, inkesta soziolinguistikoetan parte-hartzea, eta Soziolinguistika Klusterraren sorrerarako oinarriak ezartzea. 2010ean Euskaltzaindiak ohorezko kide izendatu zuen.</t>
    </r>
  </si>
  <si>
    <r>
      <rPr>
        <rFont val="Arial"/>
        <color rgb="FF666666"/>
        <sz val="9.0"/>
      </rPr>
      <t>Hona hemen testuaren analisia 5W1H metodoa erabiliz:</t>
    </r>
    <r>
      <rPr>
        <rFont val="Arial"/>
        <color theme="1"/>
        <sz val="9.0"/>
      </rPr>
      <t xml:space="preserve">
ZER:
- Erramun Baxok ohorezko euskaltzainaren heriotza
- Filosofian doktorea, irakasle eta ikerlari ospetsua zen
- Soziolinguistikan aditua eta euskararen defendatzaile sutsua
NORK:
- Erramun Baxok protagonista nagusia
- Euskaltzaindia (heriotzaren berri eman duena)
- Andres Urrutia euskaltzainburua </t>
    </r>
    <r>
      <rPr>
        <rFont val="Arial"/>
        <strike/>
        <color theme="1"/>
        <sz val="9.0"/>
      </rPr>
      <t>(omenaldia egin duena)</t>
    </r>
    <r>
      <rPr>
        <rFont val="Arial"/>
        <color theme="1"/>
        <sz val="9.0"/>
      </rPr>
      <t xml:space="preserve">
- Beste hainbat erakunde eta pertsona (EKE, Soziolinguistika Klusterra, etab.)
NOIZ:
- Heriotza: </t>
    </r>
    <r>
      <rPr>
        <rFont val="Arial"/>
        <strike/>
        <color theme="1"/>
        <sz val="9.0"/>
      </rPr>
      <t>2024an</t>
    </r>
    <r>
      <rPr>
        <rFont val="Arial"/>
        <color theme="1"/>
        <sz val="9.0"/>
      </rPr>
      <t xml:space="preserve"> (96 urte zituela)
- Jaiotza: 1928an, Suhuskunen
- Beste data garrantzitsuak:
  * 1953: Filosofiako lizentzia
  * 1968-1978: Quebeceko egonaldia
  * 1990-2005: EKEko buru
  * 2010: Ohorezko euskaltzain izendapena
NON:
- Suhuskune (Nafarroa Beherea): jaioterria
- Quebec: 10 urteko egonaldia
- Ipar Euskal Herria: </t>
    </r>
    <r>
      <rPr>
        <rFont val="Arial"/>
        <strike/>
        <color theme="1"/>
        <sz val="9.0"/>
      </rPr>
      <t>bere lan eremu nagusia</t>
    </r>
    <r>
      <rPr>
        <rFont val="Arial"/>
        <color theme="1"/>
        <sz val="9.0"/>
      </rPr>
      <t xml:space="preserve">
ZERGATIK:
- Euskararen eta euskal kulturaren sustapena
- Soziolinguistikaren garapena Euskal Herrian
- Quebeceko ereduak Euskal Herrira ekartzea
- Hizkuntza politika publikoaren beharra aldarrikatzea
NOLA:
- Irakasle eta ikerlari gisa
- Hainbat erakundetan parte hartuz (EKE, Pizkundea, Euskal Konfederazioa)
- Soziolinguistika ikerketen bidez
- Hizkuntza politikaren diseinuan parte hartuz
- Quebeceko ereduak eta esperientziak Euskal Herrira ekarriz
- Euskararen aldeko proiektu ezberdinetan parte hartuz (inkesta soziolinguistikoak, Ikas pedagogia zentroa, etab.)</t>
    </r>
  </si>
  <si>
    <r>
      <rPr>
        <rFont val="Arial"/>
        <color rgb="FF666666"/>
        <sz val="9.0"/>
      </rPr>
      <t>Hona hemen testuaren laburpena:</t>
    </r>
    <r>
      <rPr>
        <rFont val="Arial"/>
        <color theme="1"/>
        <sz val="9.0"/>
      </rPr>
      <t xml:space="preserve">
Erramun Baxok, euskaltzain eta soziolinguista ezaguna, hil da 96 urterekin. Suhuskunen (Nafarroa Beherea) jaio zen 1928an. Filosofian doktorea, irakasle eta ikerlari gisa aritu zen. Bere bizitzako gertaera garrantzitsuenak:
- Quebecen bizi izan zen 1968-1978 artean, non soziolinguistikan espezializatu zen
- Euskal Kultur Erakundearen buru izan zen 1990etik 2005era
- Euskaltzaindiak ohorezko kide izendatu zuen 2010ean
- Soziolinguistikan ekarpen handia egin zuen, bereziki Quebeceko ereduak Euskal Herrira ekarriz
- Hainbat erakundetan parte hartu zuen: Pizkundea, Euskal Konfederazioa, EKE, eta inkesta soziolinguistikoetan
- Euskararen aldeko defendatzaile nekaezina izan zen, hizkuntza politika publikoaren beharra aldarrikatuz
Andres Urrutia euskaltzainburuak "euskaltzain jakintsua eta soziolinguistikan goren mailako aditua" zela nabarmendu du.</t>
    </r>
  </si>
  <si>
    <r>
      <rPr>
        <rFont val="Arial"/>
        <color rgb="FF666666"/>
        <sz val="9.0"/>
      </rPr>
      <t>Testua aztertuko dut zuretzat. Hona hemen gertaeren laburpen nagusia:</t>
    </r>
    <r>
      <rPr>
        <rFont val="Arial"/>
        <color theme="1"/>
        <sz val="9.0"/>
      </rPr>
      <t xml:space="preserve">
1. Egoera:
- Peio Etxelekuri Errobiko lurralde eremuko ordezkaritza kendu diote
- Bederatzi hautetsik agiria zabaldu dute erabaki hori kritikatzeko
- Jean Rene Etxegarai Euskal Hirigune Elkargoko lehendakariak hartu du erabakia
2. Kritikatutako puntuak:
- Sei auzapezek Etxelekuren aurka idatzitako gutuna (gehiengo eskasa dela argudiatuz)
- Etxegarairen "presakako eta errekurtsorik gabeko" erabakia
- Lurralde eremua ez dela informatu ezta kontsultatu ere
- Etxelekuri ez zaiola aukera eman bere burua defendatzeko
3. Testuinguru instituzionala:
- Errobiko lurralde eremuan 11 herri daude
- 35 hautetsik parte hartzen dute eremuan
- Gobernantza itunaren arabera, lurralde eremuek proposatzen dituzte ordezkariak
- Lurralde eremuetako batzordeak 2020an sortu ziren
4. Sinatzen duten hautetsiak:
- Basusarritik: Yannick Bassier eta Emmanuelle Dallet
- Uztaritzetik: Denise Cedarry, Mikel Goienetxe, Erik Mailharrancin eta Françoise Gallois
- Itsasutik: Laetitia Croc eta Nicole Etxamendi
- Argitxu Hiriart Urruti
- Mikel Hiribarren (Itsasuko auzapeza)
Hautetsiek eskatzen dute gobernantza itunean argiago zehaztea lurralde batzordeetako kideen rola eta zilegitasuna.</t>
    </r>
  </si>
  <si>
    <r>
      <rPr>
        <rFont val="Arial"/>
        <color rgb="FF666666"/>
        <sz val="9.0"/>
      </rPr>
      <t>Testuaren edukirik garrantzitsuena laburbilduz:</t>
    </r>
    <r>
      <rPr>
        <rFont val="Arial"/>
        <color theme="1"/>
        <sz val="9.0"/>
      </rPr>
      <t xml:space="preserve">
Errobiko bederatzi hautetsik agiria zabaldu dute Peio Etxelekuri Euskal Hirigune Elkargoko lurralde eremuko ordezkaritza kendu izana kritikatzeko. Hautetsi horiek salatu dute sei auzapezek Etxelekuren kontra jotzea eta Jean Rene Etxegarai elkargoko lehendakariak kargua kentzeko erabakia hartzea lurralde eremuko batzordea informatu eta kontsultatu gabe. Hautetsiek azpimarratu dute erabaki hori elkargoko gobernantza itunaren aurkakoa dela, eta eskatu dute lurralde batzordeetako kideen rola eta zilegitasuna berraztertzea.</t>
    </r>
  </si>
  <si>
    <r>
      <rPr>
        <rFont val="Arial"/>
        <color rgb="FF666666"/>
        <sz val="9.0"/>
      </rPr>
      <t xml:space="preserve">Hemen duzu 5W1H metodoa erabiliz egindako laburpena:
</t>
    </r>
    <r>
      <rPr>
        <rFont val="Arial"/>
        <color theme="1"/>
        <sz val="9.0"/>
      </rPr>
      <t xml:space="preserve">
Zer:
- Errobiko bederatzi hautetsik agiria zabaldu dute Peio Etxelekuri lurralde eremuko ordezkaritza kendu izana kritikatzeko.
- Sei auzapezek Etxelekuren kontra idatzitako gutuna eta Jean Rene Etxegarai lehendakariaren erabakia salatu dituzte.
Nork:
- Bederatzi hautetsi, horien artean: Yannick Bassier, Emmanuelle Dallet, Denise Cedarry, Mikel Goienetxe, Erik Mailharrancin, Françoise Gallois, Laetitia Croc, Nicole Etxamendi, eta Argitxu Hiriart Urruti. Mikel Hiribarren Itsasuko auzapezak ere izenpetu du testua.
Noiz:
- Data zehatza ez da aipatzen, baina gertaera hurbilekoa dela ulertzen da.
Non:
- Errobiko lurralde eremuan, Euskal Hirigune Elkargoaren barruan.
Zergatik:
- Peio Etxelekuri lurralde eremuko ordezkaritza kendu izana onartezina ikusten dutelako.
- Sei auzapezen gutuna eta Etxegarairen erabakia kritikagarriak iruditzen zaizkielako.
- Lurralde eremuko batzordea ez delako informatu ez kontsultatu erabakia hartzeko.
- Gobernantza ituna urratu delakoan daudelako.
Nola:
- Agiria zabalduz eta sinatuz.
- Etxegarairen erabakia "presakako eta errekurtsorik gabeko" gisa kalifikatuz.
- Gobernantza itunean lurralde batzordeetako kideen rola eta zilegitasuna zehaztea eta berriz aztertzea eskatuz.</t>
    </r>
  </si>
  <si>
    <r>
      <rPr>
        <rFont val="Arial"/>
        <color rgb="FF666666"/>
        <sz val="9.0"/>
      </rPr>
      <t xml:space="preserve">Hona hemen testuaren laburpen bat:
</t>
    </r>
    <r>
      <rPr>
        <rFont val="Arial"/>
        <color theme="1"/>
        <sz val="9.0"/>
      </rPr>
      <t xml:space="preserve">
1. Errobiko bederatzi hautetsik agiria zabaldu dute Peio Etxelekuri lurralde eremuko ordezkaritza kendu izana kritikatuz.
2. Sei auzapezek Etxelekuren aurka egindako gutuna eta Jean Rene Etxegarai Euskal Hirigune Elkargoko lehendakariaren erabakia salatu dituzte.
3. Hautetsi sinatzaileek diote erabakia hartu dela lurralde eremuko batzordea informatu eta kontsultatu gabe.
4. Kritika egin diote lehendakariari Etxelekuri ordezkaritza berehala kendu izanagatik, haren argudioak entzun gabe.
5. Gobernantza itunaren kontrako jokaera dela diote, lurralde eremuak egin behar baitzituen proposamenak ordezkariak izendatzeko.
6. Hautetsiek eskatu dute gobernantza itunean zehaztu eta berraztertzeko lurralde batzordeetako kideen rola eta zilegitasuna.
7. Amaieran, Errobiko lurralde eremuari buruzko informazio orokorra ematen da, haren osaera eta funtzionamendua azalduz.</t>
    </r>
  </si>
  <si>
    <r>
      <rPr>
        <rFont val="Arial"/>
        <color rgb="FF666666"/>
        <sz val="9.0"/>
      </rPr>
      <t>Testuak</t>
    </r>
    <r>
      <rPr>
        <rFont val="Arial"/>
        <color theme="1"/>
        <sz val="9.0"/>
      </rPr>
      <t xml:space="preserve"> Itziar Laka hizkuntzalariari emango zaion Eusko Ikaskuntza-Laboral Kutxaren Humanitateen, Kulturaren, Arteen eta Gizarte Zientzien Saria </t>
    </r>
    <r>
      <rPr>
        <rFont val="Arial"/>
        <color rgb="FF666666"/>
        <sz val="9.0"/>
      </rPr>
      <t xml:space="preserve">aipatzen du. Hona hemen laburpen bat:
</t>
    </r>
    <r>
      <rPr>
        <rFont val="Arial"/>
        <color theme="1"/>
        <sz val="9.0"/>
      </rPr>
      <t xml:space="preserve">
1. Itziar Laka Getxon jaio zen 1962an eta hizkuntzalaria da.
2. Saritu dute euskararen garapenerako eta hizkuntza gaitasunen mekanismoetan egindako ekarpen berritzaileengatik.
3. 2010ean hizkuntzalaritza esperimentala eta neurohizkuntzalaritza lantzen dituen lehen ikerketa taldea sortu zuen.
4. Hainbat proiektutan ikertzaile nagusi izan da eta unibertsitate desberdinetan irakatsi du.
5. Epaimahaiak nabarmendu du Lakak euskara maila zientifiko gorenean jarri duela, metodologia berriak erabiliz eta punta-puntako ikerketak eginez.
6. Euskara unibertsitatean eta gizartean sustatzea bere lanaren funtsezko dimentsiotzat jo dute.
7. Gaur egun, EHUko Euskara Sustatzeko Zuzendaritzako burua da.
8. Zientziaren zabalpenean lan handia egin du, elebitasunaren inguruko zenbait mito ebidentzia zientifikoen bidez ezeztatuz.
9. Bere lana ez da euskarara mugatzen, hizkuntzalaritza osoari ekarpen nabarmena egin diola azpimarratu dute.</t>
    </r>
  </si>
  <si>
    <r>
      <rPr>
        <rFont val="Arial"/>
        <color rgb="FF666666"/>
        <sz val="9.0"/>
      </rPr>
      <t xml:space="preserve">Testuaren edukirik garrantzitsuena </t>
    </r>
    <r>
      <rPr>
        <rFont val="Arial"/>
        <color theme="1"/>
        <sz val="9.0"/>
      </rPr>
      <t xml:space="preserve">Itziar Lakari Eusko Ikaskuntza-Laboral Kutxaren Humanitateen, Kulturaren, Arteen eta Gizarte Zientzien Saria ematea da, bere euskararen eta hizkuntzalaritzaren arloko ekarpen berritzaileengatik. </t>
    </r>
    <r>
      <rPr>
        <rFont val="Arial"/>
        <color rgb="FF666666"/>
        <sz val="9.0"/>
      </rPr>
      <t xml:space="preserve">Hona hemen laburpena:
</t>
    </r>
    <r>
      <rPr>
        <rFont val="Arial"/>
        <color theme="1"/>
        <sz val="9.0"/>
      </rPr>
      <t xml:space="preserve">
Itziar Laka hizkuntzalariak Eusko Ikaskuntza-Laboral Kutxaren saria jasoko du euskararen garapenerako eta hizkuntzalaritzarako egin dituen ekarpen garrantzitsuengatik. Lakak hizkuntzalaritza esperimentalean eta neurohizkuntzalaritzan aitzindari izan da, eta euskara maila zientifiko gorenean jarri du. Bere lanak elebitasunaren inguruko mitoak deuseztatu ditu eta euskararen sustapena bultzatu du unibertsitatean zein gizartean. Epaimahaiak bere ibilbide osoa saritu du, euskal hizkuntzalaritzaren eta zientziaren zabalpenean egindako lan nabarmenagatik.</t>
    </r>
  </si>
  <si>
    <r>
      <rPr>
        <rFont val="Arial"/>
        <color rgb="FF666666"/>
        <sz val="9.0"/>
      </rPr>
      <t>Hona hemen 5W1H metodoa erabiliz egindako testuaren laburpena:</t>
    </r>
    <r>
      <rPr>
        <rFont val="Arial"/>
        <color theme="1"/>
        <sz val="9.0"/>
      </rPr>
      <t xml:space="preserve">
1. Zer: Eusko Ikaskuntza-Laboral Kutxaren Humanitateen, Kulturaren, Arteen eta Gizarte Zientzien Saria ematea.
2. Nork: Eusko Ikaskuntzak emango du saria.
3. Noiz: Ez da zehazten data zehatza, baina iragarpen bat da, beraz etorkizun hurbilean izango da.
4. Non: Ez da zehazten non emango den saria.
5. Zergatik: 
   - Euskararen garapenerako eta hizkuntza gaitasunen mekanismoetan sakontzeko ekarpen berritzaileak egin dituelako.
   - Euskararen eta Euskal Herriko garapen zientifiko eta kulturalean ekarpen nabarmena egin duelako.
   - Euskara maila zientifiko gorenean jarri duelako, metodologia berriak erabiliz.
   - Euskara unibertsitatean eta gizartean sustatu duelako.
   - Zientziaren eta zientzia kulturaren zabalpenean lan handia egin duelako.
   - Elebitasunaren inguruko mitoak ebidentzia zientifikoarekin ezeztatzeagatik.
6. Nola (Itziar Lakaren ibilbidea):
   - 1962an Getxon jaioa, hizkuntzalaria da.
   - 2010ean hizkuntzalaritza esperimentala eta neurohizkuntzalaritza lantzen duen lehen ikerketa taldea sortu zuen.
   - Hainbat proiekturen ikertzaile nagusi izan da.
   - Zenbait unibertsitatetan irakasle aritu da.
   - Gaur egun, EHUko Euskara Sustatzeko Zuzendaritzako buru da.
   - EHUko Euskara Institutuarekin lankidetzan, hizkuntzalaritza lan klasikoen itzulpena sustatu du.</t>
    </r>
  </si>
  <si>
    <r>
      <rPr>
        <rFont val="Arial"/>
        <color rgb="FF666666"/>
        <sz val="9.0"/>
      </rPr>
      <t xml:space="preserve">Hona hemen laburpena:
</t>
    </r>
    <r>
      <rPr>
        <rFont val="Arial"/>
        <color theme="1"/>
        <sz val="9.0"/>
      </rPr>
      <t xml:space="preserve">
- Itziar Laka hizkuntzalariak Eusko Ikaskuntza-Laboral Kutxaren Humanitateen, Kulturaren, Arteen eta Gizarte Zientzien Saria jasoko du.
- Lakak euskararen garapenean eta hizkuntza gaitasunen mekanismoen ikerketan ekarpen berritzaileak egin ditu.
- 1962an Getxon jaioa, hizkuntzalaritza esperimentala eta neurohizkuntzalaritza lantzen dituen lehen ikerketa taldea sortu zuen 2010ean.
- Bere ibilbidean, euskara maila zientifiko gorenean jarri du, metodologia berriak erabiliz eta punta-puntako ikerketak eginez.
- Unibertsitatean eta gizartean euskara sustatzea funtsezko izan da bere lanean. Gaur egun, EHUko Euskara Sustatzeko Zuzendaritzako buru da.
- Zientziaren zabalpenean lan handia egin du, elebitasunaren inguruko zenbait mito ebidentzia zientifikoarekin ezeztatu ditu.</t>
    </r>
  </si>
  <si>
    <r>
      <rPr>
        <rFont val="Arial"/>
        <color rgb="FF666666"/>
        <sz val="9.0"/>
      </rPr>
      <t>Hemen duzu testuaren laburpena:</t>
    </r>
    <r>
      <rPr>
        <rFont val="Arial"/>
        <color theme="1"/>
        <sz val="9.0"/>
      </rPr>
      <t xml:space="preserve">
</t>
    </r>
    <r>
      <rPr>
        <rFont val="Arial"/>
        <color rgb="FFFF0000"/>
        <sz val="9.0"/>
      </rPr>
      <t>Arabako Foru Aldundiak</t>
    </r>
    <r>
      <rPr>
        <rFont val="Arial"/>
        <color theme="1"/>
        <sz val="9.0"/>
      </rPr>
      <t xml:space="preserve"> </t>
    </r>
    <r>
      <rPr>
        <rFont val="Arial"/>
        <color rgb="FF38761D"/>
        <sz val="9.0"/>
      </rPr>
      <t>sexu indarkeriaren biktimentzako arreta zentro berri bat ireki du</t>
    </r>
    <r>
      <rPr>
        <rFont val="Arial"/>
        <color theme="1"/>
        <sz val="9.0"/>
      </rPr>
      <t xml:space="preserve"> </t>
    </r>
    <r>
      <rPr>
        <rFont val="Arial"/>
        <color rgb="FFFF9900"/>
        <sz val="9.0"/>
      </rPr>
      <t>Gasteizen</t>
    </r>
    <r>
      <rPr>
        <rFont val="Arial"/>
        <color theme="1"/>
        <sz val="9.0"/>
      </rPr>
      <t xml:space="preserve">, </t>
    </r>
    <r>
      <rPr>
        <rFont val="Arial"/>
        <color rgb="FF38761D"/>
        <sz val="9.0"/>
      </rPr>
      <t>Tximeletak izenekoa</t>
    </r>
    <r>
      <rPr>
        <rFont val="Arial"/>
        <color theme="1"/>
        <sz val="9.0"/>
      </rPr>
      <t>. Zentroaren ezaugarri nagusiak hauek dira:
1. 24 orduz eta 365 egunez eskainiko du zerbitzua, aurrez aurre, telefonoz eta online.
2. Helburu nagusia: sexu indarkeria jasan duten emakumeei eta haien gertuko pertsonei arreta integrala ematea.
3. Zerbitzuak: laguntza psikologikoa, soziala eta juridikoa eskaintzen ditu.
4. Erabiltzaileak: 18 urtetik gorako emakumeak edo adingabe emantzipatuak. Ez da beharrezkoa aurretik salaketa jarri izana.
5. Konfidentzialtasuna: zentroak ez du bere kokaleku zehatza argitaratu, erabiltzaileen pribatutasuna babesteko.
6. Finantzaketa: Europako Batasunaren Next Generation funtsekin eraiki da (1,4 milioi euro), eta Arabako Foru Aldundiak kudeatuko du (milioi bat euro hurrengo bi urteetan).
7. Koordinazioa: beste erakunde batzuekin lan egingo du, hala nola Ertzaintza, Osakidetza, Justizia eta Emakunde.
8. Estatistikak: 2023an, 109 emakume artatu zituzten Araban sexu indarkeria kasuengatik, eta 92 salaketa aurkeztu ziren.
Zentro hau Istanbulgo Hitzarmenak eta "soilik baietz da baietz" legeak eskatutako betekizunak betetzeko sortu da, eta antzeko zentroak zabalduko dira Hego Euskal Herriko beste herrialdeetan ere.</t>
    </r>
  </si>
  <si>
    <r>
      <rPr>
        <rFont val="Arial"/>
        <color rgb="FF666666"/>
        <sz val="9.0"/>
      </rPr>
      <t>Hemen dago testuaren edukirik garrantzitsuenaren laburpena:</t>
    </r>
    <r>
      <rPr>
        <rFont val="Arial"/>
        <color theme="1"/>
        <sz val="9.0"/>
      </rPr>
      <t xml:space="preserve">
Arabako Foru Aldundiak sexu indarkeriaren biktimentzako arreta integral zentroa ireki du Gasteizen: Tximeletak. Zentro honek 24 orduz eta 365 egunez eskaintzen du zerbitzua, aurrez aurre, telefonoz edo </t>
    </r>
    <r>
      <rPr>
        <rFont val="Arial"/>
        <color rgb="FFFF0000"/>
        <sz val="9.0"/>
      </rPr>
      <t>online bidez</t>
    </r>
    <r>
      <rPr>
        <rFont val="Arial"/>
        <color theme="1"/>
        <sz val="9.0"/>
      </rPr>
      <t>. Bere helburua da sexu indarkeria jasan duten emakumeei eta haien ingurukoei laguntza psikologikoa, soziala eta juridikoa ematea, biktimen lehengoratzea sustatzeko. 
Zentroa Istanbulgo Hitzarmenaren eta "soilik baietz da baietz" legearen eskakizunak betetzeko sortu da. Diziplina anitzeko profesionalek osatutako taldeak arreta pertsonalizatua eskaintzen du, beste erakunde batzuekin (Ertzaintza, Osakidetza, etab.) koordinatuta. 18 urtetik gorako edo emantzipatutako emakumeek jo dezakete bertara, salaketa jarri beharrik gabe. 
Arabako Foru Aldundiak 1,4 milioi euro inbertitu ditu zentroan, eta hurrengo bi urteetan milioi bat euro bideratuko ditu haren funtzionamendurako. 2023an, sexu indarkeriaren 109 biktima artatu ziren Araban, eta aurten lehen hiruhilekoan 19 salaketa jaso dira.</t>
    </r>
  </si>
  <si>
    <r>
      <rPr>
        <rFont val="Arial"/>
        <color rgb="FF666666"/>
        <sz val="9.0"/>
      </rPr>
      <t>Hona hemen testuaren analisia 5W1H metodoa erabiliz:</t>
    </r>
    <r>
      <rPr>
        <rFont val="Arial"/>
        <color theme="1"/>
        <sz val="9.0"/>
      </rPr>
      <t xml:space="preserve">
1. Zer? (What?)
Arabako Foru Aldundiak sexu indarkeria jasaten duten emakumeei arreta integrala emateko zentro bat (Tximeletak) zabaldu du.
2. Nork? (Who?)
Arabako Foru Aldundiak ireki du zentroa. Gorka Urtaran Gizarte Politiketarako diputatuak eta Maika Diez Bermejo Esku Hartze Sozialeko zuzendariorde teknikoak eman dituzte xehetasunak.
3. Noiz? (When?)
Zentroa 2024ko apirilaren 19tik dago martxan. Egunean 24 orduz eta urtean 365 egunez funtzionatuko du.
4. Non? (Where?)
Gasteizko erdigunean dago, baina zehazki non dagoen ez dute adierazi, erabiltzaileen konfidentzialtasuna babesteko.
5. Zergatik? (Why?)
Sexu bortizkeria nozitu duten emakumeei eta haien gertukoei arreta integrala emateko, biktimen lehengoratze psikologikoa sustatzeko, eta laguntza sozial eta juridikoa eskaintzeko. Halaber, Istanbulgo Hitzarmenak eta "soilik baietz da baietz" legeak horrelako zentroak irekitzea eskatzen dutelako.
6. Nola? (How?)
- Aurrez aurre, telefonoz (650-80 10 80) eta online (</t>
    </r>
    <r>
      <rPr>
        <rFont val="Arial"/>
        <color rgb="FFFF0000"/>
        <sz val="9.0"/>
      </rPr>
      <t xml:space="preserve">[email protected] </t>
    </r>
    <r>
      <rPr>
        <rFont val="Arial"/>
        <color theme="1"/>
        <sz val="9.0"/>
      </rPr>
      <t>eta www.tximeletak24h.araba.eus) arreta eskainiz.
- Diziplina anitzeko profesional talde batekin lan eginez.
- Krisi eta larrialdi egoeretan arreta psikologikoa eta aholkularitza juridikoa eskainiz.
- Beste erakundeekin (Ertzaintza, Osakidetza, Justizia, Emakunde) koordinatuz.
- 18 urtetik gorako edo adingabe emantzipatuentzat, salaketa jarri beharrik gabe.
- Europako Batasunaren Next Generation funtsekin finantzatuz (1,4 milioi euro eraikuntzarako) eta Arabako Foru Aldundiaren kudeaketa gastuekin (milioi bat euro hurrengo bi urteetan).</t>
    </r>
  </si>
  <si>
    <r>
      <rPr>
        <rFont val="Arial"/>
        <color rgb="FF666666"/>
        <sz val="9.0"/>
      </rPr>
      <t xml:space="preserve">Laburpen bat egingo dizut euskaraz:
</t>
    </r>
    <r>
      <rPr>
        <rFont val="Arial"/>
        <color theme="1"/>
        <sz val="9.0"/>
      </rPr>
      <t xml:space="preserve">
Arabako Foru Aldundiak "Tximeletak" izeneko zentro berria ireki du Gasteizen sexu indarkeriaren biktimei arreta integrala emateko. Hona zentroaren ezaugarri nagusiak:
- 24 orduz eta 365 egunez egongo da zabalik
- Arreta aurrez aurre, telefonoz eta online emango da
- Kokapena ez da zehaztu, erabiltzaileen konfidentzialtasuna babesteko
- Helburu nagusia: biktimen lehengoratze psikologikoa eta laguntza sozial zein juridikoa 
- Diziplina anitzeko profesionalek lan egingo dute bertan
- 18 urtetik gorako emakumeek jo dezakete bertara, salaketa jarri beharrik gabe
- Beste zerbitzu eta erakundeekin (Ertzaintza, Osakidetza, etab.) koordinatuta arituko da
- 1,4 milioi euroko inbertsioa egin da zentroa eraikitzeko
- 2023an 109 sexu indarkeria biktima artatu ziren Araban
Zentro hau zabaltzea lege-betebeharra da, eta dagoeneko antzeko guneak daude Nafarroan eta Bizkaian. Gipuzkoan hiru zentro irekitzea aurreikusten da.
</t>
    </r>
    <r>
      <rPr>
        <rFont val="Arial"/>
        <color rgb="FF666666"/>
        <sz val="9.0"/>
      </rPr>
      <t>Informazio gehiago nahi baduzu edozein punturen inguruan, esan lasai eta xehetasun gehiago emango dizkizut.</t>
    </r>
  </si>
  <si>
    <r>
      <rPr>
        <rFont val="Arial"/>
        <color rgb="FF666666"/>
        <sz val="9.0"/>
      </rPr>
      <t>Hemen duzu laburpena:</t>
    </r>
    <r>
      <rPr>
        <rFont val="Arial"/>
        <color theme="1"/>
        <sz val="9.0"/>
      </rPr>
      <t xml:space="preserve">
"</t>
    </r>
    <r>
      <rPr>
        <rFont val="Arial"/>
        <color rgb="FF4A86E8"/>
        <sz val="9.0"/>
      </rPr>
      <t>Atzo goizaldean</t>
    </r>
    <r>
      <rPr>
        <rFont val="Arial"/>
        <color theme="1"/>
        <sz val="9.0"/>
      </rPr>
      <t xml:space="preserve">, </t>
    </r>
    <r>
      <rPr>
        <rFont val="Arial"/>
        <color rgb="FFFF9900"/>
        <sz val="9.0"/>
      </rPr>
      <t>Etxebarrin (Bizkaia)</t>
    </r>
    <r>
      <rPr>
        <rFont val="Arial"/>
        <color theme="1"/>
        <sz val="9.0"/>
      </rPr>
      <t xml:space="preserve"> </t>
    </r>
    <r>
      <rPr>
        <rFont val="Arial"/>
        <color rgb="FFFF0000"/>
        <sz val="9.0"/>
      </rPr>
      <t>emakume bati</t>
    </r>
    <r>
      <rPr>
        <rFont val="Arial"/>
        <color theme="1"/>
        <sz val="9.0"/>
      </rPr>
      <t xml:space="preserve"> </t>
    </r>
    <r>
      <rPr>
        <rFont val="Arial"/>
        <color rgb="FF38761D"/>
        <sz val="9.0"/>
      </rPr>
      <t>sexu eraso bat jasan zaiela salatu zioten.</t>
    </r>
    <r>
      <rPr>
        <rFont val="Arial"/>
        <color theme="1"/>
        <sz val="9.0"/>
      </rPr>
      <t xml:space="preserve"> </t>
    </r>
    <r>
      <rPr>
        <rFont val="Arial"/>
        <color rgb="FF4A86E8"/>
        <sz val="9.0"/>
      </rPr>
      <t>Herriko jaiak ospatzen ari diren bitartean</t>
    </r>
    <r>
      <rPr>
        <rFont val="Arial"/>
        <color theme="1"/>
        <sz val="9.0"/>
      </rPr>
      <t xml:space="preserve">, </t>
    </r>
    <r>
      <rPr>
        <rFont val="Arial"/>
        <color rgb="FFFF9900"/>
        <sz val="9.0"/>
      </rPr>
      <t>kalean jarri ohi dituzten komunetan jazo zen erasoa</t>
    </r>
    <r>
      <rPr>
        <rFont val="Arial"/>
        <color theme="1"/>
        <sz val="9.0"/>
      </rPr>
      <t xml:space="preserve">. </t>
    </r>
    <r>
      <rPr>
        <rFont val="Arial"/>
        <color rgb="FFFF0000"/>
        <sz val="9.0"/>
      </rPr>
      <t>Udalak</t>
    </r>
    <r>
      <rPr>
        <rFont val="Arial"/>
        <color theme="1"/>
        <sz val="9.0"/>
      </rPr>
      <t xml:space="preserve"> </t>
    </r>
    <r>
      <rPr>
        <rFont val="Arial"/>
        <strike/>
        <color theme="1"/>
        <sz val="9.0"/>
      </rPr>
      <t>erantzukizun handia aurkeztu zuen</t>
    </r>
    <r>
      <rPr>
        <rFont val="Arial"/>
        <color theme="1"/>
        <sz val="9.0"/>
      </rPr>
      <t xml:space="preserve">, eta </t>
    </r>
    <r>
      <rPr>
        <rFont val="Arial"/>
        <color rgb="FF38761D"/>
        <sz val="9.0"/>
      </rPr>
      <t>antolatuta zeuden ekitaldi guztiak bertan behera utzi zituen</t>
    </r>
    <r>
      <rPr>
        <rFont val="Arial"/>
        <color theme="1"/>
        <sz val="9.0"/>
      </rPr>
      <t xml:space="preserve">.
</t>
    </r>
    <r>
      <rPr>
        <rFont val="Arial"/>
        <color rgb="FFFF0000"/>
        <sz val="9.0"/>
      </rPr>
      <t xml:space="preserve">
Udalak, sanantonioetako jai batzordeak eta txosnek</t>
    </r>
    <r>
      <rPr>
        <rFont val="Arial"/>
        <color theme="1"/>
        <sz val="9.0"/>
      </rPr>
      <t xml:space="preserve"> </t>
    </r>
    <r>
      <rPr>
        <rFont val="Arial"/>
        <color rgb="FF38761D"/>
        <sz val="9.0"/>
      </rPr>
      <t xml:space="preserve">elkarretaratzea egin dute </t>
    </r>
    <r>
      <rPr>
        <rFont val="Arial"/>
        <color rgb="FFFF9900"/>
        <sz val="9.0"/>
      </rPr>
      <t>Zintururi plazan</t>
    </r>
    <r>
      <rPr>
        <rFont val="Arial"/>
        <color theme="1"/>
        <sz val="9.0"/>
      </rPr>
      <t xml:space="preserve">, eta </t>
    </r>
    <r>
      <rPr>
        <rFont val="Arial"/>
        <strike/>
        <color theme="1"/>
        <sz val="9.0"/>
      </rPr>
      <t>herritar gehienak</t>
    </r>
    <r>
      <rPr>
        <rFont val="Arial"/>
        <color rgb="FFBF9000"/>
        <sz val="9.0"/>
      </rPr>
      <t xml:space="preserve"> 'Erasorik ez, erantzunik gabe' lelopean</t>
    </r>
    <r>
      <rPr>
        <rFont val="Arial"/>
        <color theme="1"/>
        <sz val="9.0"/>
      </rPr>
      <t xml:space="preserve"> </t>
    </r>
    <r>
      <rPr>
        <rFont val="Arial"/>
        <color rgb="FF38761D"/>
        <sz val="9.0"/>
      </rPr>
      <t>parte hartu dute</t>
    </r>
    <r>
      <rPr>
        <rFont val="Arial"/>
        <color theme="1"/>
        <sz val="9.0"/>
      </rPr>
      <t xml:space="preserve">. Udalak adierazi du, jaiak elkartzeko eta dibertitzeko guneak direla, eta askatasuna eta bizikidetza errespetatzea beharrezkoa dela.
</t>
    </r>
    <r>
      <rPr>
        <rFont val="Arial"/>
        <color rgb="FFFF0000"/>
        <sz val="9.0"/>
      </rPr>
      <t>Ertzaintzak</t>
    </r>
    <r>
      <rPr>
        <rFont val="Arial"/>
        <color rgb="FF38761D"/>
        <sz val="9.0"/>
      </rPr>
      <t xml:space="preserve"> ikerketa abiatu du</t>
    </r>
    <r>
      <rPr>
        <rFont val="Arial"/>
        <color theme="1"/>
        <sz val="9.0"/>
      </rPr>
      <t xml:space="preserve">, baina inor atxilotu gabe. Udalak ulertzen ez duten eta bestelako helburuak dituzten pertsonak ez direla ongi etorriak, adierazi du, eta </t>
    </r>
    <r>
      <rPr>
        <rFont val="Arial"/>
        <strike/>
        <color theme="1"/>
        <sz val="9.0"/>
      </rPr>
      <t>eraso hauen aurkako erantzuna eskatzen du</t>
    </r>
    <r>
      <rPr>
        <rFont val="Arial"/>
        <color theme="1"/>
        <sz val="9.0"/>
      </rPr>
      <t>."</t>
    </r>
  </si>
  <si>
    <r>
      <rPr>
        <rFont val="Arial"/>
        <color rgb="FF666666"/>
        <sz val="9.0"/>
      </rPr>
      <t xml:space="preserve">Testu honetan, garrantzitsuena da </t>
    </r>
    <r>
      <rPr>
        <rFont val="Arial"/>
        <strike/>
        <color theme="1"/>
        <sz val="9.0"/>
      </rPr>
      <t>herritarren erantzuna eta errespetua eskatzea. Horregatik, laburtutako testuan, hurrengo frasiak eraginkorrak izan daitezke:</t>
    </r>
    <r>
      <rPr>
        <rFont val="Arial"/>
        <color theme="1"/>
        <sz val="9.0"/>
      </rPr>
      <t xml:space="preserve">
"Erasorik ez, erantzunik gabe" lelopea herritarren eragile eta konprometituta dagoena erakusten du. Herriko jai honetan, emakumeen eta pertsonen segurtasuna babesteko, herritar guztiak erantzun bat eman behar dute.
Udalak ere, adierazpen baliagarriak egin ditu, ulertu ez duten eta erasoak egiten dituzten pertsonak ez dira ongi etorriak. Horrela, herriko segurtasun eta askatasun boterea eraginkorra sustatzen du.
</t>
    </r>
    <r>
      <rPr>
        <rFont val="Arial"/>
        <color rgb="FF38761D"/>
        <sz val="9.0"/>
      </rPr>
      <t>Bertan behera utzi zituen ekitaldi guztiak</t>
    </r>
    <r>
      <rPr>
        <rFont val="Arial"/>
        <color theme="1"/>
        <sz val="9.0"/>
      </rPr>
      <t>,</t>
    </r>
    <r>
      <rPr>
        <rFont val="Arial"/>
        <strike/>
        <color theme="1"/>
        <sz val="9.0"/>
      </rPr>
      <t xml:space="preserve"> udalak erantzukizuna erakusten du</t>
    </r>
    <r>
      <rPr>
        <rFont val="Arial"/>
        <color theme="1"/>
        <sz val="9.0"/>
      </rPr>
      <t xml:space="preserve">, eta herriko jai honetan </t>
    </r>
    <r>
      <rPr>
        <rFont val="Arial"/>
        <strike/>
        <color theme="1"/>
        <sz val="9.0"/>
      </rPr>
      <t>segurtasun eta askatasun inguruko normak betetzen dituela adierazi nahi du</t>
    </r>
    <r>
      <rPr>
        <rFont val="Arial"/>
        <color theme="1"/>
        <sz val="9.0"/>
      </rPr>
      <t xml:space="preserve">.
</t>
    </r>
    <r>
      <rPr>
        <rFont val="Arial"/>
        <strike/>
        <color theme="1"/>
        <sz val="9.0"/>
      </rPr>
      <t>Horregatik, garrantzitsuena da herritarren erantzuna eta errespetua eskatzea, eta udalak ere, erantzukizuna hartzen duen adierazpen baliagarriak egin du.</t>
    </r>
  </si>
  <si>
    <r>
      <rPr>
        <rFont val="Arial"/>
        <color theme="1"/>
        <sz val="9.0"/>
      </rPr>
      <t xml:space="preserve">- Zer: </t>
    </r>
    <r>
      <rPr>
        <rFont val="Arial"/>
        <color rgb="FFFF0000"/>
        <sz val="9.0"/>
      </rPr>
      <t>Emakume batek</t>
    </r>
    <r>
      <rPr>
        <rFont val="Arial"/>
        <color theme="1"/>
        <sz val="9.0"/>
      </rPr>
      <t xml:space="preserve"> </t>
    </r>
    <r>
      <rPr>
        <rFont val="Arial"/>
        <color rgb="FF38761D"/>
        <sz val="9.0"/>
      </rPr>
      <t>sexu eraso bat jasan du</t>
    </r>
    <r>
      <rPr>
        <rFont val="Arial"/>
        <color theme="1"/>
        <sz val="9.0"/>
      </rPr>
      <t xml:space="preserve">.
- Nork: Ez da inor atxilotu.
- Noiz: </t>
    </r>
    <r>
      <rPr>
        <rFont val="Arial"/>
        <strike/>
        <color theme="1"/>
        <sz val="9.0"/>
      </rPr>
      <t>Atzo goizaldean</t>
    </r>
    <r>
      <rPr>
        <rFont val="Arial"/>
        <color theme="1"/>
        <sz val="9.0"/>
      </rPr>
      <t xml:space="preserve">.
- Non: </t>
    </r>
    <r>
      <rPr>
        <rFont val="Arial"/>
        <color rgb="FFFF9900"/>
        <sz val="9.0"/>
      </rPr>
      <t>Etxebarrin (Bizkaia)</t>
    </r>
    <r>
      <rPr>
        <rFont val="Arial"/>
        <color theme="1"/>
        <sz val="9.0"/>
      </rPr>
      <t xml:space="preserve">, </t>
    </r>
    <r>
      <rPr>
        <rFont val="Arial"/>
        <color rgb="FFFF9900"/>
        <sz val="9.0"/>
      </rPr>
      <t>kalean jarri ohi dituzten komunetan</t>
    </r>
    <r>
      <rPr>
        <rFont val="Arial"/>
        <color theme="1"/>
        <sz val="9.0"/>
      </rPr>
      <t xml:space="preserve">.
- </t>
    </r>
    <r>
      <rPr>
        <rFont val="Arial"/>
        <strike/>
        <color theme="1"/>
        <sz val="9.0"/>
      </rPr>
      <t xml:space="preserve">Zergatik: </t>
    </r>
    <r>
      <rPr>
        <rFont val="Arial"/>
        <strike/>
        <color rgb="FF4A86E8"/>
        <sz val="9.0"/>
      </rPr>
      <t>Herriko jaiak</t>
    </r>
    <r>
      <rPr>
        <rFont val="Arial"/>
        <strike/>
        <color theme="1"/>
        <sz val="9.0"/>
      </rPr>
      <t xml:space="preserve"> ospatzen ari dira eta erasorik ez da onartzen.</t>
    </r>
    <r>
      <rPr>
        <rFont val="Arial"/>
        <color theme="1"/>
        <sz val="9.0"/>
      </rPr>
      <t xml:space="preserve">
- Nola: </t>
    </r>
    <r>
      <rPr>
        <rFont val="Arial"/>
        <color rgb="FFFF0000"/>
        <sz val="9.0"/>
      </rPr>
      <t>Udalak</t>
    </r>
    <r>
      <rPr>
        <rFont val="Arial"/>
        <color theme="1"/>
        <sz val="9.0"/>
      </rPr>
      <t xml:space="preserve"> </t>
    </r>
    <r>
      <rPr>
        <rFont val="Arial"/>
        <color rgb="FF38761D"/>
        <sz val="9.0"/>
      </rPr>
      <t>ekitaldi guztiak bertan behera utzi dit</t>
    </r>
    <r>
      <rPr>
        <rFont val="Arial"/>
        <color theme="1"/>
        <sz val="9.0"/>
      </rPr>
      <t xml:space="preserve">u, eta </t>
    </r>
    <r>
      <rPr>
        <rFont val="Arial"/>
        <color rgb="FFFF0000"/>
        <sz val="9.0"/>
      </rPr>
      <t>herritarrak</t>
    </r>
    <r>
      <rPr>
        <rFont val="Arial"/>
        <color theme="1"/>
        <sz val="9.0"/>
      </rPr>
      <t xml:space="preserve"> </t>
    </r>
    <r>
      <rPr>
        <rFont val="Arial"/>
        <color rgb="FFBF9000"/>
        <sz val="9.0"/>
      </rPr>
      <t>'Erasorik ez, erantzunik gabe' lelopean</t>
    </r>
    <r>
      <rPr>
        <rFont val="Arial"/>
        <color theme="1"/>
        <sz val="9.0"/>
      </rPr>
      <t xml:space="preserve"> </t>
    </r>
    <r>
      <rPr>
        <rFont val="Arial"/>
        <color rgb="FF38761D"/>
        <sz val="9.0"/>
      </rPr>
      <t>bildu dira</t>
    </r>
    <r>
      <rPr>
        <rFont val="Arial"/>
        <color theme="1"/>
        <sz val="9.0"/>
      </rPr>
      <t>.</t>
    </r>
  </si>
  <si>
    <r>
      <rPr>
        <rFont val="Arial"/>
        <color rgb="FF666666"/>
        <sz val="9.0"/>
      </rPr>
      <t xml:space="preserve">TL;DR: </t>
    </r>
    <r>
      <rPr>
        <rFont val="Arial"/>
        <color rgb="FFFF0000"/>
        <sz val="9.0"/>
      </rPr>
      <t xml:space="preserve">A woman </t>
    </r>
    <r>
      <rPr>
        <rFont val="Arial"/>
        <color rgb="FF38761D"/>
        <sz val="9.0"/>
      </rPr>
      <t>reported a sexual assault</t>
    </r>
    <r>
      <rPr>
        <rFont val="Arial"/>
        <color theme="1"/>
        <sz val="9.0"/>
      </rPr>
      <t xml:space="preserve"> in </t>
    </r>
    <r>
      <rPr>
        <rFont val="Arial"/>
        <color rgb="FFFF9900"/>
        <sz val="9.0"/>
      </rPr>
      <t>Etxebarri, Bizkaia</t>
    </r>
    <r>
      <rPr>
        <rFont val="Arial"/>
        <color theme="1"/>
        <sz val="9.0"/>
      </rPr>
      <t xml:space="preserve">, </t>
    </r>
    <r>
      <rPr>
        <rFont val="Arial"/>
        <color rgb="FF4A86E8"/>
        <sz val="9.0"/>
      </rPr>
      <t>during the town's festivities</t>
    </r>
    <r>
      <rPr>
        <rFont val="Arial"/>
        <color theme="1"/>
        <sz val="9.0"/>
      </rPr>
      <t xml:space="preserve">. </t>
    </r>
    <r>
      <rPr>
        <rFont val="Arial"/>
        <color rgb="FFFF0000"/>
        <sz val="9.0"/>
      </rPr>
      <t>The local government</t>
    </r>
    <r>
      <rPr>
        <rFont val="Arial"/>
        <color theme="1"/>
        <sz val="9.0"/>
      </rPr>
      <t xml:space="preserve"> </t>
    </r>
    <r>
      <rPr>
        <rFont val="Arial"/>
        <color rgb="FF38761D"/>
        <sz val="9.0"/>
      </rPr>
      <t xml:space="preserve">cancelled all scheduled events for the afternoon </t>
    </r>
    <r>
      <rPr>
        <rFont val="Arial"/>
        <color theme="1"/>
        <sz val="9.0"/>
      </rPr>
      <t xml:space="preserve">and gathered with the San Antonio Festival Committee and stalls in Zintururi Square, where </t>
    </r>
    <r>
      <rPr>
        <rFont val="Arial"/>
        <color rgb="FFFF0000"/>
        <sz val="9.0"/>
      </rPr>
      <t xml:space="preserve">hundreds of residents </t>
    </r>
    <r>
      <rPr>
        <rFont val="Arial"/>
        <color rgb="FF38761D"/>
        <sz val="9.0"/>
      </rPr>
      <t>gathered</t>
    </r>
    <r>
      <rPr>
        <rFont val="Arial"/>
        <color theme="1"/>
        <sz val="9.0"/>
      </rPr>
      <t xml:space="preserve"> </t>
    </r>
    <r>
      <rPr>
        <rFont val="Arial"/>
        <color rgb="FFBF9000"/>
        <sz val="9.0"/>
      </rPr>
      <t xml:space="preserve">under the slogan "No to sexual assault, no impunity." </t>
    </r>
    <r>
      <rPr>
        <rFont val="Arial"/>
        <color rgb="FFFF0000"/>
        <sz val="9.0"/>
      </rPr>
      <t>The police</t>
    </r>
    <r>
      <rPr>
        <rFont val="Arial"/>
        <color theme="1"/>
        <sz val="9.0"/>
      </rPr>
      <t xml:space="preserve"> </t>
    </r>
    <r>
      <rPr>
        <rFont val="Arial"/>
        <color rgb="FF38761D"/>
        <sz val="9.0"/>
      </rPr>
      <t>have opened an investigation</t>
    </r>
    <r>
      <rPr>
        <rFont val="Arial"/>
        <color theme="1"/>
        <sz val="9.0"/>
      </rPr>
      <t>, but no arrests have been made yet.</t>
    </r>
  </si>
  <si>
    <r>
      <rPr>
        <rFont val="Arial"/>
        <color theme="1"/>
        <sz val="9.0"/>
      </rPr>
      <t xml:space="preserve">Euskaltzain jakintsua, Erramun Baxok, ohorezko euskaltzainak azken hatsa eman du, 96 urte zituen. Filosofian doktorea eta irakasle ikerkarriak, Baxok, Euskal Herrian pedagogia, soziolinguistika eta kultura arloetan inplikatua izan da. Pizkundean eta Euskal Konfederazioan parte hartu du, eta Euskal Kultur Erakundearen buru izan zen 1990etik 2005era arte.
Suhuskunen, Nafarroa Beherea, 1928an jaio zen, sei haurrideko familia batean. Euskaldun elebakarrak ziren gurasoak, eta frantsesez hasi zen hasi herriko eskola publikoan. Baxok, euskara nagusiki landu zuen, Piarres Lafitteren hiztegiarekin eta Xarles Bidegainekin harremanetan.
Seminarioan eta unibertsitatean ikasketak egin zituen, eta Filosofiako lizentzia eskuratu zuen 1953an. Apaiza eta filosofia irakaslea izan zen, eta gerora, Renee Samsonekin ezkondu, Quebecen bizi izan ziren. Han sortu ziren haien hiru haurrak, eta Baxok, ikasketekin segitu zuen, pertsonalismoari buruzko doktoretza aurkeztu zuen.
Euskal Herrira itzuli zenean, hizkuntzalaritza aplikatua irakasten aritu zen, eta Quebecen eskolak ematen ere segitu zuen. Ikas pedagogia zentroan lan egin zuen, eta Euskaraz Bizi metodoa sortzen aritu zen. Euskal Herriko proiektuetan parte hartu zuen, eta soziolinguistika arloan ekarpena egin zuen.
Baxok, Euskal Herriko Garapen Kontseiluan hizkuntzaren antolaketa eskemaren idazketan parte hartu zuen, eta EKEko soziolinguistika aholkularia izan zen. Euskaltzaindiko euskararen sustapen saileko kide aktiboa izan zen, eta EKE utzi ondoren, </t>
    </r>
    <r>
      <rPr>
        <rFont val="Arial"/>
        <strike/>
        <color theme="1"/>
        <sz val="9.0"/>
      </rPr>
      <t>lehendakaritzan jarraitu zuen</t>
    </r>
    <r>
      <rPr>
        <rFont val="Arial"/>
        <color theme="1"/>
        <sz val="9.0"/>
      </rPr>
      <t xml:space="preserve">.
Soziolinguistika arloan, Quebecen hizkuntzaren inguruan egin zituen lanak ikertu zituen Baxok, eta horren ikuspegia ekarri zuen Euskal Herrira. Euskal Soziolinguistika Klusterrak, Baxokek egindako proposamenetatik abiatu ziren, eta Quebecen antzeko ikergune bat sortzeko beharra azaleratu </t>
    </r>
    <r>
      <rPr>
        <rFont val="Arial"/>
        <strike/>
        <color theme="1"/>
        <sz val="9.0"/>
      </rPr>
      <t>zuten</t>
    </r>
    <r>
      <rPr>
        <rFont val="Arial"/>
        <color theme="1"/>
        <sz val="9.0"/>
      </rPr>
      <t>.
EKEk, Baxok, «langile porrokatua» izan dela adierazi du, eta doluminak adierazi dizkio familiari. Euskalgintzaren Kontseiluak, adiskide eta senideei besarkada estua helarazi die, eta EH Baik eta EAJk, Baxok, euskararen aldeko defendatzaile nekaezina omendu dute.
Baxok,</t>
    </r>
    <r>
      <rPr>
        <rFont val="Arial"/>
        <strike/>
        <color theme="1"/>
        <sz val="9.0"/>
      </rPr>
      <t xml:space="preserve"> BERRIAlaguna kanpaina eta </t>
    </r>
    <r>
      <rPr>
        <rFont val="Arial"/>
        <color theme="1"/>
        <sz val="9.0"/>
      </rPr>
      <t>BERRIAk elkarrizketa egin zituen,</t>
    </r>
    <r>
      <rPr>
        <rFont val="Arial"/>
        <strike/>
        <color theme="1"/>
        <sz val="9.0"/>
      </rPr>
      <t xml:space="preserve"> euskara laguntzeko beharrak adierazi zituen, eta Egunkaria eta BERRIAk irakurtzeko bere nahia adierazi zuen</t>
    </r>
    <r>
      <rPr>
        <rFont val="Arial"/>
        <color theme="1"/>
        <sz val="9.0"/>
      </rPr>
      <t>.</t>
    </r>
  </si>
  <si>
    <r>
      <rPr>
        <rFont val="Arial"/>
        <color rgb="FF666666"/>
        <sz val="9.0"/>
      </rPr>
      <t xml:space="preserve">Edukirik garrantzitsuena: </t>
    </r>
    <r>
      <rPr>
        <rFont val="Arial"/>
        <color theme="1"/>
        <sz val="9.0"/>
      </rPr>
      <t xml:space="preserve">"Euskaltzaleen Biltzarrarekin harremana izan zuen, baina bere baitarik landu zuen euskara nagusiki, Piarres Lafitteren hiztegiarekin, eta gerora Xarles Bidegainekin."
</t>
    </r>
    <r>
      <rPr>
        <rFont val="Arial"/>
        <color rgb="FF666666"/>
        <sz val="9.0"/>
      </rPr>
      <t xml:space="preserve">
Laburtu testua: </t>
    </r>
    <r>
      <rPr>
        <rFont val="Arial"/>
        <color theme="1"/>
        <sz val="9.0"/>
      </rPr>
      <t>"Euskaltzaindiak jakinarazi du Erramun Baxok ohorezko euskaltzainak azken hatsa eman duela; 96 urte zituen."
Erramun Baxokek soziolinguistikoan egin zuen ekarpena, eta hizkuntzalaritza eta pedagogia arloetan ere inplikatua izan da. Quebecen esperientziak eta ikerketak Euskal Herrira ekarri zituen, eta hizkuntzaren sustapena eta eredu publikoa lantzeko proiektuetan parte hartu zuen. Soziolinguistika Klusterrak eta Euskaltzaindiak ere, bere ekarpena azpimarratu dute, eta Baxokek egin zuen proposamenak Klusterraren sorrerako lehen hausnarketak abiatu zituzten.
Baxokek soziolinguistikoan egin zuen ekarpena, hizkuntzaren inguruko ikerketa eta proposamen berriak ekarri zituen, eta horren bidez, Euskal Herrian hizkuntzalaritza eta soziolinguistika arloetan egin zituen ahalegina.</t>
    </r>
  </si>
  <si>
    <r>
      <rPr>
        <rFont val="Arial"/>
        <color theme="1"/>
        <sz val="9.0"/>
      </rPr>
      <t xml:space="preserve">Zer?
Euskaltzain Erramun Baxok ohorezko euskaltzainak </t>
    </r>
    <r>
      <rPr>
        <rFont val="Arial"/>
        <strike/>
        <color theme="1"/>
        <sz val="9.0"/>
      </rPr>
      <t>azken hatsa eman zion Euskaltzaindiak</t>
    </r>
    <r>
      <rPr>
        <rFont val="Arial"/>
        <color theme="1"/>
        <sz val="9.0"/>
      </rPr>
      <t xml:space="preserve">.
Nork?
Euskaltzain Erramun Baxok, filosofian doktorea eta irakasle-ikerlari gisa aritu zen lanean.
Noiz?
Baxokek 96 urte </t>
    </r>
    <r>
      <rPr>
        <rFont val="Arial"/>
        <strike/>
        <color theme="1"/>
        <sz val="9.0"/>
      </rPr>
      <t>beteko zituen bitartean</t>
    </r>
    <r>
      <rPr>
        <rFont val="Arial"/>
        <color theme="1"/>
        <sz val="9.0"/>
      </rPr>
      <t xml:space="preserve">.
Non?
Nafarroa Beherea, Suhuskun (Iparralde) sortu zen Baxok.
Zergatik?
</t>
    </r>
    <r>
      <rPr>
        <rFont val="Arial"/>
        <strike/>
        <color theme="1"/>
        <sz val="9.0"/>
      </rPr>
      <t>Euskaltzainak jakinarazi du Euskaltzaindiak</t>
    </r>
    <r>
      <rPr>
        <rFont val="Arial"/>
        <color theme="1"/>
        <sz val="9.0"/>
      </rPr>
      <t xml:space="preserve">, Baxokek soziolinguistikan eta euskal kulturan egin zituen ekarpena, eta hizkuntzalaritza aplikatua irakasten aritu zen.
Nola?
Baxokek soziolinguistikoan eta pedagogian egin zituen ekarpena, eta hizkuntzalaritza aplikatua irakasten aritu zen. </t>
    </r>
    <r>
      <rPr>
        <rFont val="Arial"/>
        <strike/>
        <color theme="1"/>
        <sz val="9.0"/>
      </rPr>
      <t>Quebecen eta Euskal Herrian proiektu batzuk sortu zituen</t>
    </r>
    <r>
      <rPr>
        <rFont val="Arial"/>
        <color theme="1"/>
        <sz val="9.0"/>
      </rPr>
      <t>, eta Euskal Kultur Erakundearen buru izan zen. Soziolinguistikari buruzko ikasketak egin zituen, eta Euskaltzaindiko euskararen sustapen saileko kide aktiboa izan zen.</t>
    </r>
  </si>
  <si>
    <r>
      <rPr>
        <rFont val="Arial"/>
        <color theme="1"/>
        <sz val="9.0"/>
      </rPr>
      <t xml:space="preserve">Erramun Baxok, ohorezko euskaltzaina, 96 urte beteko zituen. Filosofian doktorea eta irakasle-ikerlari izan zen, eta Euskal Herriko mundu pedagogikoan, soziolinguistikoan eta kulturalean inplikatua izan zen. Quebecen eta Euskal Herrian </t>
    </r>
    <r>
      <rPr>
        <rFont val="Arial"/>
        <strike/>
        <color theme="1"/>
        <sz val="9.0"/>
      </rPr>
      <t>proiektu batzuk sortu zituen</t>
    </r>
    <r>
      <rPr>
        <rFont val="Arial"/>
        <color theme="1"/>
        <sz val="9.0"/>
      </rPr>
      <t>, eta soziolinguistikan egin zituen ekarpena. Euskaltzaindiak ohorezko kide izendatu zuten, eta Andres Urrutia euskaltzainburuak bere jakintza eta aditua izatea oroitu zuen. Baxokek soziolinguistika ikerketa egiten hasi zen, eta Euskal Kultur Erakundeko zuzendaritzan parte hartu zuen. EKEk eta EAJk bere lanagatik omendu zuten, eta BERRIAk elkarrizketa egin zion, Euskarazko hedabidea laguntzeko beharrez.</t>
    </r>
  </si>
  <si>
    <r>
      <rPr>
        <rFont val="Arial"/>
        <color rgb="FF666666"/>
        <sz val="9.0"/>
      </rPr>
      <t>Hurrengo testua laburtu da:</t>
    </r>
    <r>
      <rPr>
        <rFont val="Arial"/>
        <color theme="1"/>
        <sz val="9.0"/>
      </rPr>
      <t xml:space="preserve">
Hautetsien kritika handia izan da Peio Etxelekuri lurralde eremuko ordezkaritza kendu izan baduela. Sei auzapeek Etxelekuren kontra jo zuten eta gutun bat idazten,</t>
    </r>
    <r>
      <rPr>
        <rFont val="Arial"/>
        <strike/>
        <color theme="1"/>
        <sz val="9.0"/>
      </rPr>
      <t xml:space="preserve"> non </t>
    </r>
    <r>
      <rPr>
        <rFont val="Arial"/>
        <color theme="1"/>
        <sz val="9.0"/>
      </rPr>
      <t xml:space="preserve">hautetsi izenpetzaileek Etxelekuren «printzipioa» bera salatu dute. Horrez gain, Etxegarairen erabakia ere kritikatuta da, lurralde eremuko batzordea «informatu eta kontsultatu gabe» erabakia hartu izan duten agerian.
Izenpetzaileek lehendakariak «berehala» kendu dio ordezkaritza, eta ez duten entzuten Etxelekuren argudioak. Horrez gain, lurralde eremuko batzordeak ez dute informatu eta kontsultatu gabe jardun, batzordeko kideak ere parte hartu dute hautetsi prozesuan.
</t>
    </r>
    <r>
      <rPr>
        <rFont val="Arial"/>
        <strike/>
        <color theme="1"/>
        <sz val="9.0"/>
      </rPr>
      <t xml:space="preserve">
Hautetsiek Euskal Hirigune Elkargoko gobernantza itunaren </t>
    </r>
    <r>
      <rPr>
        <rFont val="Arial"/>
        <color theme="1"/>
        <sz val="9.0"/>
      </rPr>
      <t xml:space="preserve">kontrakoa daukate, lurralde batzordeetako kideen «rola eta zilegitasuna» ez duten zehaztu eta berriz aztertu behar dela eskatzeko. Horrez gain, sei auzapeek Etxelekuren «printzipioa» bera erabaki duten agerian, lurralde eremuko auzape sinatzaile gehiengo txikia da.
Lurralde eremuetako batzordeak 2020ko agintaldia hasterako sortu ziren, Euskal Hirigune Elkargoan gaiak lantzeko eremu eztabaida eta elkarrizketa izateko. Errobiko lurralde eremuan 11 herri daude, eta 35 hautetsi parte hartzen dute batzordeetan. Batzordeko kideek hautetsi izendatzen dira herriko bozetan edo kontseiluetan.
Hautetsien kritika eta galdera gehienak lurralde eremuko auzape sinatzaile gehiengo txikiari eta erabakia hartzeko prozesuari buruz dira. </t>
    </r>
    <r>
      <rPr>
        <rFont val="Arial"/>
        <strike/>
        <color theme="1"/>
        <sz val="9.0"/>
      </rPr>
      <t>Eztabaida hori aurrera eramateko, lurralde batzordeetako kideen parte-hartzea eta erabakigabea aztertzea behar da, eta erabakia hartzeko prozesua demokratiko eta parte-hartzaileagoa egitea garrantzitsua da.</t>
    </r>
  </si>
  <si>
    <r>
      <rPr>
        <rFont val="Arial"/>
        <color rgb="FF666666"/>
        <sz val="9.0"/>
      </rPr>
      <t>Testu honetan, auzape-hautetsien jarrera eta Euskal Hirigune Elkargoko gobernantza itunaren erantzukizuna garrantzitsuenak izan daitezke:</t>
    </r>
    <r>
      <rPr>
        <rFont val="Arial"/>
        <color theme="1"/>
        <sz val="9.0"/>
      </rPr>
      <t xml:space="preserve">
- **Auzape-hautetsien jarrera:** Sei </t>
    </r>
    <r>
      <rPr>
        <rFont val="Arial"/>
        <strike/>
        <color theme="1"/>
        <sz val="9.0"/>
      </rPr>
      <t xml:space="preserve">auzape-hautetsi </t>
    </r>
    <r>
      <rPr>
        <rFont val="Arial"/>
        <color theme="1"/>
        <sz val="9.0"/>
      </rPr>
      <t xml:space="preserve">kritikatzen dute Peio Etxelekuren lurralde eremuko ordezkaritza kendu izana, eta batzuk ez dute onartzen Jean Rene Etxegarai kargua kentzeko erabakia. Hautetsiak </t>
    </r>
    <r>
      <rPr>
        <rFont val="Arial"/>
        <strike/>
        <color theme="1"/>
        <sz val="9.0"/>
      </rPr>
      <t>Etxelekuren "printzipioa" salatu dute</t>
    </r>
    <r>
      <rPr>
        <rFont val="Arial"/>
        <color theme="1"/>
        <sz val="9.0"/>
      </rPr>
      <t xml:space="preserve">, eta Etxegarairen errekurtso gabea izan zen erabakia kritikatzen dute. Horrez gain, </t>
    </r>
    <r>
      <rPr>
        <rFont val="Arial"/>
        <strike/>
        <color theme="1"/>
        <sz val="9.0"/>
      </rPr>
      <t>auzape-hautetsien</t>
    </r>
    <r>
      <rPr>
        <rFont val="Arial"/>
        <color theme="1"/>
        <sz val="9.0"/>
      </rPr>
      <t xml:space="preserve"> hitzetan, lurralde eremua "informatu eta kontsultatu gabe" jardun dela azpimarratzen dute.
- **Euskal Hirigune Elkargoko gobernantza itunia:** Hautetsien iritziz, gobernantza itunia lurralde batzordeetako kideen "rola eta zilegitasuna" zehaztu eta berriz aztertu </t>
    </r>
    <r>
      <rPr>
        <rFont val="Arial"/>
        <strike/>
        <color theme="1"/>
        <sz val="9.0"/>
      </rPr>
      <t>behar izan du</t>
    </r>
    <r>
      <rPr>
        <rFont val="Arial"/>
        <color theme="1"/>
        <sz val="9.0"/>
      </rPr>
      <t xml:space="preserve">. Gobernantza itunia erantzuteko, </t>
    </r>
    <r>
      <rPr>
        <rFont val="Arial"/>
        <strike/>
        <color theme="1"/>
        <sz val="9.0"/>
      </rPr>
      <t>auzape-hautetsiak</t>
    </r>
    <r>
      <rPr>
        <rFont val="Arial"/>
        <color theme="1"/>
        <sz val="9.0"/>
      </rPr>
      <t xml:space="preserve"> eskatu dute lurralde batzordeetako kideek duten "zilegitasuna" berriz aztertzea eta zehaztzea.
</t>
    </r>
    <r>
      <rPr>
        <rFont val="Arial"/>
        <color rgb="FF666666"/>
        <sz val="9.0"/>
      </rPr>
      <t>Laburtu testua erabiliz, auzape-hautetsien jarrera eta gobernantza itunaren erantzukizuna garrantzitsuenak izan daitezke:</t>
    </r>
    <r>
      <rPr>
        <rFont val="Arial"/>
        <color theme="1"/>
        <sz val="9.0"/>
      </rPr>
      <t xml:space="preserve">
"Sei auzape-hautetsi kritikatzen dute Peio Etxelekuren lurralde eremuko ordezkaritza kendu izana</t>
    </r>
    <r>
      <rPr>
        <rFont val="Arial"/>
        <strike/>
        <color theme="1"/>
        <sz val="9.0"/>
      </rPr>
      <t xml:space="preserve">, eta horren ondorioz, </t>
    </r>
    <r>
      <rPr>
        <rFont val="Arial"/>
        <color theme="1"/>
        <sz val="9.0"/>
      </rPr>
      <t xml:space="preserve">Jean Rene Etxegarai kargua kentzeko erabakia. Hautetsiak Etxelekuren </t>
    </r>
    <r>
      <rPr>
        <rFont val="Arial"/>
        <strike/>
        <color theme="1"/>
        <sz val="9.0"/>
      </rPr>
      <t>jarrera "printzipioa" salatu dute</t>
    </r>
    <r>
      <rPr>
        <rFont val="Arial"/>
        <color theme="1"/>
        <sz val="9.0"/>
      </rPr>
      <t xml:space="preserve">, eta Etxegarairen errekurtso gabea izan zen erabakia kritikatzen dute. Horrez gain, lurralde eremua "informatu eta kontsultatu gabe" jardun dela azpimarratzen dute.
Hautetsien iritziz, Euskal Hirigune Elkargoko gobernantza itunia lurralde batzordeetako kideen "rola eta zilegitasuna" zehaztu eta berriz aztertu </t>
    </r>
    <r>
      <rPr>
        <rFont val="Arial"/>
        <strike/>
        <color theme="1"/>
        <sz val="9.0"/>
      </rPr>
      <t>behar izan du</t>
    </r>
    <r>
      <rPr>
        <rFont val="Arial"/>
        <color theme="1"/>
        <sz val="9.0"/>
      </rPr>
      <t xml:space="preserve">. Auzape-hautetsiak eskatu dute gobernantza itunean "zehaztua eta berriz aztertua" izan dadin lurralde batzordeetako kideek duten "zilegitasuna" eta erantzukizuna. </t>
    </r>
    <r>
      <rPr>
        <rFont val="Arial"/>
        <strike/>
        <color theme="1"/>
        <sz val="9.0"/>
      </rPr>
      <t>Horren ondorioz, auzape-hautetsiak</t>
    </r>
    <r>
      <rPr>
        <rFont val="Arial"/>
        <color theme="1"/>
        <sz val="9.0"/>
      </rPr>
      <t xml:space="preserve"> ez dute onartzen gertatu dena eta eskatu dute gobernantza itunean "zehaztua eta berriz aztertua" izan dadin lurralde batzordeetako kideen "rola eta zilegitasuna".
</t>
    </r>
    <r>
      <rPr>
        <rFont val="Arial"/>
        <color rgb="FF666666"/>
        <sz val="9.0"/>
      </rPr>
      <t xml:space="preserve">Hau da, </t>
    </r>
    <r>
      <rPr>
        <rFont val="Arial"/>
        <strike/>
        <color rgb="FF666666"/>
        <sz val="9.0"/>
      </rPr>
      <t>auzape-hautetsien</t>
    </r>
    <r>
      <rPr>
        <rFont val="Arial"/>
        <color rgb="FF666666"/>
        <sz val="9.0"/>
      </rPr>
      <t xml:space="preserve"> jarrera eta gobernantza itunaren erantzukizuna garrantzitsuenak izan daitezke testu honetan, eta horren ondorioz, laburtu testua erabiliz, horiekin lotuta dagoen garrantzia erakusten dute.</t>
    </r>
    <r>
      <rPr>
        <rFont val="Arial"/>
        <color theme="1"/>
        <sz val="9.0"/>
      </rPr>
      <t>"</t>
    </r>
  </si>
  <si>
    <r>
      <rPr>
        <rFont val="Arial"/>
        <color theme="1"/>
        <sz val="9.0"/>
      </rPr>
      <t xml:space="preserve">Zer?
Etxelekuren lurralde eremuko ordezkaritza kendu </t>
    </r>
    <r>
      <rPr>
        <rFont val="Arial"/>
        <color rgb="FFFF0000"/>
        <sz val="9.0"/>
      </rPr>
      <t>izatea</t>
    </r>
    <r>
      <rPr>
        <rFont val="Arial"/>
        <color theme="1"/>
        <sz val="9.0"/>
      </rPr>
      <t xml:space="preserve">.
Nork?
Sei auzape, Yannick Bassier, Emmanuelle Dallet, Denise Cedarry, Mikel Goienetxe, Erik Mailharrancin, Françoise Gallois, Laetitia Croc, Nicole Etxamendi eta Argitxu Hiriart Urruti.
Noiz?
</t>
    </r>
    <r>
      <rPr>
        <rFont val="Arial"/>
        <strike/>
        <color theme="1"/>
        <sz val="9.0"/>
      </rPr>
      <t>2024ko ekainaren 20an.</t>
    </r>
    <r>
      <rPr>
        <rFont val="Arial"/>
        <color theme="1"/>
        <sz val="9.0"/>
      </rPr>
      <t xml:space="preserve">
Non?
Euskal Hirigune Elkargoko lurralde eremuan, Lapurdi barnealdeko 11 </t>
    </r>
    <r>
      <rPr>
        <rFont val="Arial"/>
        <color rgb="FFFF0000"/>
        <sz val="9.0"/>
      </rPr>
      <t>herrian</t>
    </r>
    <r>
      <rPr>
        <rFont val="Arial"/>
        <color theme="1"/>
        <sz val="9.0"/>
      </rPr>
      <t xml:space="preserve">.
Zergatik?
Etxelekuren kontra jo zuten sei </t>
    </r>
    <r>
      <rPr>
        <rFont val="Arial"/>
        <color rgb="FFFF0000"/>
        <sz val="9.0"/>
      </rPr>
      <t>auzape</t>
    </r>
    <r>
      <rPr>
        <rFont val="Arial"/>
        <color theme="1"/>
        <sz val="9.0"/>
      </rPr>
      <t xml:space="preserve">, eta lurralde eremuko batzordea «informatu eta kontsultatu gabe» jardun izatea kritikatzen dute.
Nola?
Sei auzapeek Etxelekuren kontra gutun bat idatzi dute, </t>
    </r>
    <r>
      <rPr>
        <rFont val="Arial"/>
        <strike/>
        <color theme="1"/>
        <sz val="9.0"/>
      </rPr>
      <t xml:space="preserve">eta Etxegarairen erabakia «presakako eta errekurtsorik </t>
    </r>
    <r>
      <rPr>
        <rFont val="Arial"/>
        <strike/>
        <color rgb="FFFF0000"/>
        <sz val="9.0"/>
      </rPr>
      <t>gabeko</t>
    </r>
    <r>
      <rPr>
        <rFont val="Arial"/>
        <strike/>
        <color theme="1"/>
        <sz val="9.0"/>
      </rPr>
      <t>» delako salatu dute</t>
    </r>
    <r>
      <rPr>
        <rFont val="Arial"/>
        <color theme="1"/>
        <sz val="9.0"/>
      </rPr>
      <t>. Hautetsiek erantzungo dute lurralde batzordeetako kideek duten «rola eta zilegitasuna» zehaztea eta berriz aztertzea.</t>
    </r>
  </si>
  <si>
    <r>
      <rPr>
        <rFont val="Arial"/>
        <strike/>
        <color theme="1"/>
        <sz val="9.0"/>
      </rPr>
      <t>Etxelekuren kontrako</t>
    </r>
    <r>
      <rPr>
        <rFont val="Arial"/>
        <color theme="1"/>
        <sz val="9.0"/>
      </rPr>
      <t xml:space="preserve"> hautetsi izenpetzaileek, lurralde eremuko ordezkaritza kendu izana kritikatu dute, eta Etxegarairen erabakia «presakako eta errekurtsorik </t>
    </r>
    <r>
      <rPr>
        <rFont val="Arial"/>
        <color rgb="FFFF0000"/>
        <sz val="9.0"/>
      </rPr>
      <t>gabeko</t>
    </r>
    <r>
      <rPr>
        <rFont val="Arial"/>
        <color theme="1"/>
        <sz val="9.0"/>
      </rPr>
      <t xml:space="preserve">» delako salatu dute. Sei auzapeek </t>
    </r>
    <r>
      <rPr>
        <rFont val="Arial"/>
        <strike/>
        <color theme="1"/>
        <sz val="9.0"/>
      </rPr>
      <t>Etxelekuren «printzipioa» bera</t>
    </r>
    <r>
      <rPr>
        <rFont val="Arial"/>
        <color theme="1"/>
        <sz val="9.0"/>
      </rPr>
      <t xml:space="preserve"> salatu dute, eta lurralde eremuko batzordea «informatu eta kontsultatu gabe» jardun dela gaineratu dute.
Hautetsien iritziz, Euskal Hirigune Elkargoko gobernantza itunaren kontrakoa da gertakari hori, eta lurralde eremuko batzordeetako kideek duten «rola eta zilegitasuna» zehaztua eta berriz aztertua behar dela eskatu dute.
Lurralde eremuetako batzordeak 2020ko agintaldia hasterako sortu ziren, Euskal Hirigune Elkargoan elkarrizketa eta eztabaidarako eremuak sortzeko. Errobiko lurralde eremuan, Lapurdi barnealdeko 11 herri daude, eta 35 hautetsik parte hartzen dute batzordeetan. Errobiko zortzi auzapez dira lurralde batzordeko kide, eta gainerako hiruren funtzioa herriko beste hautetsi baten esku utzi dute.
TL;DR: Lurralde eremuko ordezkaritza kendu izatea kritikatu da, eta Euskal Hirigune Elkargoko gobernantza itunaren kontrakoa da gertakari hori. Lurralde eremuko batzordeetako kideek duten «rola eta zilegitasuna» zehaztzea eta berriz aztertzea eskatu dute.</t>
    </r>
  </si>
  <si>
    <r>
      <rPr>
        <rFont val="Arial"/>
        <color rgb="FF666666"/>
        <sz val="9.0"/>
      </rPr>
      <t>Hurrengo testua laburtu da:</t>
    </r>
    <r>
      <rPr>
        <rFont val="Arial"/>
        <color theme="1"/>
        <sz val="9.0"/>
      </rPr>
      <t xml:space="preserve">
Itziar Lakari, hizkuntzalaritza esperimentala eta neurohizkuntzalaritza lantzen duen ikertzaile nagusia, Eusko Ikaskuntza-Laboral Kutxaren saria jaso du bere ekarpen berritzaileengatik euskararen garapenerako eta hizkuntza gaitasunak gobernatzen dituzten mekanismoetan sakontzeko. Lakak, 1962an Getxon sortua, 2010ean </t>
    </r>
    <r>
      <rPr>
        <rFont val="Arial"/>
        <strike/>
        <color theme="1"/>
        <sz val="9.0"/>
      </rPr>
      <t>Eusko Ikaskuntzan lehenengo ikerketa talde esperimental bat sortu zuen</t>
    </r>
    <r>
      <rPr>
        <rFont val="Arial"/>
        <color theme="1"/>
        <sz val="9.0"/>
      </rPr>
      <t>, eta horren ondoren hainbat proiektu nagusitan ikertzaile nagusi izan da.
Epaimahaiak Lakaren ibilbideari erantzuteko, euskara unibertsitatean eta gizartean sustatzea «funtsezko dimentsioa» izan du bere ibilbidean. Gaur egun, EHUko EuskaraREN, KulturaREN eta Nazioartekotzearen arloko errektoreordetzan dago, eta hizkuntzalaritza klasikoen itzulpena susta</t>
    </r>
    <r>
      <rPr>
        <rFont val="Arial"/>
        <strike/>
        <color theme="1"/>
        <sz val="9.0"/>
      </rPr>
      <t>tzen</t>
    </r>
    <r>
      <rPr>
        <rFont val="Arial"/>
        <color theme="1"/>
        <sz val="9.0"/>
      </rPr>
      <t xml:space="preserve"> du EHUko Euskara Institutuarekin lankidetzan.
Lakaren lanak zientzia kulturaren zabalpenean ere nabarmendu dira, elebitasunaren inguruan mito batzuk bertan behera utzi dituelako zientzia zentzuzko ebidentziarekin. Bere ekarpenak euskarari eta hizkuntzalaritzari ere nabarmena ekarri dute, «lan itzela» egin duelako zientziaren eta zientzia kulturaren eragile nagusiak izan.
Eusko Ikaskuntza-Laboral Kutxaren saria Itziar Lakari emango die, bere ekarpenak euskararen garapenerako eta hizkuntza gaitasunak gobernatzen dituzten mekanismoetan sakontzen duten bitartez.</t>
    </r>
  </si>
  <si>
    <r>
      <rPr>
        <rFont val="Arial"/>
        <color rgb="FF666666"/>
        <sz val="9.0"/>
      </rPr>
      <t xml:space="preserve">Ondo pentsatuta, hurrengo testuaren edukirik garrantzitsuena </t>
    </r>
    <r>
      <rPr>
        <rFont val="Arial"/>
        <color theme="1"/>
        <sz val="9.0"/>
      </rPr>
      <t xml:space="preserve">"Ekarpen nabarmena egin du euskararen eta Euskal Herriko garapen zientifikoaren eta kulturalaren inguruan" delako. Horrela, Itziar Lakariaren ekarpena eta lanaren garrantzia nabarmendu nahi dute.
</t>
    </r>
    <r>
      <rPr>
        <rFont val="Arial"/>
        <color rgb="FF666666"/>
        <sz val="9.0"/>
      </rPr>
      <t xml:space="preserve">
Testu laburtua, baina garrantzitsu hura, "</t>
    </r>
    <r>
      <rPr>
        <rFont val="Arial"/>
        <color theme="1"/>
        <sz val="9.0"/>
      </rPr>
      <t xml:space="preserve">Epaimahaiak Lakak egindako ibilbidea saritu du: «Eredu handia izan da, gazteen artean ere, euskara goreneko maila zientifikoan jarriz, metodologia berriak baliatuz, punta-puntako ikerketekin landuz, egun berebiziko garrantzia duten alorrak jorratuz»." Delako, epaimahaiak Lakariaren ibilbideari eta ekarpenari erantzuteko, bere lanaren garrantzia eta eragiketa nabarmendu nahi ditu.
</t>
    </r>
    <r>
      <rPr>
        <rFont val="Arial"/>
        <color rgb="FF666666"/>
        <sz val="9.0"/>
      </rPr>
      <t>Horrelako testu laburtu eta garrantzitsuak, I</t>
    </r>
    <r>
      <rPr>
        <rFont val="Arial"/>
        <color theme="1"/>
        <sz val="9.0"/>
      </rPr>
      <t>tziar Lakariaren ekarpenak eta lan-ibilbidea nabarmendu eta garrantzitu nahi duten ikuspegi bat eragiten dute.</t>
    </r>
  </si>
  <si>
    <r>
      <rPr>
        <rFont val="Arial"/>
        <color theme="1"/>
        <sz val="9.0"/>
      </rPr>
      <t xml:space="preserve">**Zer?**
Itziar Lakari Eusko Ikaskuntza-Laboral Kutxaren saria </t>
    </r>
    <r>
      <rPr>
        <rFont val="Arial"/>
        <color rgb="FFFF0000"/>
        <sz val="9.0"/>
      </rPr>
      <t>jasan</t>
    </r>
    <r>
      <rPr>
        <rFont val="Arial"/>
        <color theme="1"/>
        <sz val="9.0"/>
      </rPr>
      <t xml:space="preserve"> du.
**Nork?**
Eusko Ikaskuntza, </t>
    </r>
    <r>
      <rPr>
        <rFont val="Arial"/>
        <strike/>
        <color theme="1"/>
        <sz val="9.0"/>
      </rPr>
      <t>hizkuntzalaritza eta zientziak ikertzen dituen erakundeak</t>
    </r>
    <r>
      <rPr>
        <rFont val="Arial"/>
        <color theme="1"/>
        <sz val="9.0"/>
      </rPr>
      <t>, Lakari saria ematea erabaki du.
**Noiz?**
Ez da noiz jaso duen saria esanguratu, baina Itziar Lakari 1962an jaiotakoa da eta 2010ean hizkuntzalaritza esperimentala eta neurohizkuntzalaritza lantzen dituen lehenengo ikerketa taldea sortu zuen.
**Non?**
Lakari Getxon sortua da (Bizkaia), eta gaur egun EHU Euskal Herriko Unibertsitateko EuskaraREN, KulturaREN eta Nazioartekotzearen arloko errektoreordetzan dago.
**Zergatik?**
Lakari "ekarpen berritzaileak" egin ditu euskararen garapenerako eta hizkuntza gaitasunak gobernatzen dituzten mekanismoetan sakontzeko. Bere lanak euskararen eta Euskal Herriko garapen zientifikoaren eta kulturalaren inguruan ekarpen nabarmena egin dute. Epaimahaiak ere Lakariren ibilbidea saritu du, bere zientifiko maila eta metodologia berriak jarri duela nabarmendu dute.
**Nola?**
Itziar Lakari hizkuntzalaritza esperimentala eta neurohizkuntzalaritza lantzen dituen lehenengo ikerketa taldeari buruzko lanak egin zituen, eta hizkuntzalaritza klasikoen itzulpena sustatu zuen. Bere ibilbidean, euskara unibertsitatean eta gizartean sustatzea "funtsezko dimentsioa" izan da, eta elebitasunaren inguruan zientifikoa dauden ebidentziak erakutsi ditu.</t>
    </r>
  </si>
  <si>
    <r>
      <rPr>
        <rFont val="Arial"/>
        <color theme="1"/>
        <sz val="9.0"/>
      </rPr>
      <t>Itziar Lakari, hizkuntzalaria, Eusko Ikaskuntza-Laboral Kutxaren Humanitateen, Kulturaren, Arteen eta Gizarte Zientzien Saria jaso du. Eusko Ikaskuntzak, bere ekarpen berritzaileak eta euskararen garapenerako lanagatik, Laka-ri saria eman dio.
Lakak, 1962an Getxon sortu zen, eta 2010an hizkuntzalaritza esperimentala eta neurohizkuntzalaritza lantzen dituen lehenengo ikerketa taldea sortu zuen. Bere ibilbidean, hizkuntzalaritza klasikoen itzulpena sustatu du eta zientzia kulturaren zabalpenean egin du "lan itzela".
Epaimahaiak Laka-ren ibilbidea saritu du, eta bere ekitaldi zientifikoetan, metodologia berriak baliatuz eta ikerketa puntualekin, euskararen eta Euskal Herriko garapen zientifikoaren inguruan ekarpen nagusiak egin dituela uste du.
Gaur egun, Lakak EHUko EuskaraREN, KulturaREN eta Nazioartekotzearen arloko errektoreordetzan dago, eta hizkuntzalaritza lan klasikoen itzulpena susta</t>
    </r>
    <r>
      <rPr>
        <rFont val="Arial"/>
        <strike/>
        <color theme="1"/>
        <sz val="9.0"/>
      </rPr>
      <t>tzen</t>
    </r>
    <r>
      <rPr>
        <rFont val="Arial"/>
        <color theme="1"/>
        <sz val="9.0"/>
      </rPr>
      <t xml:space="preserve"> du. Epaimahaiak, bere lanak zientzia eta gizartearen arteko lotura izan duten alorrak jorratzen dizkietela uste du.
TL;DR: Itziar Lakari, hizkuntzalaria, bere euskararen garapenerako lanagatik saria jaso du. Eusko Ikaskuntza-Laboral Kutxaren sariak jasotzean, bere ekitaldi zientifikoak eta ekarpenak euskararen garapenerako eta hizkuntzalaritzaren osotasunean nabarmendu dira.</t>
    </r>
  </si>
  <si>
    <r>
      <rPr>
        <rFont val="Arial"/>
        <color rgb="FF666666"/>
        <sz val="9.0"/>
      </rPr>
      <t>Epaiketa batzuk egin daitezke testu honen inguruan:</t>
    </r>
    <r>
      <rPr>
        <rFont val="Arial"/>
        <color theme="1"/>
        <sz val="9.0"/>
      </rPr>
      <t xml:space="preserve">
1. Zentro berria Arabako Foru Aldundiak zabaldu du, sexu indarkeria jasaten duten emakumeei arreta integrala emateko. Zentro honen helburua «krisi eta larrialdi egoeretan» andreak laguntzea eta babestzea da.
2. Gorka Urtaran Gizarte Politiketarako diputatuak eta Maika Diez Bermejo Esku Hartze Sozialeko zuzendariorde teknikoak zentro berriaren xehetasunak eman dute.
3. Istanbulgo Hitzarmena eta legeak sexu indarkeriaren aurkako zentro batzuk zabaldu behar dute Hego Euskal Herrian.
4. Urtaranek esplikatu du sexu indarkeriak giza eskubideen urraketa «larria» eta «egiturazkoa» dela, baina «ezkutuan» dagoela.
5. Zentro honetan, biktimak «babestuta, zainduta eta onartuta» sentitu ahal izango dute, eta laguntza sozial, juridiko eta psikologikoa eskainiko zaie.
6. Emakundeen datuen arabera, 2023an 92 emakumek aurkeztu zuten salaketa Araban sexu askatasunaren aurkako delituengatik.
Testu honetan, sexu indarkeriak jasaten duten emakumeei eta haien gertukoei laguntza eta babesa eskainitzea da helburua. Zentro berria, Tximeletak, krisi eta larrialdi egoeretan andreak laguntzeko sortua da, eta horretarako talde profesional bat eskaintzen diote arreta integrala.
</t>
    </r>
    <r>
      <rPr>
        <rFont val="Arial"/>
        <strike/>
        <color theme="1"/>
        <sz val="9.0"/>
      </rPr>
      <t>Hala ere, testu honetan, sexu indarkeriak jasaten duten emakumeen babesari buruzko hitzek, bortizkeriaren aurkako baliagarriak dira, baina sexu indarkeriak jasaten duten gizonen babesari buruzko hitzek ere, baliagarriak dira. Sexu indarkeriak jasaten duten gizonen babesari buruzko hitzek, bortizkeriaren aurkako baliagarriak dira, baina sexu indarkeriak jasaten duten emakumeen babesari buruzko hitzek ere, baliagarriak dira.</t>
    </r>
    <r>
      <rPr>
        <rFont val="Arial"/>
        <color theme="1"/>
        <sz val="9.0"/>
      </rPr>
      <t xml:space="preserve">
Arabako Foru Aldundiak zabaldu duen zentro berria, Tximeletak, sexu indarkeriak jasaten duten emakumeei eta haien gertukoei arreta integrala emateko, eta horretarako talde profesional bat eskaintzen diote. Zentro honetan, biktimak «babestuta, zainduta eta onartuta» sentitu ahal izango dute, eta laguntza sozial, juridiko eta psikologikoa eskainiko zaie.
</t>
    </r>
    <r>
      <rPr>
        <rFont val="Arial"/>
        <strike/>
        <color theme="1"/>
        <sz val="9.0"/>
      </rPr>
      <t>Hala ere, testu honetan, sexu indarkeriak jasaten duten emakumeen babesari buruzko hitzek, bortizkeriaren aurkako baliagarriak dira, baina sexu indarkeriak jasaten duten gizonen babesari buruzko hitzek ere, baliagarriak dira. Sexu indarkeriak jasaten duten gizonen babesari buruzko hitzek, bortizkeriaren aurkako baliagarriak dira, baina sexu indarkeriak jasaten duten emakumeen babesari buruzko hitzek ere, baliagarriak dira.</t>
    </r>
    <r>
      <rPr>
        <rFont val="Arial"/>
        <color theme="1"/>
        <sz val="9.0"/>
      </rPr>
      <t xml:space="preserve">
</t>
    </r>
    <r>
      <rPr>
        <rFont val="Arial"/>
        <strike/>
        <color theme="1"/>
        <sz val="9.0"/>
      </rPr>
      <t>Arabako Foru Aldundiak zabaldu duen zentro berria, Tximeletak, sexu indarkeriak jasaten duten emakumeei eta haien gertukoei arreta integrala emateko, eta horretarako talde profesional bat eskaintzen diote. Zentro honetan, biktimak «babestuta, zainduta eta onartuta» sentitu ahal izango dute, eta laguntza sozial, juridiko eta psikologikoa eskainiko zaie.
Hala ere, testu honetan, sexu indarkeriak jasaten duten emakumeen babesari buruzko hitzek, bortizkeriaren aurkako baliagarriak dira, baina sexu indarkeriak jasaten duten gizonen babesari buruzko hitzek ere, baliagarriak dira. Sexu indarkeriak jasaten duten gizonen babesari buruzko hitzek, bortizkeriaren aurkako baliagarriak dira, baina sexu indarkeriak jasaten duten emakumeen babesari buruzko hitzek ere, baliagarriak dira.</t>
    </r>
  </si>
  <si>
    <r>
      <rPr>
        <rFont val="Arial"/>
        <color rgb="FF666666"/>
        <sz val="9.0"/>
      </rPr>
      <t>Ondo den hurrengo testuaren edukirik garrantzitsuena:</t>
    </r>
    <r>
      <rPr>
        <rFont val="Arial"/>
        <color theme="1"/>
        <sz val="9.0"/>
      </rPr>
      <t xml:space="preserve">
"Sexu indarkeria giza eskubideen urraketa larria eta egiturazkoa da, baina, maiz, ezkutuan dago."
</t>
    </r>
    <r>
      <rPr>
        <rFont val="Arial"/>
        <color rgb="FF666666"/>
        <sz val="9.0"/>
      </rPr>
      <t>Laburtu testua:</t>
    </r>
    <r>
      <rPr>
        <rFont val="Arial"/>
        <color theme="1"/>
        <sz val="9.0"/>
      </rPr>
      <t xml:space="preserve">
"Sexu bortizkeria nozitu duten emakumeei eta haien gertukoei arreta integrala emateko ireki dute gunea, eta biktimen lehengoratze psikologikoa sustatuko du, laguntza sozial eta juridikorako tresnak haien esku jarrita."
</t>
    </r>
    <r>
      <rPr>
        <rFont val="Arial"/>
        <color rgb="FF666666"/>
        <sz val="9.0"/>
      </rPr>
      <t>Testu honetan, garrantzitsua da</t>
    </r>
    <r>
      <rPr>
        <rFont val="Arial"/>
        <color theme="1"/>
        <sz val="9.0"/>
      </rPr>
      <t xml:space="preserve"> Arabako Foru Aldundiak emakumeentzako arreta integrala emateko zentro berria zabaldu duela eta sexu indarkeria jasotzen duten andreak babesteko eta laguntzeko aholkularitza sozial eta juridikoa eskaintzen dietela. Zentro honen helburua da krisi eta larrialdi egoeretan andreok sentitu egin duten lehengoratze psikologikoa sustatzeko eta laguntza emateko.
</t>
    </r>
    <r>
      <rPr>
        <rFont val="Arial"/>
        <color rgb="FF666666"/>
        <sz val="9.0"/>
      </rPr>
      <t>Testu laburtuan, garrantzitsua da</t>
    </r>
    <r>
      <rPr>
        <rFont val="Arial"/>
        <color theme="1"/>
        <sz val="9.0"/>
      </rPr>
      <t xml:space="preserve"> gertukoekin elkartzeko eta osatzeko aholkularitza eskaintzen dietela, eta hainbat zerbitzu eta eragileekin koordinazioa bermatzen dietela, harrera eta komunikazio protokoloak landu dituzte.
</t>
    </r>
    <r>
      <rPr>
        <rFont val="Arial"/>
        <color rgb="FF666666"/>
        <sz val="9.0"/>
      </rPr>
      <t>Hurrengo testuaren edukirik garrantzitsuena:</t>
    </r>
    <r>
      <rPr>
        <rFont val="Arial"/>
        <color theme="1"/>
        <sz val="9.0"/>
      </rPr>
      <t xml:space="preserve">
"Biktimentzako «abaroa»
Biktimen «lehengoratze integrala» sustatuko dute bertan, besteak beste informazioa, aholkularitza eta arreta soziala, juridikoa eta psikologikoa eskainita. Indarkeria sexualaren ondorioen aurkako estrategia baten barruan lan egingo dute, helburua baita biktimaren erreparazioa lortzea, emakume kaltetuek bizitako esperientzia traumatikoen ondoren euren bizitzarekin jarraitu ahal izan dezaten."
</t>
    </r>
    <r>
      <rPr>
        <rFont val="Arial"/>
        <strike/>
        <color rgb="FF666666"/>
        <sz val="9.0"/>
      </rPr>
      <t>Laburtu testua:</t>
    </r>
    <r>
      <rPr>
        <rFont val="Arial"/>
        <strike/>
        <color theme="1"/>
        <sz val="9.0"/>
      </rPr>
      <t xml:space="preserve">
"Biktimen lehengoratze integrala sustatuko dute, eta haien arreta soziala, juridikoa eta psikologikoa eskainiko diote. Helburua da emakume kaltetuek bizitza berreskuratzea eta esperientzia traumatikoen ondorioekin aurrera egin ahal izateko laguntzea."
</t>
    </r>
    <r>
      <rPr>
        <rFont val="Arial"/>
        <strike/>
        <color rgb="FF666666"/>
        <sz val="9.0"/>
      </rPr>
      <t xml:space="preserve">
Honen bitartez, garrantzitsua da </t>
    </r>
    <r>
      <rPr>
        <rFont val="Arial"/>
        <strike/>
        <color theme="1"/>
        <sz val="9.0"/>
      </rPr>
      <t xml:space="preserve">zentroak biktimen lehengoratze integralaren eta arreta osoaren beharra nabarmendu duela, eta emakume kaltetuek bizitzan jarraitu ahal izateko laguntza emateko estrategia baten barruan lan egingo duela.
</t>
    </r>
    <r>
      <rPr>
        <rFont val="Arial"/>
        <strike/>
        <color rgb="FF666666"/>
        <sz val="9.0"/>
      </rPr>
      <t xml:space="preserve">Testu honetan, garrantzitsua da </t>
    </r>
    <r>
      <rPr>
        <rFont val="Arial"/>
        <strike/>
        <color theme="1"/>
        <sz val="9.0"/>
      </rPr>
      <t>zentroak biktimen arreta eta laguntza emateko aholkularitza sozial eta juridikoa eskaintzen dietela, eta emakume kaltetuek bizitzan aurrera egin ahal izateko laguntzea helburu nagusia izatea.</t>
    </r>
  </si>
  <si>
    <r>
      <rPr>
        <rFont val="Arial"/>
        <color theme="1"/>
        <sz val="9.0"/>
      </rPr>
      <t xml:space="preserve">Zer?
- Arabako Foru Aldundiak sexu indarkeria jasaten duten emakumeei arreta integrala emateko zentro bat zabaldu du.
Nork?
- Gorka Urtaran, Gizarte Politiketarako diputatuak, eta Maika Diez Bermejo, Esku Hartze Sozialeko zuzendariorde teknikoak, zentro berriaren xehetasunak eman dute.
Noiz?
- Apirilaren 19tik aurrera, zentroa martxan jarri da.
Non?
- Gasteizko erdigunean dago zentroa, baina erabiltzaileen konfidentzialtasuna bermatze aldera, ez dute zehaztu non dagoela.
Zergatik?
- Sexu indarkeria giza eskubideen urraketa larria eta egiturazkoa da, eta hori babesteko eta laguntzeko, osatzeko lan egingo dute zentroan.
Nola?
- Zentroa, </t>
    </r>
    <r>
      <rPr>
        <rFont val="Arial"/>
        <strike/>
        <color theme="1"/>
        <sz val="9.0"/>
      </rPr>
      <t>Istanbulgo Hitzarmenak eta legeak zehazten duen moduan</t>
    </r>
    <r>
      <rPr>
        <rFont val="Arial"/>
        <color theme="1"/>
        <sz val="9.0"/>
      </rPr>
      <t>, diziplina askotako profesional talde batek aurrez aurreko laguntza eskainiko dio biktimari. Helburua, biktima babestuta, zainduta eta onartuta sentitu daitezen, eta bere esperientzia traumatikoen ondoren euren bizitzarekin jarraitu ahal izatea.</t>
    </r>
  </si>
  <si>
    <r>
      <rPr>
        <rFont val="Arial"/>
        <color theme="1"/>
        <sz val="9.0"/>
      </rPr>
      <t xml:space="preserve">Araba Foru Aldundiak emakumeentzako arreta integrala emateko zentro berria zabaldu du, sexu indarkeria jasaten duten andreak babesteko eta laguntzeko. Zentroa, "Tximeletak", Gasteizko erdigunean dago, eta egunean 24 orduz eta urtean 365 egunez, aurrez aurre, telefonoz zein online, arreta eskainiko du biktimari.
Gorka Urtaran Gizarte Politiketarako diputatuak eta Maika Diez Bermejo Esku Hartze Sozialeko zuzendariorde teknikoak eman dute zentro berriaren xehetasunak. Helburua da biktimak babesteko, laguntzeko eta osatzeko, eta gainerako arreta zerbitzuekin koordinatuta egotea.
Sexu indarkeria giza eskubideen urraketa larria eta egiturazkoa dela </t>
    </r>
    <r>
      <rPr>
        <rFont val="Arial"/>
        <strike/>
        <color theme="1"/>
        <sz val="9.0"/>
      </rPr>
      <t>uste dute</t>
    </r>
    <r>
      <rPr>
        <rFont val="Arial"/>
        <color theme="1"/>
        <sz val="9.0"/>
      </rPr>
      <t xml:space="preserve">, baina ezkutuan dagoela ere. Zentro honetan, diziplina askotako profesionalak aurrez aurreko laguntza eskainiko dute biktimari, arreta psikologikoa eta aholkularitza juridikoa barne.
Biktimak 18 urte baino gehiago badituzte edo adingabe emantzipatuak badira, zentroan arreta emateko aukera izango dute, eta ez da beharrezkoa aurrez salaketa jarria izatea. Zentroak sexu-indarkeria molde guztiak pairatu dituzten andrazkoak artatu ahal izango ditu, eta biktimen "lehengoratze integrala" sustatuko du, informazioa, aholkularitza eta arreta soziala, juridikoa eta psikologikoa eskainita.
"Sexu eraso batek shock egoera bat sortzen du, eta esku hartzea ezinbestekoa da, trauma bihurtu ez dadin," esan du Gorka Urtaran. Zentroak biktimentzako "abaroa" izan nahi du, eta biktimen testigantzei sinesgarritasuna emango zaie.
</t>
    </r>
    <r>
      <rPr>
        <rFont val="Arial"/>
        <strike/>
        <color theme="1"/>
        <sz val="9.0"/>
      </rPr>
      <t>Zentroak 109 emakume artatu zituen 2023an,</t>
    </r>
    <r>
      <rPr>
        <rFont val="Arial"/>
        <color theme="1"/>
        <sz val="9.0"/>
      </rPr>
      <t xml:space="preserve"> zuzeneko biktimak izan ziren 23 adingaberi eta 45 senideri ere. Emakunderen datuen arabera, 2023an 92 emakumek aurkeztu zuten salaketa Araban sexu askatasunaren aurkako delituengatik.
TL;DR:
Araba Foru Aldundiak emakumeentzako arreta integrala emateko zentro berria zabaldu du, sexu indarkeria jasaten duten andreak babesteko eta laguntzeko. Zentroa, "Tximeletak", Gasteizko erdigunean dago eta arreta psikologikoa, aholkularitza juridikoa eta soziala eskainiko du biktimari.</t>
    </r>
  </si>
  <si>
    <r>
      <rPr>
        <rFont val="Arial"/>
        <color rgb="FF666666"/>
        <sz val="9.0"/>
      </rPr>
      <t>Hona hemen testua laburtuta:</t>
    </r>
    <r>
      <rPr>
        <rFont val="Arial"/>
        <color theme="1"/>
        <sz val="9.0"/>
      </rPr>
      <t xml:space="preserve">
</t>
    </r>
    <r>
      <rPr>
        <rFont val="Arial"/>
        <color rgb="FFFF9900"/>
        <sz val="9.0"/>
      </rPr>
      <t>Etxebarrin (Bizkaia)</t>
    </r>
    <r>
      <rPr>
        <rFont val="Arial"/>
        <color theme="1"/>
        <sz val="9.0"/>
      </rPr>
      <t xml:space="preserve">, </t>
    </r>
    <r>
      <rPr>
        <rFont val="Arial"/>
        <color rgb="FF4A86E8"/>
        <sz val="9.0"/>
      </rPr>
      <t>herriko jaietan</t>
    </r>
    <r>
      <rPr>
        <rFont val="Arial"/>
        <color theme="1"/>
        <sz val="9.0"/>
      </rPr>
      <t xml:space="preserve">, </t>
    </r>
    <r>
      <rPr>
        <rFont val="Arial"/>
        <color rgb="FFFF0000"/>
        <sz val="9.0"/>
      </rPr>
      <t xml:space="preserve">emakume batek </t>
    </r>
    <r>
      <rPr>
        <rFont val="Arial"/>
        <color rgb="FF38761D"/>
        <sz val="9.0"/>
      </rPr>
      <t>sexu eraso bat jasan zuen</t>
    </r>
    <r>
      <rPr>
        <rFont val="Arial"/>
        <color theme="1"/>
        <sz val="9.0"/>
      </rPr>
      <t xml:space="preserve"> </t>
    </r>
    <r>
      <rPr>
        <rFont val="Arial"/>
        <strike/>
        <color theme="1"/>
        <sz val="9.0"/>
      </rPr>
      <t>atzo goizaldean</t>
    </r>
    <r>
      <rPr>
        <rFont val="Arial"/>
        <color theme="1"/>
        <sz val="9.0"/>
      </rPr>
      <t xml:space="preserve"> </t>
    </r>
    <r>
      <rPr>
        <rFont val="Arial"/>
        <color rgb="FFFF9900"/>
        <sz val="9.0"/>
      </rPr>
      <t>kalean jarritako komunetan</t>
    </r>
    <r>
      <rPr>
        <rFont val="Arial"/>
        <color theme="1"/>
        <sz val="9.0"/>
      </rPr>
      <t xml:space="preserve">. Ondorioz, </t>
    </r>
    <r>
      <rPr>
        <rFont val="Arial"/>
        <color rgb="FFFF0000"/>
        <sz val="9.0"/>
      </rPr>
      <t>Udalak</t>
    </r>
    <r>
      <rPr>
        <rFont val="Arial"/>
        <color theme="1"/>
        <sz val="9.0"/>
      </rPr>
      <t xml:space="preserve"> </t>
    </r>
    <r>
      <rPr>
        <rFont val="Arial"/>
        <color rgb="FF38761D"/>
        <sz val="9.0"/>
      </rPr>
      <t>egun horretarako aurreikusitako ekitaldi guztiak bertan behera utzi zituen</t>
    </r>
    <r>
      <rPr>
        <rFont val="Arial"/>
        <color theme="1"/>
        <sz val="9.0"/>
      </rPr>
      <t xml:space="preserve">. </t>
    </r>
    <r>
      <rPr>
        <rFont val="Arial"/>
        <color rgb="FFFF9900"/>
        <sz val="9.0"/>
      </rPr>
      <t xml:space="preserve">Zintururi plazan </t>
    </r>
    <r>
      <rPr>
        <rFont val="Arial"/>
        <color rgb="FF38761D"/>
        <sz val="9.0"/>
      </rPr>
      <t>elkarretaratzea egin zuten</t>
    </r>
    <r>
      <rPr>
        <rFont val="Arial"/>
        <color theme="1"/>
        <sz val="9.0"/>
      </rPr>
      <t xml:space="preserve"> </t>
    </r>
    <r>
      <rPr>
        <rFont val="Arial"/>
        <color rgb="FFFF0000"/>
        <sz val="9.0"/>
      </rPr>
      <t>Udalak, jai batzordeak eta txosnek</t>
    </r>
    <r>
      <rPr>
        <rFont val="Arial"/>
        <color theme="1"/>
        <sz val="9.0"/>
      </rPr>
      <t xml:space="preserve">, eta </t>
    </r>
    <r>
      <rPr>
        <rFont val="Arial"/>
        <color rgb="FFFF0000"/>
        <sz val="9.0"/>
      </rPr>
      <t xml:space="preserve">ehunka herritar </t>
    </r>
    <r>
      <rPr>
        <rFont val="Arial"/>
        <color rgb="FF38761D"/>
        <sz val="9.0"/>
      </rPr>
      <t>bildu ziren</t>
    </r>
    <r>
      <rPr>
        <rFont val="Arial"/>
        <color theme="1"/>
        <sz val="9.0"/>
      </rPr>
      <t xml:space="preserve"> </t>
    </r>
    <r>
      <rPr>
        <rFont val="Arial"/>
        <color rgb="FFBF9000"/>
        <sz val="9.0"/>
      </rPr>
      <t>"Erasorik ez, erantzunik gabe" lelopean</t>
    </r>
    <r>
      <rPr>
        <rFont val="Arial"/>
        <color theme="1"/>
        <sz val="9.0"/>
      </rPr>
      <t xml:space="preserve">. </t>
    </r>
    <r>
      <rPr>
        <rFont val="Arial"/>
        <color rgb="FFFF0000"/>
        <sz val="9.0"/>
      </rPr>
      <t>Ertzaintzak</t>
    </r>
    <r>
      <rPr>
        <rFont val="Arial"/>
        <color theme="1"/>
        <sz val="9.0"/>
      </rPr>
      <t xml:space="preserve"> </t>
    </r>
    <r>
      <rPr>
        <rFont val="Arial"/>
        <color rgb="FF38761D"/>
        <sz val="9.0"/>
      </rPr>
      <t>ikerketa abiatu du</t>
    </r>
    <r>
      <rPr>
        <rFont val="Arial"/>
        <color theme="1"/>
        <sz val="9.0"/>
      </rPr>
      <t>, baina ez da inor atxilotu oraindik. Udalak ohar batean adierazi du jaiak bizikidetza eta askatasuna errespetatuz ospatu behar direla, eta erasoak egiten dituzten pertsonak ez direla ongi etorriak.</t>
    </r>
  </si>
  <si>
    <r>
      <rPr>
        <rFont val="Arial"/>
        <color rgb="FFFF9900"/>
        <sz val="9.0"/>
      </rPr>
      <t>Etxebarrin (Bizkaia)</t>
    </r>
    <r>
      <rPr>
        <rFont val="Arial"/>
        <color theme="1"/>
        <sz val="9.0"/>
      </rPr>
      <t xml:space="preserve">, </t>
    </r>
    <r>
      <rPr>
        <rFont val="Arial"/>
        <color rgb="FF4A86E8"/>
        <sz val="9.0"/>
      </rPr>
      <t>jaietan</t>
    </r>
    <r>
      <rPr>
        <rFont val="Arial"/>
        <color theme="1"/>
        <sz val="9.0"/>
      </rPr>
      <t xml:space="preserve">, </t>
    </r>
    <r>
      <rPr>
        <rFont val="Arial"/>
        <color rgb="FFFF0000"/>
        <sz val="9.0"/>
      </rPr>
      <t>emakume batek</t>
    </r>
    <r>
      <rPr>
        <rFont val="Arial"/>
        <color theme="1"/>
        <sz val="9.0"/>
      </rPr>
      <t xml:space="preserve"> </t>
    </r>
    <r>
      <rPr>
        <rFont val="Arial"/>
        <color rgb="FF38761D"/>
        <sz val="9.0"/>
      </rPr>
      <t>sexu eraso bat jasan duela salatu du</t>
    </r>
    <r>
      <rPr>
        <rFont val="Arial"/>
        <color theme="1"/>
        <sz val="9.0"/>
      </rPr>
      <t xml:space="preserve">. </t>
    </r>
    <r>
      <rPr>
        <rFont val="Arial"/>
        <color rgb="FFFF0000"/>
        <sz val="9.0"/>
      </rPr>
      <t>Udalak</t>
    </r>
    <r>
      <rPr>
        <rFont val="Arial"/>
        <color theme="1"/>
        <sz val="9.0"/>
      </rPr>
      <t xml:space="preserve"> </t>
    </r>
    <r>
      <rPr>
        <rFont val="Arial"/>
        <color rgb="FF38761D"/>
        <sz val="9.0"/>
      </rPr>
      <t>ekitaldi guztiak bertan behera utzi ditu</t>
    </r>
    <r>
      <rPr>
        <rFont val="Arial"/>
        <color theme="1"/>
        <sz val="9.0"/>
      </rPr>
      <t xml:space="preserve">, eta </t>
    </r>
    <r>
      <rPr>
        <rFont val="Arial"/>
        <color rgb="FFFF0000"/>
        <sz val="9.0"/>
      </rPr>
      <t>herritarrek</t>
    </r>
    <r>
      <rPr>
        <rFont val="Arial"/>
        <color theme="1"/>
        <sz val="9.0"/>
      </rPr>
      <t xml:space="preserve"> </t>
    </r>
    <r>
      <rPr>
        <rFont val="Arial"/>
        <color rgb="FF38761D"/>
        <sz val="9.0"/>
      </rPr>
      <t>elkarretaratze bat egin dute erasoa salatzeko</t>
    </r>
    <r>
      <rPr>
        <rFont val="Arial"/>
        <color theme="1"/>
        <sz val="9.0"/>
      </rPr>
      <t xml:space="preserve">. </t>
    </r>
    <r>
      <rPr>
        <rFont val="Arial"/>
        <color rgb="FFFF0000"/>
        <sz val="9.0"/>
      </rPr>
      <t>Ertzaintzak</t>
    </r>
    <r>
      <rPr>
        <rFont val="Arial"/>
        <color theme="1"/>
        <sz val="9.0"/>
      </rPr>
      <t xml:space="preserve"> </t>
    </r>
    <r>
      <rPr>
        <rFont val="Arial"/>
        <color rgb="FF38761D"/>
        <sz val="9.0"/>
      </rPr>
      <t>ikerketa abiatu du</t>
    </r>
    <r>
      <rPr>
        <rFont val="Arial"/>
        <color theme="1"/>
        <sz val="9.0"/>
      </rPr>
      <t xml:space="preserve">, baina oraindik ez dute inor atxilotu. </t>
    </r>
    <r>
      <rPr>
        <rFont val="Arial"/>
        <color rgb="FFFF0000"/>
        <sz val="9.0"/>
      </rPr>
      <t>Udalak</t>
    </r>
    <r>
      <rPr>
        <rFont val="Arial"/>
        <color theme="1"/>
        <sz val="9.0"/>
      </rPr>
      <t xml:space="preserve"> </t>
    </r>
    <r>
      <rPr>
        <rFont val="Arial"/>
        <color rgb="FF38761D"/>
        <sz val="9.0"/>
      </rPr>
      <t>adierazi du jaiak bizikidetzan eta askatasunean oinarritu behar direla</t>
    </r>
    <r>
      <rPr>
        <rFont val="Arial"/>
        <color theme="1"/>
        <sz val="9.0"/>
      </rPr>
      <t xml:space="preserve">, eta </t>
    </r>
    <r>
      <rPr>
        <rFont val="Arial"/>
        <strike/>
        <color theme="1"/>
        <sz val="9.0"/>
      </rPr>
      <t>indarkeria erabiltzen dutenek</t>
    </r>
    <r>
      <rPr>
        <rFont val="Arial"/>
        <color theme="1"/>
        <sz val="9.0"/>
      </rPr>
      <t xml:space="preserve"> ez dutela lekurik.</t>
    </r>
  </si>
  <si>
    <r>
      <rPr>
        <rFont val="Arial"/>
        <color rgb="FF666666"/>
        <sz val="9.0"/>
      </rPr>
      <t>**5W1H metodoa erabiliz laburtua:**</t>
    </r>
    <r>
      <rPr>
        <rFont val="Arial"/>
        <color theme="1"/>
        <sz val="9.0"/>
      </rPr>
      <t xml:space="preserve">
- **Zer:** </t>
    </r>
    <r>
      <rPr>
        <rFont val="Arial"/>
        <color rgb="FFFF0000"/>
        <sz val="9.0"/>
      </rPr>
      <t>Emakume batek</t>
    </r>
    <r>
      <rPr>
        <rFont val="Arial"/>
        <color theme="1"/>
        <sz val="9.0"/>
      </rPr>
      <t xml:space="preserve"> </t>
    </r>
    <r>
      <rPr>
        <rFont val="Arial"/>
        <color rgb="FF38761D"/>
        <sz val="9.0"/>
      </rPr>
      <t>sexu eraso bat salatu du</t>
    </r>
    <r>
      <rPr>
        <rFont val="Arial"/>
        <color theme="1"/>
        <sz val="9.0"/>
      </rPr>
      <t xml:space="preserve">.
- **Nork:** Erasoa jasan duen emakumea salatu du; Etxebarriko Udala eta herritarrak elkartu dira erasoa salatzeko.
- **Noiz:** </t>
    </r>
    <r>
      <rPr>
        <rFont val="Arial"/>
        <strike/>
        <color theme="1"/>
        <sz val="9.0"/>
      </rPr>
      <t>Atzo goizaldean gertatu zen erasoa</t>
    </r>
    <r>
      <rPr>
        <rFont val="Arial"/>
        <color theme="1"/>
        <sz val="9.0"/>
      </rPr>
      <t xml:space="preserve">.
- **Non:** </t>
    </r>
    <r>
      <rPr>
        <rFont val="Arial"/>
        <color rgb="FFFF9900"/>
        <sz val="9.0"/>
      </rPr>
      <t xml:space="preserve">Etxebarriko (Bizkaia) </t>
    </r>
    <r>
      <rPr>
        <rFont val="Arial"/>
        <color rgb="FF4A86E8"/>
        <sz val="9.0"/>
      </rPr>
      <t>herriko jaietan</t>
    </r>
    <r>
      <rPr>
        <rFont val="Arial"/>
        <color theme="1"/>
        <sz val="9.0"/>
      </rPr>
      <t xml:space="preserve">, </t>
    </r>
    <r>
      <rPr>
        <rFont val="Arial"/>
        <color rgb="FFFF9900"/>
        <sz val="9.0"/>
      </rPr>
      <t>kalean jarri ohi dituzten komunetan</t>
    </r>
    <r>
      <rPr>
        <rFont val="Arial"/>
        <color theme="1"/>
        <sz val="9.0"/>
      </rPr>
      <t xml:space="preserve">.
- **Zergatik:** Erasoa salatu dute askatasuna eta bizikidetza errespetatu behar direla aldarrikatzeko, eta erasorik ezin dela onartu.
- **Nola:** </t>
    </r>
    <r>
      <rPr>
        <rFont val="Arial"/>
        <color rgb="FFFF0000"/>
        <sz val="9.0"/>
      </rPr>
      <t>Ertzaintzak</t>
    </r>
    <r>
      <rPr>
        <rFont val="Arial"/>
        <color theme="1"/>
        <sz val="9.0"/>
      </rPr>
      <t xml:space="preserve"> </t>
    </r>
    <r>
      <rPr>
        <rFont val="Arial"/>
        <color rgb="FF38761D"/>
        <sz val="9.0"/>
      </rPr>
      <t>ikerketa abiatu du</t>
    </r>
    <r>
      <rPr>
        <rFont val="Arial"/>
        <color theme="1"/>
        <sz val="9.0"/>
      </rPr>
      <t xml:space="preserve">, eta </t>
    </r>
    <r>
      <rPr>
        <rFont val="Arial"/>
        <color rgb="FFFF0000"/>
        <sz val="9.0"/>
      </rPr>
      <t>herritarrek</t>
    </r>
    <r>
      <rPr>
        <rFont val="Arial"/>
        <color theme="1"/>
        <sz val="9.0"/>
      </rPr>
      <t xml:space="preserve"> </t>
    </r>
    <r>
      <rPr>
        <rFont val="Arial"/>
        <color rgb="FF38761D"/>
        <sz val="9.0"/>
      </rPr>
      <t xml:space="preserve">elkartaratzean parte hartu dute </t>
    </r>
    <r>
      <rPr>
        <rFont val="Arial"/>
        <color theme="1"/>
        <sz val="9.0"/>
      </rPr>
      <t>erasoa salatzeko; ez da inor atxilotu.</t>
    </r>
  </si>
  <si>
    <r>
      <rPr>
        <rFont val="Arial"/>
        <color rgb="FFFF0000"/>
        <sz val="9.0"/>
      </rPr>
      <t>Emakume batek</t>
    </r>
    <r>
      <rPr>
        <rFont val="Arial"/>
        <color theme="1"/>
        <sz val="9.0"/>
      </rPr>
      <t xml:space="preserve"> </t>
    </r>
    <r>
      <rPr>
        <rFont val="Arial"/>
        <color rgb="FF38761D"/>
        <sz val="9.0"/>
      </rPr>
      <t>sexu erasoa salatu zuen</t>
    </r>
    <r>
      <rPr>
        <rFont val="Arial"/>
        <color theme="1"/>
        <sz val="9.0"/>
      </rPr>
      <t xml:space="preserve"> </t>
    </r>
    <r>
      <rPr>
        <rFont val="Arial"/>
        <color rgb="FFFF9900"/>
        <sz val="9.0"/>
      </rPr>
      <t>Etxebarrin (Bizkaia)</t>
    </r>
    <r>
      <rPr>
        <rFont val="Arial"/>
        <color theme="1"/>
        <sz val="9.0"/>
      </rPr>
      <t xml:space="preserve">, </t>
    </r>
    <r>
      <rPr>
        <rFont val="Arial"/>
        <color rgb="FF4A86E8"/>
        <sz val="9.0"/>
      </rPr>
      <t>herriko jaietan</t>
    </r>
    <r>
      <rPr>
        <rFont val="Arial"/>
        <color theme="1"/>
        <sz val="9.0"/>
      </rPr>
      <t xml:space="preserve"> </t>
    </r>
    <r>
      <rPr>
        <rFont val="Arial"/>
        <color rgb="FFFF9900"/>
        <sz val="9.0"/>
      </rPr>
      <t>kalean jarritako komunetan</t>
    </r>
    <r>
      <rPr>
        <rFont val="Arial"/>
        <color theme="1"/>
        <sz val="9.0"/>
      </rPr>
      <t xml:space="preserve">. </t>
    </r>
    <r>
      <rPr>
        <rFont val="Arial"/>
        <color rgb="FFFF0000"/>
        <sz val="9.0"/>
      </rPr>
      <t>Udalak</t>
    </r>
    <r>
      <rPr>
        <rFont val="Arial"/>
        <color theme="1"/>
        <sz val="9.0"/>
      </rPr>
      <t xml:space="preserve"> </t>
    </r>
    <r>
      <rPr>
        <rFont val="Arial"/>
        <color rgb="FF38761D"/>
        <sz val="9.0"/>
      </rPr>
      <t>jaietako ekitaldi guztiak bertan behera utzi zituen</t>
    </r>
    <r>
      <rPr>
        <rFont val="Arial"/>
        <color theme="1"/>
        <sz val="9.0"/>
      </rPr>
      <t xml:space="preserve">, eta </t>
    </r>
    <r>
      <rPr>
        <rFont val="Arial"/>
        <color rgb="FFFF9900"/>
        <sz val="9.0"/>
      </rPr>
      <t>Zintururi plazan</t>
    </r>
    <r>
      <rPr>
        <rFont val="Arial"/>
        <color theme="1"/>
        <sz val="9.0"/>
      </rPr>
      <t xml:space="preserve"> </t>
    </r>
    <r>
      <rPr>
        <rFont val="Arial"/>
        <color rgb="FF38761D"/>
        <sz val="9.0"/>
      </rPr>
      <t>elkarretaratze bat egin zen</t>
    </r>
    <r>
      <rPr>
        <rFont val="Arial"/>
        <color theme="1"/>
        <sz val="9.0"/>
      </rPr>
      <t xml:space="preserve"> </t>
    </r>
    <r>
      <rPr>
        <rFont val="Arial"/>
        <color rgb="FFBF9000"/>
        <sz val="9.0"/>
      </rPr>
      <t>"Erasorik ez, erantzunik gabe" lelopean</t>
    </r>
    <r>
      <rPr>
        <rFont val="Arial"/>
        <color theme="1"/>
        <sz val="9.0"/>
      </rPr>
      <t xml:space="preserve">. </t>
    </r>
    <r>
      <rPr>
        <rFont val="Arial"/>
        <color rgb="FFFF0000"/>
        <sz val="9.0"/>
      </rPr>
      <t>Ertzaintzak</t>
    </r>
    <r>
      <rPr>
        <rFont val="Arial"/>
        <color theme="1"/>
        <sz val="9.0"/>
      </rPr>
      <t xml:space="preserve"> </t>
    </r>
    <r>
      <rPr>
        <rFont val="Arial"/>
        <color rgb="FF38761D"/>
        <sz val="9.0"/>
      </rPr>
      <t>ikerketa abiatu du</t>
    </r>
    <r>
      <rPr>
        <rFont val="Arial"/>
        <color theme="1"/>
        <sz val="9.0"/>
      </rPr>
      <t>, baina oraingoz ez dago atxiloturik. Udalak elkartasuna eta bizikidetza errespetatzearen garrantzia azpimarratu du.</t>
    </r>
  </si>
  <si>
    <r>
      <rPr>
        <rFont val="Arial"/>
        <color theme="1"/>
        <sz val="9.0"/>
      </rPr>
      <t>Euskaltzaindiak jakinarazi du Erramun Baxok ohorezko euskaltzaina</t>
    </r>
    <r>
      <rPr>
        <rFont val="Arial"/>
        <color rgb="FFFF0000"/>
        <sz val="9.0"/>
      </rPr>
      <t>k</t>
    </r>
    <r>
      <rPr>
        <rFont val="Arial"/>
        <color theme="1"/>
        <sz val="9.0"/>
      </rPr>
      <t xml:space="preserve"> 96 urterekin hil dela. Baxok filosofiako doktoregoa zuen eta irakasle eta ikerlari moduan lan egin zuen. Euskal Herriko hezkuntza, soziolinguistika eta kultura arloetan parte hartu zuen, besteak beste, Pizkundea eta Euskal Konfederazioan. 1990etik 2005era Euskal Kultur Erakundearen presidente izan zen, eta 2010ean Euskaltzaindiak ohorezko euskaltzain izendatu zuen. Andres Urrutiak, euskaltzainburuak, nabarmendu du Baxok euskararen etorkizunaz beti kezkatua zegoen soziolinguistikako aditu handia zela.
Baxok 1928an Suhuskunen jaio zen (Nafarroa Beherea), sei senideko familia batean. Gurasoak euskaldun elebakarrak zituen, eta frantses gutxi zekiela hasi zen eskolan, non dena frantsesez egiten zen. Euskara bere kabuz landu zuen, Piarres Lafitteren hiztegia erabiliz eta Xarles Bidegainekin harremanetan. Terexa Lekunberrik 2010ean elkarrizketatu zuen, Mintzoak proiektuan. Baxok seminarioan egin zituen ikasketak, eta 1953an filosofiako lizentzia lortu zuen. 1967ra arte apaiz eta filosofia irakasle izan zen.
1968tik 1978ra Baxok Quebecen bizi izan zen Renee Samsonekin ezkondu ondoren, eta hiru seme-alaba izan zituzten han. Quebecen jarraitu zuen ikasten, pertsonalismoari buruzko doktoretza aurkeztuz, eta soziolinguistikako ikasketak burutu zituen Elebitasunari Buruzko Ikerketen Nazioarteko Zentroan (CIRB). Euskal Herrira itzulita, hizkuntzalaritza aplikatua irakatsi zuen eta Quebecen ere klaseak eman zituen. Euskal proiektu ugaritan parte hartu zuen, hala nola, Ikas pedagogia zentroan. 1991tik 2011ra inkesta soziolinguistikoetan parte hartu zuen.
Soziolinguistikaren alorrean, 1995-2000 artean hizkuntza antolaketaren eskema idazten parte hartu zuen Garapen Kontseiluan, eta hainbat erakundetako aholkulari izan zen. 2005ean, EKE utzi zuenenean, Mikel Erramuzpek hartu zuen haren segida. Xarles Bidegainek Baxoken ekarpenak nabarmendu ditu, Quebecen ikasitakoa Euskal Herrira ekarri zuelako. Mikel Erramuzpek ere aipatu du Baxoken ikuspegia hizkuntza politika publiko baten garrantziaz.
Soziolinguistika Klusterrak Baxoken proposamenak oinarri hartu zituen bere sorreran, eta aurten hogei urte beteko ditu. Baxoken lana goraipatu dute hainbat erakundek, EKEk eta Euskalgintzaren Kontseiluak barne, eta doluminak adierazi dizkiote familiari. EAJk euskararen aldeko defendatzaile nekaezina bezala omendu du.
BERRIA egunkariak elkarrizketa egin zion 2013an, BERRIAlaguna kanpainaren harira, eta euskarazko hedabideen garrantziaz hitz egin zuen. Beti irakurri izan zituen Euskaldunon Egunkaria eta BERRIA, eta adierazi zuen BERRIAri ez zitzaiola Egunkaria-ri gertatutakoa errepikatu behar.</t>
    </r>
  </si>
  <si>
    <r>
      <rPr>
        <rFont val="Arial"/>
        <color theme="1"/>
        <sz val="9.0"/>
      </rPr>
      <t xml:space="preserve">Erramun Baxok, 96 urte zituela hil den ohorezko euskaltzaina, euskal soziolinguistikan eta kulturan garrantzi handiko ekarpena egin zuen. Baxok doktorea zen Filosofian eta irakasle zein ikertzaile gisa lan egin zuen. Quebecen bizi izan zen urteetan soziolinguistikaren arloan sakondu zuen, eta bertan jasotako esperientziak Euskal Herrira ekarri zituen, hizkuntza politikaren inguruan ikuspegi aurreratuak eskainiz. Euskal Kultur Erakundearen (EKE) lehendakari izan zen 1990etik 2005era, eta Euskaltzaindiak ohorezko kide izendatu zuen 2010ean. Bere ekarpenak oinarrizkoak izan dira euskararen </t>
    </r>
    <r>
      <rPr>
        <rFont val="Arial"/>
        <strike/>
        <color theme="1"/>
        <sz val="9.0"/>
      </rPr>
      <t>normalizazioan</t>
    </r>
    <r>
      <rPr>
        <rFont val="Arial"/>
        <color theme="1"/>
        <sz val="9.0"/>
      </rPr>
      <t xml:space="preserve"> eta euskal kulturaren garapenean.</t>
    </r>
  </si>
  <si>
    <r>
      <rPr>
        <rFont val="Arial"/>
        <color rgb="FF666666"/>
        <sz val="9.0"/>
      </rPr>
      <t xml:space="preserve">**5W1H analisia:**
</t>
    </r>
    <r>
      <rPr>
        <rFont val="Arial"/>
        <color theme="1"/>
        <sz val="9.0"/>
      </rPr>
      <t xml:space="preserve">
- **Zer?**  
  Erramun Baxok hil da, 96 urterekin. Baxok, euskal kulturaren eta soziolinguistikaren arloan ekarpen handiak egin zituen, eta ohorezko euskaltzaina zen.
- **Nork?**  
  Euskaltzaindiak jakinarazi du Erramun Baxoken heriotza. Andres Urrutia euskaltzainburuak eta beste hainbat pertsonak haren ekarpena eta pertsona omendu dituzte.
- **Noiz?**  
  Heriotza data zehatza ez da ematen, baina Euskaltzaindiak berri eman du </t>
    </r>
    <r>
      <rPr>
        <rFont val="Arial"/>
        <color rgb="FFFF0000"/>
        <sz val="9.0"/>
      </rPr>
      <t>Baxok</t>
    </r>
    <r>
      <rPr>
        <rFont val="Arial"/>
        <color theme="1"/>
        <sz val="9.0"/>
      </rPr>
      <t xml:space="preserve"> azken hatsa eman duela. Artikuluak beste mugarri batzuk ere jasotzen ditu, hala nola, 2010ean ohorezko euskaltzain izendatu zutela.
- **Non?**  
  Erramun Baxok Nafarroa Behereko Suhuskunen jaio zen 1928an eta gerora, Quebecen bizi izan zen, Euskal Herrira itzuli aurretik. Euskal Herrian eta Quebecen egin zuen lan nagusiki, hizkuntzaren eta soziolinguistikaren arloan.
- **Zergatik?**  
  </t>
    </r>
    <r>
      <rPr>
        <rFont val="Arial"/>
        <color rgb="FFFF0000"/>
        <sz val="9.0"/>
      </rPr>
      <t>Baxok</t>
    </r>
    <r>
      <rPr>
        <rFont val="Arial"/>
        <color theme="1"/>
        <sz val="9.0"/>
      </rPr>
      <t xml:space="preserve"> euskararen eta euskal kulturaren alde lan handia egin zuen bere bizitzan zehar, Quebecetik Euskal Herrira ekarritako soziolinguistika kontzeptuak euskararen egoerari aplikatuz. Bere ekarpen nagusia euskararen aldeko hizkuntza-politika eta gizartean hizkuntzaren funtzionamendua ulertaraztea izan zen.
- **Nola?**  
  Baxok filosofiako doktoretza eta soziolinguistikako ikasketak egin zituen. Hizkuntzaren eta kulturaren aldeko ekimenetan parte hartu zuen, hala nola Pizkundean, Euskal Konfederazioan eta Euskal Kultur Erakundean. Quebecen lortutako ezagutza Euskal Herrira ekarri zuen, hizkuntza politika egituratzeko eta garatzeko.</t>
    </r>
  </si>
  <si>
    <r>
      <rPr>
        <rFont val="Arial"/>
        <color theme="1"/>
        <sz val="9.0"/>
      </rPr>
      <t xml:space="preserve">Erramun Baxok, ohorezko euskaltzaina eta soziolinguista ospetsua, 96 urterekin hil da. Filosofian doktorea zen eta irakasle eta ikerlari </t>
    </r>
    <r>
      <rPr>
        <rFont val="Arial"/>
        <color rgb="FFFF0000"/>
        <sz val="9.0"/>
      </rPr>
      <t>moduan</t>
    </r>
    <r>
      <rPr>
        <rFont val="Arial"/>
        <color theme="1"/>
        <sz val="9.0"/>
      </rPr>
      <t xml:space="preserve"> aritu zen, euskararen eta euskal kulturaren aldeko lanean nabarmenduz. Baxokek soziolinguistikan eta hizkuntza politikan ekarpen handiak egin zituen, Quebecen ikasitako kontzeptuak Euskal Herrira ekarriz. Pizkundea eta Euskal Konfederazioan parte hartu zuen, eta Euskal Kultur Erakundearen lehendakaria izan zen 1990etik 2005era. Euskaltzaindiak 2010ean izendatu zuen ohorezko kide, eta euskararen aldeko militante nekaezintzat aitortu dute.</t>
    </r>
  </si>
  <si>
    <r>
      <rPr>
        <rFont val="Arial"/>
        <color theme="1"/>
        <sz val="9.0"/>
      </rPr>
      <t>Errobiko bederatzi hautetsik agiri bat argitaratu dute, Peio Etxelekuri lurralde eremuko ordezkaritza kendu izana gogor kritikatzeko. Hautetsiek sei auzapezen jarrera salatu dute, eta ez dute onartu Jean Rene Etxegarai, Euskal Hirigune Elkargoko lehendakariak, ordezkaritza kentzeko hartu duen erabakia, lurralde eremuko batzordea kontsultatu eta informatu gabe hartu izanagatik.
Agiria izenpetu duten hautetsiak hauek dira: Yannick Bassier eta Emmanuelle Dallet (Basusarri), Denise Cedarry, Mikel Goienetxe, Erik Mailharrancin eta Françoise Gallois (Uztaritze), Laetitia Croc eta Nicole Etxamendi (Itsasu), eta Argitxu Hiriart Urruti. Mikel Hiribarren Itsasuko auzapezak ere izenpetu du testua, nahiz eta ez duen lurralde eremuan parte hartzen.
Hautetsi sinatzaileek salatu dute sei auzapezek Etxelekuren kontra idatzitako gutuna, eta baita Etxegarairen «</t>
    </r>
    <r>
      <rPr>
        <rFont val="Arial"/>
        <strike/>
        <color theme="1"/>
        <sz val="9.0"/>
      </rPr>
      <t>presazko</t>
    </r>
    <r>
      <rPr>
        <rFont val="Arial"/>
        <color theme="1"/>
        <sz val="9.0"/>
      </rPr>
      <t xml:space="preserve"> eta errekurtsorik gabeko» erabakia ere. Azpimarratu dute 11 auzapezetatik seik gutuna izenpetzea ez dela gehiengo adierazgarria, hiruk ez zutelako izenpetu eta bi auzapezi ez zietelako jakinarazi. 
Izenpetzaileen arabera, Etxegarairen erabakia hartu da Etxelekuren argudioak entzun gabe, eta gainera, sinatu ez zuten auzapezen iritzia kontuan hartu gabe. Hautetsiek azpimarratu dute lurralde eremuko batzordea ez dela informatu, eta hori gobernantza itunaren aurkakoa dela. Itun horren arabera, lehendakariak lurralde eremuetako proposamenetan oinarritu behar du ordezkariak izendatzeko.
Hautetsiek adierazi dute ez dutela onartzen gertatutakoa, eta eskatu dute lurralde batzordeetako kideen «rola eta zilegitasuna» berriz aztertu dadila gobernantza itunean.
**Lurralde eremuetako batzordeak**
2020ko agintaldia hastean sortu zituzten lurralde eremuetako batzordeak Euskal Hirigune Elkargoan. Erakundea sortu aurretik zeuden hamar herri elkargoren perimetroak erabili ziren. Eztabaida eta elkarrizketarako eremuak dira, hirigune elkargoan aztergai dituzten gaiak lantzeko. Errobiko lurralde eremuan Lapurdi barnealdeko 11 herrik osatzen dute: Arrangoitze, Basusarri, Larresoro, Zuraide, Ezpeleta, Itsasu, Luhuso, Kanbo, Haltsu, Jatsu eta Uztaritze. 35 hautetsik parte hartzen dute batzordean; batzuk elkargoko hautetsi izendatu zituzten herriko bozetan, eta beste batzuk herriko kontseiluetan. Errobiko zortzi auzapez dira lurralde batzordeko kide, eta beste hirurek herriko beste hautetsi bati utzi diote funtzioa.</t>
    </r>
  </si>
  <si>
    <r>
      <rPr>
        <rFont val="Arial"/>
        <color rgb="FF666666"/>
        <sz val="9.0"/>
      </rPr>
      <t xml:space="preserve">Testuaren edukirik garrantzitsuena da </t>
    </r>
    <r>
      <rPr>
        <rFont val="Arial"/>
        <color theme="1"/>
        <sz val="9.0"/>
      </rPr>
      <t>Errobiko bederatzi hautetsik agiria zabaldu dutela Peio Etxelekuri ordezkaritza kentzea kritikatzeko. Hautetsiek salatu dute sei auzapezen jarrera eta Jean Rene Etxegarai Euskal Hirigune Elkargoko lehendakariak erabakia hartu izana, lurralde batzordea kontsultatu gabe. Hautetsiek azpimarratu dute gobernantza itunaren kontrakoa dela prozesua, eta eskatu dute lurralde batzordeetako kideen rola eta zilegitasuna berriz aztertzea.</t>
    </r>
  </si>
  <si>
    <r>
      <rPr>
        <rFont val="Arial"/>
        <color rgb="FF666666"/>
        <sz val="9.0"/>
      </rPr>
      <t>**5W1H laburpena:**</t>
    </r>
    <r>
      <rPr>
        <rFont val="Arial"/>
        <color theme="1"/>
        <sz val="9.0"/>
      </rPr>
      <t xml:space="preserve">
- **Zer:** Errobiko bederatzi hautetsik agiria zabaldu dute, Peio Etxelekuri Euskal Hirigune Elkargoko lurralde eremuko ordezkaritza ken</t>
    </r>
    <r>
      <rPr>
        <rFont val="Arial"/>
        <strike/>
        <color theme="1"/>
        <sz val="9.0"/>
      </rPr>
      <t>tzea</t>
    </r>
    <r>
      <rPr>
        <rFont val="Arial"/>
        <color theme="1"/>
        <sz val="9.0"/>
      </rPr>
      <t xml:space="preserve"> salatzeko. Kritikatu dute sei auzapezek haren aurka idatzitako gutuna eta Jean Rene Etxegarai lehendakariaren erabakia.
- **Nork:** Agiria sinatu duten bederatzi hautetsiak Yannick Bassier, Emmanuelle Dallet, Denise Cedarry, Mikel Goienetxe, Erik Mailharrancin, Françoise Gallois, Laetitia Croc, Nicole Etxamendi eta Argitxu Hiriart Urruti dira. Mikel Hiribarrenek ere izenpetu du, nahiz eta ez parte hartu lurralde eremuan.
- **Noiz:** </t>
    </r>
    <r>
      <rPr>
        <rFont val="Arial"/>
        <strike/>
        <color theme="1"/>
        <sz val="9.0"/>
      </rPr>
      <t>2020ko agintaldia hasi zenetik datorren arazoa da, lurralde batzordeak sortu zirenetik gaur egunera arteko egoeran oinarritua</t>
    </r>
    <r>
      <rPr>
        <rFont val="Arial"/>
        <color theme="1"/>
        <sz val="9.0"/>
      </rPr>
      <t>.
- **Non:** Euskal Hirigune Elkargoaren barruan, Errobiko lurralde eremuan (Lapurdi barnealdeko 11 herri: Arrangoitze, Basusarri, Larresoro, Zuraide, Ezpeleta, Itsasu, Luhuso, Kanbo, Haltsu, Jatsu eta Uztaritze).
- **Zergatik:** Hautetsiek salatu dute Peio Etxelekuren kontrako erabakia presaka hartu zela eta lurralde batzordeko kideak kontsultatu gabe. Gobernantza itunaren kontrakoa dela uste dute, erabakiak ez direlako batzorde horren proposamenei jarraiki hartu.
- **Nola:** Etxegarai lehendakariak, Etxelekuren argudioak entzun gabe eta batzordeko kideei kontsultatu gabe, ordezkaritza kendu dio Etxelekuri. Hautetsiek gertatutakoaren aurkako agiria kaleratu dute eta gobernantza ituna berrikusteko eskatu.</t>
    </r>
  </si>
  <si>
    <t>Errobiko lurralde eremuko bederatzi hautetsik agiria zabaldu dute Peio Etxelekuri lurralde ordezkaritza kentzea kritikatzeko. Salatu dute Etxelekuren aurkako sei auzapezen gutuna gehiengo eskasekoa dela, eta Jean Rene Etxegarai Euskal Hirigune Elkargoko lehendakariak lurralde eremua kontsultatu gabe hartu duela erabakia. Hautetsien ustez, gobernantza ituna urratu da, zeinak lurralde eremuko batzordeak kontsultatzea eskatzen duen ordezkariak izendatzeko. Orain, gobernantza itunean lurralde batzordeetako kideen rola eta zilegitasuna berrikustea eskatu dute.</t>
  </si>
  <si>
    <r>
      <rPr>
        <rFont val="Arial"/>
        <color theme="1"/>
        <sz val="9.0"/>
      </rPr>
      <t xml:space="preserve">Eusko Ikaskuntzak adierazi duenez, Itziar Lakari emango diote Eusko Ikaskuntza-Laboral Kutxaren Humanitateen, Kulturaren, Arteen eta Gizarte Zientzien Saria. Saria jasotzearen </t>
    </r>
    <r>
      <rPr>
        <rFont val="Arial"/>
        <color rgb="FFFF0000"/>
        <sz val="9.0"/>
      </rPr>
      <t>arrazoia</t>
    </r>
    <r>
      <rPr>
        <rFont val="Arial"/>
        <color theme="1"/>
        <sz val="9.0"/>
      </rPr>
      <t xml:space="preserve"> Lakak euskararen garapenerako eta hizkuntza gaitasunak gobernatzen dituzten mekanismoetan sakontzeko egindako "ekarpen berritzaileak" izan dira. Halaber, nabarmendu dute euskararen eta Euskal Herriko garapen zientifiko eta kulturalari egindako ekarpena.
Itziar Laka Getxon jaio zen (Bizkaia), 1962an, eta hizkuntzalari gisa ibilbide luzea eta oparoa izan du. Eusko Ikaskuntzak gogorarazi duenez, 2010ean hizkuntzalaritza esperimentala eta neurohizkuntzalaritza lantzen dituen lehen ikerketa taldea sortu zuen, eta hainbat proiektutan ikertzaile nagusi izan da. Irakasle modura ere jardun du zenbait unibertsitatetan. Epaimahaiak Lakak eginiko ibilbide oparoa saritu nahi izan du, azpimarratuz euskara goi mailako zientzia arloan kokatu duela, metodologia berriak erabiliz eta ikerketa aurreratuak burutuz, garrantzi handiko arloetan.
Lakaren ibilbidean, epaimahaiaren esanetan, ezinbestekoa izan da euskara unibertsitatean eta gizartean sustatzeko egindako lana. Gaur egun, Euskal Herriko Unibertsitateko EuskaraREN, KulturaREN eta Nazioartekotzearen arloko errektoreordetzan Euskara Sustatzeko Zuzendaritzako buru da, eta EHUko Euskara Institutuarekin batera hizkuntzalaritzako lan klasikoak itzultzeko ekimenak bultzatu ditu. Gainera, nabarmendu dute Lakak lan handia egin duela zientzia eta zientzia kulturaren zabalkundean, elebitasunari buruzko hainbat mito zientifikoki gezurtatuz eta, horrela, ez bakarrik euskarari, baita hizkuntzalaritzari ere, ekarpen nabarmena eginez.</t>
    </r>
  </si>
  <si>
    <t>Itziar Lakari Eusko Ikaskuntza-Laboral Kutxaren Humanitateen, Kulturaren, Arteen eta Gizarte Zientzien Saria emango diote, euskararen garapenean eta hizkuntza gaitasunen mekanismoetan egindako ekarpen berritzaileengatik. Laka hizkuntzalari esperimentala da, eta 2010ean lehen ikerketa taldea sortu zuen hizkuntzalaritza esperimentala eta neurohizkuntzalaritza lantzeko. Epaimahaiak nabarmendu du bere ibilbidea, metodologia berritzaileak erabiliz eta euskararen maila zientifikoa sustatuz. Egun, EHUko Euskara Sustatzeko Zuzendaritzako buru da, eta zientziaren eta elebitasunaren inguruko mito faltsuak argitu ditu ebidentzia zientifikoarekin.</t>
  </si>
  <si>
    <r>
      <rPr>
        <rFont val="Arial"/>
        <color theme="1"/>
        <sz val="9.0"/>
      </rPr>
      <t xml:space="preserve">**Zer:** Eusko Ikaskuntza-Laboral Kutxaren Humanitateen, Kulturaren, Arteen eta Gizarte Zientzien Saria Itziar Lakari emango diote. 
**Nork:** Eusko Ikaskuntza da saria ematen duen erakundea, eta Itziar Laka da saritua. Epaimahaiak erabaki du Laka saritzea.
**Noiz:** </t>
    </r>
    <r>
      <rPr>
        <rFont val="Arial"/>
        <strike/>
        <color theme="1"/>
        <sz val="9.0"/>
      </rPr>
      <t>Sariaren iragarpena oraintsu egin da</t>
    </r>
    <r>
      <rPr>
        <rFont val="Arial"/>
        <color theme="1"/>
        <sz val="9.0"/>
      </rPr>
      <t>, nahiz eta data zehatzik ez den zehazten testuan.
**Non:** Itziar Laka Getxon (Bizkaia) jaio zen, eta gaur egun EHUko Euskara Sustatzeko Zuzendaritzako buru da.
**Zergatik:** Laka saritu dute euskararen garapen zientifiko eta kulturalari egindako ekarpenengatik, bereziki hizkuntzalaritza esperimentalean eta neurohizkuntzalaritzan egindako lan berritzaileengatik. Gainera, euskararen garapena unibertsitatean eta gizartean sustatzeko egindako lanagatik eta gazteen artean eredugarria izateagatik nabarmendu dute.
**Nola:** Laka hizkuntzalaritza esperimentala eta neurohizkuntzalaritza landu dituen lehen ikerketa taldea sortu zuen, eta hainbat proiektutan ikertzaile nagusi izan da. EHUko Euskara Institutuarekin lankidetzan, hizkuntzalaritza klasikoen itzulpenak sustatu ditu, eta elebitasunari buruzko mito batzuk zientifikoki gezurtatu ditu.</t>
    </r>
  </si>
  <si>
    <t>Itziar Lakak Eusko Ikaskuntza-Laboral Kutxaren Humanitateen, Kulturaren, Arteen eta Gizarte Zientzien Saria jasoko du euskararen garapenari eta hizkuntza gaitasunen ikerketari egindako ekarpenengatik. Getxon jaioa (1962), hizkuntzalari honek hizkuntzalaritza esperimentala eta neurohizkuntzalaritza lantzen dituen lehen ikerketa taldea sortu zuen 2010ean. EHUko Euskara Sustatzeko Zuzendaritzako buru izanik, euskararen eta zientzia kulturaren zabalpenean lan handia egin du, baita elebitasunaren inguruko mito batzuk desegiten ere, euskarari eta hizkuntzalaritzari ekarpen nabarmena eginez.</t>
  </si>
  <si>
    <r>
      <rPr>
        <rFont val="Arial"/>
        <color theme="1"/>
        <sz val="9.0"/>
      </rPr>
      <t xml:space="preserve">Arabako Foru Aldundiak sexu indarkeria jasaten duten emakumeentzako arreta integrala emateko zentro berria zabaldu du, *Tximeletak* izenekoa. Gasteizen kokatuta dago, eta «krisi eta larrialdi egoeretan» egongo da erabilgarri, 24 orduz, urteko 365 egunetan. Zentroak konfidentzialtasuna bermatzeko bere kokapena ez da publiko egin. Bertan, sexu indarkeria jasan duten emakumeek laguntza psikologikoa, juridikoa eta soziala jasoko dute, baita haien gertukoek ere. </t>
    </r>
    <r>
      <rPr>
        <rFont val="Arial"/>
        <color rgb="FFFF0000"/>
        <sz val="9.0"/>
      </rPr>
      <t>Erabiltzaileek</t>
    </r>
    <r>
      <rPr>
        <rFont val="Arial"/>
        <color theme="1"/>
        <sz val="9.0"/>
      </rPr>
      <t xml:space="preserve"> aurrez aurre, telefonoz edo online bidez harremanetan jarri ahal izango dira zentroarekin.
Gorka Urtaran Gizarte Politiketako diputatuak eta Maika Diez Bermejo Esku Hartze Sozialeko zuzendariorde teknikoak eman dituzte zentroaren xehetasunak. Zentroa hainbat arlotako profesionalek osatutako talde batek </t>
    </r>
    <r>
      <rPr>
        <rFont val="Arial"/>
        <strike/>
        <color theme="1"/>
        <sz val="9.0"/>
      </rPr>
      <t>kudeatuko du</t>
    </r>
    <r>
      <rPr>
        <rFont val="Arial"/>
        <color theme="1"/>
        <sz val="9.0"/>
      </rPr>
      <t>, eta emakumeek zuzenean edo bestelako zerbitzuetatik bideratuta jo dezakete bertara. Emakumeek, salaketarik jarri gabe ere, 18 urtetik gorakoak edo adingabe emantzipatuak izanik, arreta jaso ahal izango dute. Sexu-indarkeria mota guztiak jasan dituzten emakumeak artatuko dituzte, hala nola erasoak, jazarpena, eta eremu digitaleko indarkeria.
Zentroak biktimen «lehengoratze integrala» sustatuko du, babes, arreta eta sinesgarritasuna eskainiz, birbiktimizazioa saihesteko helburuarekin. *Tximeletak* zentroak Europako Batasunaren Next Generation funtsekin jasotako 1,4 milioi euroko finantzaketa jaso du, eta bi urtetan milioi bat euro bideratuko dizkio Foru Aldundiak.
2023an, Araban 109 emakume izan dira sexu askatasunaren aurkako delituen biktima, eta aurtengo lehen hiruhilekoan, 19 salaketa erregistratu dira, aurreko urteko epe berekoen laukoitza. Zentro berriak, hemendik aurrera, *Hegoak* erakundeko biktimak ere artatuko ditu.</t>
    </r>
  </si>
  <si>
    <r>
      <rPr>
        <rFont val="Arial"/>
        <color theme="1"/>
        <sz val="9.0"/>
      </rPr>
      <t xml:space="preserve">Arabako Foru Aldundiak sexu indarkeria jasaten duten emakumeei arreta integrala emateko zentro berri bat ireki du Gasteizen, Tximeletak izenekoa. Zentroak eguneko 24 orduz eta urteko 365 egunez laguntza eskaintzen die sexu bortizkeriaren biktima diren emakumeei, arreta psikologikoa eta juridikoa barne. Erabiltzaileen konfidentzialtasuna bermatzeko ez dute kokapena zehaztu. Helburua da biktimen lehengoratze integrala bultzatzea eta indarkeria sexualaren ondorioei aurre egiteko </t>
    </r>
    <r>
      <rPr>
        <rFont val="Arial"/>
        <strike/>
        <color theme="1"/>
        <sz val="9.0"/>
      </rPr>
      <t>estrategia bat garatzea</t>
    </r>
    <r>
      <rPr>
        <rFont val="Arial"/>
        <color theme="1"/>
        <sz val="9.0"/>
      </rPr>
      <t>. Halako zentroak Hego Euskal Herriko herrialde guztietan zabaltzea aurreikusten da, Istanbulgo Hitzarmena eta "soilik baietz da baietz" legearen arabera.</t>
    </r>
  </si>
  <si>
    <r>
      <rPr>
        <rFont val="Arial"/>
        <color rgb="FF666666"/>
        <sz val="9.0"/>
      </rPr>
      <t>**5W1H metodoaren laburpena:**</t>
    </r>
    <r>
      <rPr>
        <rFont val="Arial"/>
        <color theme="1"/>
        <sz val="9.0"/>
      </rPr>
      <t xml:space="preserve">
- **Zer:** Arabako Foru Aldundiak sexu indarkeria jasaten duten emakumeentzako arreta integrala eskaintzen duen zentro bat ireki du, Tximeletak izenekoa. Zentroak laguntza psikologikoa, juridikoa eta soziala emango die biktimei, eta horien lehengoratze integrala sustatuko du.
- **Nork:** Arabako Foru Aldundia da ekimen honen arduraduna. Gorka Urtaran, Gizarte Politiketarako diputatua, eta Maika Diez Bermejo, Esku Hartze Sozialeko zuzendariorde teknikoa, </t>
    </r>
    <r>
      <rPr>
        <rFont val="Arial"/>
        <strike/>
        <color theme="1"/>
        <sz val="9.0"/>
      </rPr>
      <t>arduradun nagusiak dira</t>
    </r>
    <r>
      <rPr>
        <rFont val="Arial"/>
        <color theme="1"/>
        <sz val="9.0"/>
      </rPr>
      <t xml:space="preserve">.
- **Noiz:** Zentroa apirilaren 19an jarri zen martxan.
- **Non:** Gasteizko erdigunean dago zentroa, baina konfidentzialtasuna mantentzeko ez da kokapen zehatza eman.
- **Zergatik:** Sexu indarkeriaren biktimen arreta integrala eskaintzeko eta haien babeserako zentroak beharrezkoak dira, Istanbulgo Hitzarmenak eta "soilik baietz da baietz" legeak hala zehazten baitute. </t>
    </r>
    <r>
      <rPr>
        <rFont val="Arial"/>
        <strike/>
        <color theme="1"/>
        <sz val="9.0"/>
      </rPr>
      <t xml:space="preserve">Helburua biktimen erreparazioa eta trauma prebenitzea da.
</t>
    </r>
    <r>
      <rPr>
        <rFont val="Arial"/>
        <color theme="1"/>
        <sz val="9.0"/>
      </rPr>
      <t xml:space="preserve">
- **Nola:** Zentroak 24 orduz eta urteko 365 egunetan eskaintzen du arreta, aurrez aurre, telefonoz edo online. Koordinazioan arituko da beste zerbitzu batzuekin, eta hainbat profesional diziplinako talde batek </t>
    </r>
    <r>
      <rPr>
        <rFont val="Arial"/>
        <strike/>
        <color theme="1"/>
        <sz val="9.0"/>
      </rPr>
      <t>biktimen beharrak asetuko ditu</t>
    </r>
    <r>
      <rPr>
        <rFont val="Arial"/>
        <color theme="1"/>
        <sz val="9.0"/>
      </rPr>
      <t>.</t>
    </r>
  </si>
  <si>
    <r>
      <rPr>
        <rFont val="Arial"/>
        <color theme="1"/>
        <sz val="9.0"/>
      </rPr>
      <t xml:space="preserve">Arabako Foru Aldundiak Gasteizen ireki du *Tximeletak* zentroa, sexu indarkeria jasaten duten emakumeei arreta integrala emateko. Zentroak 24 orduko zerbitzua eskaintzen du urteko 365 egunetan, aurrez aurre, telefonoz eta online. Zentroaren helburua da biktimen lehengoratze psikologikoa eta babesa </t>
    </r>
    <r>
      <rPr>
        <rFont val="Arial"/>
        <strike/>
        <color theme="1"/>
        <sz val="9.0"/>
      </rPr>
      <t>bermatzea</t>
    </r>
    <r>
      <rPr>
        <rFont val="Arial"/>
        <color theme="1"/>
        <sz val="9.0"/>
      </rPr>
      <t>, laguntza juridiko eta soziala emanez. Biktimen konfidentzialtasuna bermatzeko, kokapena ez dute publikoki zehaztu. Arreta diziplina anitzeko talde batek emango du, eta koordinatuta egongo da Ertzaintzarekin, Osakidetzarekin eta beste zerbitzuekin.</t>
    </r>
  </si>
  <si>
    <r>
      <rPr>
        <rFont val="Arial"/>
        <color theme="1"/>
        <sz val="9.0"/>
      </rPr>
      <t xml:space="preserve"> </t>
    </r>
    <r>
      <rPr>
        <rFont val="Arial"/>
        <color rgb="FF4A86E8"/>
        <sz val="9.0"/>
      </rPr>
      <t>Atzo goizaldean</t>
    </r>
    <r>
      <rPr>
        <rFont val="Arial"/>
        <color theme="1"/>
        <sz val="9.0"/>
      </rPr>
      <t xml:space="preserve">, </t>
    </r>
    <r>
      <rPr>
        <rFont val="Arial"/>
        <color rgb="FFFF9900"/>
        <sz val="9.0"/>
      </rPr>
      <t xml:space="preserve">Etxebarrin (Bizkaia) </t>
    </r>
    <r>
      <rPr>
        <rFont val="Arial"/>
        <color rgb="FF4A86E8"/>
        <sz val="9.0"/>
      </rPr>
      <t>ospatzen ari ziren herriko jaietan</t>
    </r>
    <r>
      <rPr>
        <rFont val="Arial"/>
        <color theme="1"/>
        <sz val="9.0"/>
      </rPr>
      <t xml:space="preserve">, </t>
    </r>
    <r>
      <rPr>
        <rFont val="Arial"/>
        <color rgb="FFFF0000"/>
        <sz val="9.0"/>
      </rPr>
      <t>emakume batek</t>
    </r>
    <r>
      <rPr>
        <rFont val="Arial"/>
        <color theme="1"/>
        <sz val="9.0"/>
      </rPr>
      <t xml:space="preserve"> </t>
    </r>
    <r>
      <rPr>
        <rFont val="Arial"/>
        <color rgb="FF38761D"/>
        <sz val="9.0"/>
      </rPr>
      <t>sexu eraso bat jasan zuela salatu zuen</t>
    </r>
    <r>
      <rPr>
        <rFont val="Arial"/>
        <color theme="1"/>
        <sz val="9.0"/>
      </rPr>
      <t xml:space="preserve">. Gertakaria </t>
    </r>
    <r>
      <rPr>
        <rFont val="Arial"/>
        <color rgb="FFFF9900"/>
        <sz val="9.0"/>
      </rPr>
      <t>kalean jarritako komunetan</t>
    </r>
    <r>
      <rPr>
        <rFont val="Arial"/>
        <color theme="1"/>
        <sz val="9.0"/>
      </rPr>
      <t xml:space="preserve"> gertatu zen. Ondorioz, </t>
    </r>
    <r>
      <rPr>
        <rFont val="Arial"/>
        <color rgb="FFFF0000"/>
        <sz val="9.0"/>
      </rPr>
      <t xml:space="preserve">Etxebarriko Udalak </t>
    </r>
    <r>
      <rPr>
        <rFont val="Arial"/>
        <color rgb="FF38761D"/>
        <sz val="9.0"/>
      </rPr>
      <t>atzoko egunerako antolatuta zeuden ekitaldi guztiak bertan behera utzi zituen</t>
    </r>
    <r>
      <rPr>
        <rFont val="Arial"/>
        <color theme="1"/>
        <sz val="9.0"/>
      </rPr>
      <t xml:space="preserve">.
</t>
    </r>
    <r>
      <rPr>
        <rFont val="Arial"/>
        <color rgb="FFFF0000"/>
        <sz val="9.0"/>
      </rPr>
      <t xml:space="preserve">Udalak, sanantonioetako jai batzordeak eta txosnek </t>
    </r>
    <r>
      <rPr>
        <rFont val="Arial"/>
        <color rgb="FF38761D"/>
        <sz val="9.0"/>
      </rPr>
      <t>elkarretaratzea deitu zuten</t>
    </r>
    <r>
      <rPr>
        <rFont val="Arial"/>
        <color theme="1"/>
        <sz val="9.0"/>
      </rPr>
      <t xml:space="preserve"> </t>
    </r>
    <r>
      <rPr>
        <rFont val="Arial"/>
        <color rgb="FFFF9900"/>
        <sz val="9.0"/>
      </rPr>
      <t>Zintururi plazan</t>
    </r>
    <r>
      <rPr>
        <rFont val="Arial"/>
        <color theme="1"/>
        <sz val="9.0"/>
      </rPr>
      <t xml:space="preserve">, eta </t>
    </r>
    <r>
      <rPr>
        <rFont val="Arial"/>
        <color rgb="FFFF0000"/>
        <sz val="9.0"/>
      </rPr>
      <t>ehunka herritar</t>
    </r>
    <r>
      <rPr>
        <rFont val="Arial"/>
        <color theme="1"/>
        <sz val="9.0"/>
      </rPr>
      <t xml:space="preserve"> </t>
    </r>
    <r>
      <rPr>
        <rFont val="Arial"/>
        <color rgb="FF38761D"/>
        <sz val="9.0"/>
      </rPr>
      <t>bildu ziren</t>
    </r>
    <r>
      <rPr>
        <rFont val="Arial"/>
        <color theme="1"/>
        <sz val="9.0"/>
      </rPr>
      <t xml:space="preserve"> </t>
    </r>
    <r>
      <rPr>
        <rFont val="Arial"/>
        <color rgb="FFBF9000"/>
        <sz val="9.0"/>
      </rPr>
      <t>'Erasorik ez, erantzunik gabe' lelopean.</t>
    </r>
    <r>
      <rPr>
        <rFont val="Arial"/>
        <color theme="1"/>
        <sz val="9.0"/>
      </rPr>
      <t xml:space="preserve"> </t>
    </r>
    <r>
      <rPr>
        <rFont val="Arial"/>
        <strike/>
        <color theme="1"/>
        <sz val="9.0"/>
      </rPr>
      <t xml:space="preserve">Bertan, elkartasuna adierazi zioten erasoa jasan zuen emakumeari eta indarkeria sexualearen aurkako mezu irmoa bidali zuten.
</t>
    </r>
    <r>
      <rPr>
        <rFont val="Arial"/>
        <color theme="1"/>
        <sz val="9.0"/>
      </rPr>
      <t xml:space="preserve">
</t>
    </r>
    <r>
      <rPr>
        <rFont val="Arial"/>
        <color rgb="FFFF0000"/>
        <sz val="9.0"/>
      </rPr>
      <t>Ertzaintzak</t>
    </r>
    <r>
      <rPr>
        <rFont val="Arial"/>
        <color theme="1"/>
        <sz val="9.0"/>
      </rPr>
      <t xml:space="preserve"> </t>
    </r>
    <r>
      <rPr>
        <rFont val="Arial"/>
        <color rgb="FF38761D"/>
        <sz val="9.0"/>
      </rPr>
      <t xml:space="preserve">ikerketa bat hasi du </t>
    </r>
    <r>
      <rPr>
        <rFont val="Arial"/>
        <color theme="1"/>
        <sz val="9.0"/>
      </rPr>
      <t>gertakariaren inguruan, eta oraindik ez dute inor atxilotu. Bitartean, udalak adierazi du jaiak "elkartzeko eta dibertitzeko guneak" direla eta "askatasuna eta bizikidetza errespetatuz" gozatu nahi duten pertsona guztiak gonbidatzen dituztela. Halaber, "mezu hau ulertzen ez duten eta bestelako helburuak dituzten pertsonak ez direla ongi etorriak" azpimarratu du.</t>
    </r>
  </si>
  <si>
    <r>
      <rPr>
        <rFont val="Arial"/>
        <color rgb="FF666666"/>
        <sz val="9.0"/>
      </rPr>
      <t xml:space="preserve"> **Edukirik garrantzitsuena:** </t>
    </r>
    <r>
      <rPr>
        <rFont val="Arial"/>
        <color rgb="FFFF9900"/>
        <sz val="9.0"/>
      </rPr>
      <t>Etxebarrin (Bizkaia)</t>
    </r>
    <r>
      <rPr>
        <rFont val="Arial"/>
        <color theme="1"/>
        <sz val="9.0"/>
      </rPr>
      <t xml:space="preserve">, </t>
    </r>
    <r>
      <rPr>
        <rFont val="Arial"/>
        <color rgb="FF4A86E8"/>
        <sz val="9.0"/>
      </rPr>
      <t>jaietan zehar</t>
    </r>
    <r>
      <rPr>
        <rFont val="Arial"/>
        <color theme="1"/>
        <sz val="9.0"/>
      </rPr>
      <t xml:space="preserve"> </t>
    </r>
    <r>
      <rPr>
        <rFont val="Arial"/>
        <color rgb="FFFF0000"/>
        <sz val="9.0"/>
      </rPr>
      <t>emakume batek</t>
    </r>
    <r>
      <rPr>
        <rFont val="Arial"/>
        <color theme="1"/>
        <sz val="9.0"/>
      </rPr>
      <t xml:space="preserve"> </t>
    </r>
    <r>
      <rPr>
        <rFont val="Arial"/>
        <color rgb="FF38761D"/>
        <sz val="9.0"/>
      </rPr>
      <t>sexu eraso bat jasan zuen</t>
    </r>
    <r>
      <rPr>
        <rFont val="Arial"/>
        <color theme="1"/>
        <sz val="9.0"/>
      </rPr>
      <t xml:space="preserve">, eta horren ondorioz, </t>
    </r>
    <r>
      <rPr>
        <rFont val="Arial"/>
        <color rgb="FFFF0000"/>
        <sz val="9.0"/>
      </rPr>
      <t>udalak</t>
    </r>
    <r>
      <rPr>
        <rFont val="Arial"/>
        <color theme="1"/>
        <sz val="9.0"/>
      </rPr>
      <t xml:space="preserve"> </t>
    </r>
    <r>
      <rPr>
        <rFont val="Arial"/>
        <color rgb="FF38761D"/>
        <sz val="9.0"/>
      </rPr>
      <t>atzoko ekitaldi guztiak bertan behera utzi zituen</t>
    </r>
    <r>
      <rPr>
        <rFont val="Arial"/>
        <color theme="1"/>
        <sz val="9.0"/>
      </rPr>
      <t xml:space="preserve">. </t>
    </r>
    <r>
      <rPr>
        <rFont val="Arial"/>
        <color rgb="FFFF0000"/>
        <sz val="9.0"/>
      </rPr>
      <t>Ehunka herritar</t>
    </r>
    <r>
      <rPr>
        <rFont val="Arial"/>
        <color theme="1"/>
        <sz val="9.0"/>
      </rPr>
      <t xml:space="preserve"> </t>
    </r>
    <r>
      <rPr>
        <rFont val="Arial"/>
        <color rgb="FF38761D"/>
        <sz val="9.0"/>
      </rPr>
      <t>bildu ziren elkarretaratze batean</t>
    </r>
    <r>
      <rPr>
        <rFont val="Arial"/>
        <color theme="1"/>
        <sz val="9.0"/>
      </rPr>
      <t xml:space="preserve"> </t>
    </r>
    <r>
      <rPr>
        <rFont val="Arial"/>
        <color rgb="FFBF9000"/>
        <sz val="9.0"/>
      </rPr>
      <t>'Erasorik ez, erantzunik gabe' lelopean</t>
    </r>
    <r>
      <rPr>
        <rFont val="Arial"/>
        <color theme="1"/>
        <sz val="9.0"/>
      </rPr>
      <t xml:space="preserve">, eta </t>
    </r>
    <r>
      <rPr>
        <rFont val="Arial"/>
        <color rgb="FFFF0000"/>
        <sz val="9.0"/>
      </rPr>
      <t>Ertzaintzak</t>
    </r>
    <r>
      <rPr>
        <rFont val="Arial"/>
        <color theme="1"/>
        <sz val="9.0"/>
      </rPr>
      <t xml:space="preserve"> </t>
    </r>
    <r>
      <rPr>
        <rFont val="Arial"/>
        <color rgb="FF38761D"/>
        <sz val="9.0"/>
      </rPr>
      <t>ikerketa hasi du</t>
    </r>
    <r>
      <rPr>
        <rFont val="Arial"/>
        <color theme="1"/>
        <sz val="9.0"/>
      </rPr>
      <t xml:space="preserve">.
</t>
    </r>
    <r>
      <rPr>
        <rFont val="Arial"/>
        <color rgb="FF666666"/>
        <sz val="9.0"/>
      </rPr>
      <t>**Laburpena:**</t>
    </r>
    <r>
      <rPr>
        <rFont val="Arial"/>
        <color theme="1"/>
        <sz val="9.0"/>
      </rPr>
      <t xml:space="preserve"> </t>
    </r>
    <r>
      <rPr>
        <rFont val="Arial"/>
        <color rgb="FFFF9900"/>
        <sz val="9.0"/>
      </rPr>
      <t>Etxebarrin</t>
    </r>
    <r>
      <rPr>
        <rFont val="Arial"/>
        <color theme="1"/>
        <sz val="9.0"/>
      </rPr>
      <t xml:space="preserve"> </t>
    </r>
    <r>
      <rPr>
        <rFont val="Arial"/>
        <color rgb="FF4A86E8"/>
        <sz val="9.0"/>
      </rPr>
      <t>jaietan</t>
    </r>
    <r>
      <rPr>
        <rFont val="Arial"/>
        <color theme="1"/>
        <sz val="9.0"/>
      </rPr>
      <t xml:space="preserve"> </t>
    </r>
    <r>
      <rPr>
        <rFont val="Arial"/>
        <color rgb="FF38761D"/>
        <sz val="9.0"/>
      </rPr>
      <t xml:space="preserve">sexu eraso bat gertatu </t>
    </r>
    <r>
      <rPr>
        <rFont val="Arial"/>
        <color theme="1"/>
        <sz val="9.0"/>
      </rPr>
      <t xml:space="preserve">ondoren, </t>
    </r>
    <r>
      <rPr>
        <rFont val="Arial"/>
        <color rgb="FFFF0000"/>
        <sz val="9.0"/>
      </rPr>
      <t>udalak</t>
    </r>
    <r>
      <rPr>
        <rFont val="Arial"/>
        <color theme="1"/>
        <sz val="9.0"/>
      </rPr>
      <t xml:space="preserve"> </t>
    </r>
    <r>
      <rPr>
        <rFont val="Arial"/>
        <color rgb="FF38761D"/>
        <sz val="9.0"/>
      </rPr>
      <t>ekitaldiak bertan behera utzi</t>
    </r>
    <r>
      <rPr>
        <rFont val="Arial"/>
        <color theme="1"/>
        <sz val="9.0"/>
      </rPr>
      <t xml:space="preserve"> eta </t>
    </r>
    <r>
      <rPr>
        <rFont val="Arial"/>
        <color rgb="FFFF0000"/>
        <sz val="9.0"/>
      </rPr>
      <t>herritarrek</t>
    </r>
    <r>
      <rPr>
        <rFont val="Arial"/>
        <color theme="1"/>
        <sz val="9.0"/>
      </rPr>
      <t xml:space="preserve"> </t>
    </r>
    <r>
      <rPr>
        <rFont val="Arial"/>
        <color rgb="FF38761D"/>
        <sz val="9.0"/>
      </rPr>
      <t>elkarretaratzea egin zuten</t>
    </r>
    <r>
      <rPr>
        <rFont val="Arial"/>
        <color theme="1"/>
        <sz val="9.0"/>
      </rPr>
      <t xml:space="preserve">. </t>
    </r>
    <r>
      <rPr>
        <rFont val="Arial"/>
        <color rgb="FFFF0000"/>
        <sz val="9.0"/>
      </rPr>
      <t>Ertzaintza</t>
    </r>
    <r>
      <rPr>
        <rFont val="Arial"/>
        <color theme="1"/>
        <sz val="9.0"/>
      </rPr>
      <t xml:space="preserve"> </t>
    </r>
    <r>
      <rPr>
        <rFont val="Arial"/>
        <color rgb="FF38761D"/>
        <sz val="9.0"/>
      </rPr>
      <t>ikertzen ari da</t>
    </r>
    <r>
      <rPr>
        <rFont val="Arial"/>
        <color theme="1"/>
        <sz val="9.0"/>
      </rPr>
      <t>.</t>
    </r>
  </si>
  <si>
    <r>
      <rPr>
        <rFont val="Arial"/>
        <color theme="1"/>
        <sz val="9.0"/>
      </rPr>
      <t xml:space="preserve"> **Zer:** </t>
    </r>
    <r>
      <rPr>
        <rFont val="Arial"/>
        <color rgb="FFFF0000"/>
        <sz val="9.0"/>
      </rPr>
      <t>Emakume batek</t>
    </r>
    <r>
      <rPr>
        <rFont val="Arial"/>
        <color theme="1"/>
        <sz val="9.0"/>
      </rPr>
      <t xml:space="preserve"> </t>
    </r>
    <r>
      <rPr>
        <rFont val="Arial"/>
        <color rgb="FF38761D"/>
        <sz val="9.0"/>
      </rPr>
      <t>sexu eraso bat jasan zuen</t>
    </r>
    <r>
      <rPr>
        <rFont val="Arial"/>
        <color theme="1"/>
        <sz val="9.0"/>
      </rPr>
      <t xml:space="preserve"> eta </t>
    </r>
    <r>
      <rPr>
        <rFont val="Arial"/>
        <color rgb="FFFF0000"/>
        <sz val="9.0"/>
      </rPr>
      <t>Etxebarriko Udalak</t>
    </r>
    <r>
      <rPr>
        <rFont val="Arial"/>
        <color theme="1"/>
        <sz val="9.0"/>
      </rPr>
      <t xml:space="preserve"> </t>
    </r>
    <r>
      <rPr>
        <rFont val="Arial"/>
        <color rgb="FF38761D"/>
        <sz val="9.0"/>
      </rPr>
      <t>jaietako ekitaldiak bertan behera utzi zituen</t>
    </r>
    <r>
      <rPr>
        <rFont val="Arial"/>
        <color theme="1"/>
        <sz val="9.0"/>
      </rPr>
      <t xml:space="preserve">.
**Nork:** </t>
    </r>
    <r>
      <rPr>
        <rFont val="Arial"/>
        <color rgb="FFFF0000"/>
        <sz val="9.0"/>
      </rPr>
      <t>Emakume ezezagun batek</t>
    </r>
    <r>
      <rPr>
        <rFont val="Arial"/>
        <color theme="1"/>
        <sz val="9.0"/>
      </rPr>
      <t xml:space="preserve"> </t>
    </r>
    <r>
      <rPr>
        <rFont val="Arial"/>
        <color rgb="FF38761D"/>
        <sz val="9.0"/>
      </rPr>
      <t>jasan zuen erasoa</t>
    </r>
    <r>
      <rPr>
        <rFont val="Arial"/>
        <color theme="1"/>
        <sz val="9.0"/>
      </rPr>
      <t xml:space="preserve">, eta oraindik ez dute erasotzailea atxilotu.
**Noiz:** </t>
    </r>
    <r>
      <rPr>
        <rFont val="Arial"/>
        <strike/>
        <color theme="1"/>
        <sz val="9.0"/>
      </rPr>
      <t>Atzo goizaldean gertatu zen</t>
    </r>
    <r>
      <rPr>
        <rFont val="Arial"/>
        <color theme="1"/>
        <sz val="9.0"/>
      </rPr>
      <t xml:space="preserve">, </t>
    </r>
    <r>
      <rPr>
        <rFont val="Arial"/>
        <color rgb="FF4A86E8"/>
        <sz val="9.0"/>
      </rPr>
      <t>herriko jaiak ospatzen ari zirenean</t>
    </r>
    <r>
      <rPr>
        <rFont val="Arial"/>
        <color theme="1"/>
        <sz val="9.0"/>
      </rPr>
      <t xml:space="preserve">.
**Non:** </t>
    </r>
    <r>
      <rPr>
        <rFont val="Arial"/>
        <color rgb="FFFF9900"/>
        <sz val="9.0"/>
      </rPr>
      <t>Etxebarrin (Bizkaia), kalean jarritako komunetan</t>
    </r>
    <r>
      <rPr>
        <rFont val="Arial"/>
        <color theme="1"/>
        <sz val="9.0"/>
      </rPr>
      <t xml:space="preserve">.
**Zergatik:** </t>
    </r>
    <r>
      <rPr>
        <rFont val="Arial"/>
        <color rgb="FFFF0000"/>
        <sz val="9.0"/>
      </rPr>
      <t>Emakume batek</t>
    </r>
    <r>
      <rPr>
        <rFont val="Arial"/>
        <color theme="1"/>
        <sz val="9.0"/>
      </rPr>
      <t xml:space="preserve"> </t>
    </r>
    <r>
      <rPr>
        <rFont val="Arial"/>
        <color rgb="FF38761D"/>
        <sz val="9.0"/>
      </rPr>
      <t>sexu eraso bat jasan</t>
    </r>
    <r>
      <rPr>
        <rFont val="Arial"/>
        <color theme="1"/>
        <sz val="9.0"/>
      </rPr>
      <t xml:space="preserve"> ondoren, </t>
    </r>
    <r>
      <rPr>
        <rFont val="Arial"/>
        <color rgb="FFFF0000"/>
        <sz val="9.0"/>
      </rPr>
      <t>udalak</t>
    </r>
    <r>
      <rPr>
        <rFont val="Arial"/>
        <color theme="1"/>
        <sz val="9.0"/>
      </rPr>
      <t xml:space="preserve"> </t>
    </r>
    <r>
      <rPr>
        <rFont val="Arial"/>
        <strike/>
        <color theme="1"/>
        <sz val="9.0"/>
      </rPr>
      <t>segurtasun arrazoiengatik eta errespetuagatik</t>
    </r>
    <r>
      <rPr>
        <rFont val="Arial"/>
        <color theme="1"/>
        <sz val="9.0"/>
      </rPr>
      <t xml:space="preserve"> </t>
    </r>
    <r>
      <rPr>
        <rFont val="Arial"/>
        <color rgb="FF38761D"/>
        <sz val="9.0"/>
      </rPr>
      <t>jaietako ekitaldiak bertan behera utzi zituen</t>
    </r>
    <r>
      <rPr>
        <rFont val="Arial"/>
        <color theme="1"/>
        <sz val="9.0"/>
      </rPr>
      <t xml:space="preserve">.
**Nola:** </t>
    </r>
    <r>
      <rPr>
        <rFont val="Arial"/>
        <color rgb="FFFF0000"/>
        <sz val="9.0"/>
      </rPr>
      <t>Udalak, sanantonioetako jai batzordeak eta txosnek</t>
    </r>
    <r>
      <rPr>
        <rFont val="Arial"/>
        <color theme="1"/>
        <sz val="9.0"/>
      </rPr>
      <t xml:space="preserve"> </t>
    </r>
    <r>
      <rPr>
        <rFont val="Arial"/>
        <color rgb="FF38761D"/>
        <sz val="9.0"/>
      </rPr>
      <t>elkarretaratzea antolatu zuten</t>
    </r>
    <r>
      <rPr>
        <rFont val="Arial"/>
        <color theme="1"/>
        <sz val="9.0"/>
      </rPr>
      <t xml:space="preserve"> </t>
    </r>
    <r>
      <rPr>
        <rFont val="Arial"/>
        <color rgb="FFFF9900"/>
        <sz val="9.0"/>
      </rPr>
      <t>Zintururi plazan</t>
    </r>
    <r>
      <rPr>
        <rFont val="Arial"/>
        <color theme="1"/>
        <sz val="9.0"/>
      </rPr>
      <t xml:space="preserve">, eta </t>
    </r>
    <r>
      <rPr>
        <rFont val="Arial"/>
        <color rgb="FFFF0000"/>
        <sz val="9.0"/>
      </rPr>
      <t>ehunka herritar</t>
    </r>
    <r>
      <rPr>
        <rFont val="Arial"/>
        <color theme="1"/>
        <sz val="9.0"/>
      </rPr>
      <t xml:space="preserve"> </t>
    </r>
    <r>
      <rPr>
        <rFont val="Arial"/>
        <color rgb="FF38761D"/>
        <sz val="9.0"/>
      </rPr>
      <t>bildu ziren</t>
    </r>
    <r>
      <rPr>
        <rFont val="Arial"/>
        <color rgb="FFBF9000"/>
        <sz val="9.0"/>
      </rPr>
      <t xml:space="preserve"> 'Erasorik ez, erantzunik gabe' lelopean</t>
    </r>
    <r>
      <rPr>
        <rFont val="Arial"/>
        <color theme="1"/>
        <sz val="9.0"/>
      </rPr>
      <t xml:space="preserve">. </t>
    </r>
    <r>
      <rPr>
        <rFont val="Arial"/>
        <color rgb="FFFF0000"/>
        <sz val="9.0"/>
      </rPr>
      <t>Ertzaintzak</t>
    </r>
    <r>
      <rPr>
        <rFont val="Arial"/>
        <color rgb="FF38761D"/>
        <sz val="9.0"/>
      </rPr>
      <t xml:space="preserve"> ikerketa abiatu du gertaeraren inguruan</t>
    </r>
    <r>
      <rPr>
        <rFont val="Arial"/>
        <color theme="1"/>
        <sz val="9.0"/>
      </rPr>
      <t>.</t>
    </r>
  </si>
  <si>
    <r>
      <rPr>
        <rFont val="Arial"/>
        <color rgb="FFFF9900"/>
        <sz val="9.0"/>
      </rPr>
      <t xml:space="preserve"> Etxebarrin (Bizkaia)</t>
    </r>
    <r>
      <rPr>
        <rFont val="Arial"/>
        <color theme="1"/>
        <sz val="9.0"/>
      </rPr>
      <t xml:space="preserve">, </t>
    </r>
    <r>
      <rPr>
        <rFont val="Arial"/>
        <color rgb="FFFF0000"/>
        <sz val="9.0"/>
      </rPr>
      <t>emakume batek</t>
    </r>
    <r>
      <rPr>
        <rFont val="Arial"/>
        <color theme="1"/>
        <sz val="9.0"/>
      </rPr>
      <t xml:space="preserve"> </t>
    </r>
    <r>
      <rPr>
        <rFont val="Arial"/>
        <color rgb="FF38761D"/>
        <sz val="9.0"/>
      </rPr>
      <t xml:space="preserve">sexu eraso bat jasan zuen </t>
    </r>
    <r>
      <rPr>
        <rFont val="Arial"/>
        <color rgb="FF4A86E8"/>
        <sz val="9.0"/>
      </rPr>
      <t>jaietan</t>
    </r>
    <r>
      <rPr>
        <rFont val="Arial"/>
        <color rgb="FFFF9900"/>
        <sz val="9.0"/>
      </rPr>
      <t xml:space="preserve"> kaleko komunetan</t>
    </r>
    <r>
      <rPr>
        <rFont val="Arial"/>
        <color theme="1"/>
        <sz val="9.0"/>
      </rPr>
      <t xml:space="preserve">. Ondorioz, </t>
    </r>
    <r>
      <rPr>
        <rFont val="Arial"/>
        <color rgb="FFFF0000"/>
        <sz val="9.0"/>
      </rPr>
      <t>udalak</t>
    </r>
    <r>
      <rPr>
        <rFont val="Arial"/>
        <color theme="1"/>
        <sz val="9.0"/>
      </rPr>
      <t xml:space="preserve"> </t>
    </r>
    <r>
      <rPr>
        <rFont val="Arial"/>
        <color rgb="FF38761D"/>
        <sz val="9.0"/>
      </rPr>
      <t>atzoko ekitaldi guztiak bertan behera utzi zituen</t>
    </r>
    <r>
      <rPr>
        <rFont val="Arial"/>
        <color theme="1"/>
        <sz val="9.0"/>
      </rPr>
      <t xml:space="preserve"> eta </t>
    </r>
    <r>
      <rPr>
        <rFont val="Arial"/>
        <color rgb="FF38761D"/>
        <sz val="9.0"/>
      </rPr>
      <t>elkarretaratzea antolatu zen</t>
    </r>
    <r>
      <rPr>
        <rFont val="Arial"/>
        <color theme="1"/>
        <sz val="9.0"/>
      </rPr>
      <t xml:space="preserve"> </t>
    </r>
    <r>
      <rPr>
        <rFont val="Arial"/>
        <color rgb="FFBF9000"/>
        <sz val="9.0"/>
      </rPr>
      <t>'Erasorik ez, erantzunik gabe' lelopean</t>
    </r>
    <r>
      <rPr>
        <rFont val="Arial"/>
        <color theme="1"/>
        <sz val="9.0"/>
      </rPr>
      <t xml:space="preserve">. </t>
    </r>
    <r>
      <rPr>
        <rFont val="Arial"/>
        <color rgb="FFFF0000"/>
        <sz val="9.0"/>
      </rPr>
      <t>Ertzaintzak</t>
    </r>
    <r>
      <rPr>
        <rFont val="Arial"/>
        <color rgb="FF38761D"/>
        <sz val="9.0"/>
      </rPr>
      <t xml:space="preserve"> ikerketa hasi du</t>
    </r>
    <r>
      <rPr>
        <rFont val="Arial"/>
        <color theme="1"/>
        <sz val="9.0"/>
      </rPr>
      <t xml:space="preserve"> eta oraindik ez dute inor atxilotu. Udalak adierazi du jaiak askatasuna eta bizikidetza errespetatuz gozatzeko lekuak izan behar direla eta hori ez duten pertsonak ez direla ongi etorriak.</t>
    </r>
  </si>
  <si>
    <r>
      <rPr>
        <rFont val="Arial"/>
        <color theme="1"/>
        <sz val="9.0"/>
      </rPr>
      <t xml:space="preserve"> **Erramun </t>
    </r>
    <r>
      <rPr>
        <rFont val="Arial"/>
        <color rgb="FFFF0000"/>
        <sz val="9.0"/>
      </rPr>
      <t>Baxo</t>
    </r>
    <r>
      <rPr>
        <rFont val="Arial"/>
        <color theme="1"/>
        <sz val="9.0"/>
      </rPr>
      <t xml:space="preserve">, Euskaltzain Ohorezkoa eta Soziolinguistika Arloko Aditua, Hil Da**
Erramun </t>
    </r>
    <r>
      <rPr>
        <rFont val="Arial"/>
        <color rgb="FFFF0000"/>
        <sz val="9.0"/>
      </rPr>
      <t>Baxo</t>
    </r>
    <r>
      <rPr>
        <rFont val="Arial"/>
        <color theme="1"/>
        <sz val="9.0"/>
      </rPr>
      <t xml:space="preserve">, </t>
    </r>
    <r>
      <rPr>
        <rFont val="Arial"/>
        <color rgb="FFFF0000"/>
        <sz val="9.0"/>
      </rPr>
      <t>euskaltzain ohorezkoa</t>
    </r>
    <r>
      <rPr>
        <rFont val="Arial"/>
        <color theme="1"/>
        <sz val="9.0"/>
      </rPr>
      <t xml:space="preserve"> eta soziolinguistika arloko aditua, 96 urterekin hil da. Nafarroa Behereko Suhuskun herrian jaio zen 1928an, eta bere bizitzan zehar euskal kulturaren eta hizkuntzaren aldeko lan nabarmena egin zuen. Filosofian doktorea zen eta irakasle eta ikerlari gisa jardun zuen.
</t>
    </r>
    <r>
      <rPr>
        <rFont val="Arial"/>
        <color rgb="FFFF0000"/>
        <sz val="9.0"/>
      </rPr>
      <t>Baxok</t>
    </r>
    <r>
      <rPr>
        <rFont val="Arial"/>
        <color theme="1"/>
        <sz val="9.0"/>
      </rPr>
      <t xml:space="preserve"> Euskal Herriko mundu pedagogikoan, soziolinguistikoan eta kulturalean inplikazio handia izan zuen. Pizkundea eta Euskal Konfederazioan parte hartu zuen, eta 1990etik 2005era bitartean Euskal Kultur Erakundearen buru izan zen. Euskaltzaindiak 2010ean ohorezko kide izendatu zuen,</t>
    </r>
    <r>
      <rPr>
        <rFont val="Arial"/>
        <strike/>
        <color theme="1"/>
        <sz val="9.0"/>
      </rPr>
      <t xml:space="preserve"> "euskaltzain jakintsua" eta "euskararen geroaz kezkatuta beti" zela aitortuz</t>
    </r>
    <r>
      <rPr>
        <rFont val="Arial"/>
        <color theme="1"/>
        <sz val="9.0"/>
      </rPr>
      <t xml:space="preserve">.
Baxoren hezkuntza-bidea bere herriko eskola publikotik hasi zen, non guraso euskaldun elebakarren semea izanik hasieran frantsesezko hitz gutxi zekien. Seminarioan egin zituen lehen ikasketak, eta geroago Filosofiako lizentzia eskuratu zuen 1953an. Apaiza eta filosofia irakaslea izan zen 1967 arte.
1968tik 1978ra bitartean Quebecen bizi izan zen Renee Samsonekin ezkondu ondoren, eta han hiru seme-alaba izan zituzten. Quebecen, pertsonalismoari buruzko doktoretza aurkeztu zuen eta soziolinguistikari buruzko ikasketak egin zituen Elebitasunari Buruzko Ikerketen Nazioarteko Zentroan (CIRB).
Euskal Herrira itzuli zenean, hizkuntzalaritza aplikatua irakasten hasi zen eta Euskal Herriko proiektu anitzetan parte hartu zuen, hala nola Ikas pedagogia zentroan eta Euskaraz Bizi multimedia metodoaren sorkuntzan. Pizkundea elkarteko eta Euskal Konfederazioko zuzendaritzako kide izan zen, eta 1991tik 2011ra bitartean egin ziren inkesta soziolinguistikoetan ere parte hartu zuen.
Soziolinguistikan egindako ekarpenak nabarmendu dituzte hainbat adituk. Xarles Bidegain euskaltzainak Quebecen egindako ikerketak Euskal Herrira ekarri zituela eta hizkuntza politika publikoak garatzeko ikuspegia eskaini zuela azpimarratu du. Mikel Erramuzpek ere Baxoren ekarpenak goraipatu ditu, bereziki Quebeceko esperientziak Euskal Herrian aplikatzeko aukerak aztertu zituelako.
</t>
    </r>
    <r>
      <rPr>
        <rFont val="Arial"/>
        <strike/>
        <color theme="1"/>
        <sz val="9.0"/>
      </rPr>
      <t>Erramun Baxoren heriotzak hutsune handia utzi du euskalgintzan eta soziolinguistika arloan. Bere lanak eta ekarpenak oroitzapen gisa geratuko dira, euskara eta euskal kultura sustatzeko egindako ahaleginengatik.</t>
    </r>
  </si>
  <si>
    <r>
      <rPr>
        <rFont val="Arial"/>
        <color rgb="FF666666"/>
        <sz val="9.0"/>
      </rPr>
      <t xml:space="preserve"> **Edukirik garrantzitsuena:**</t>
    </r>
    <r>
      <rPr>
        <rFont val="Arial"/>
        <color theme="1"/>
        <sz val="9.0"/>
      </rPr>
      <t xml:space="preserve">
Erramun Baxo ohorezko euskaltzaina hil da, 96 urte zituela. Filosofian doktorea, irakaslea eta ikerlaria, euskal kulturaren, soziolinguistikaren eta hezkuntzaren alorrean eragin handia izan zuen. Euskaltzaindiak ohorezko kide izendatu zuen 2010ean, eta bere ekarpen nabarmenak Quebecen egindako soziolinguistika ikasketetan eta Euskal Herrian hizkuntza politikaren garapenean oinarritzen dira.
</t>
    </r>
    <r>
      <rPr>
        <rFont val="Arial"/>
        <color rgb="FF666666"/>
        <sz val="9.0"/>
      </rPr>
      <t>**Laburpena:**</t>
    </r>
    <r>
      <rPr>
        <rFont val="Arial"/>
        <color theme="1"/>
        <sz val="9.0"/>
      </rPr>
      <t xml:space="preserve">
Erramun Baxo, 96 urteko ohorezko euskaltzaina, hil da. Filosofian doktorea, irakaslea eta ikerlaria, euskal kulturaren eta soziolinguistikaren alorrean eragin handia izan zuen. Quebecen egindako ikasketekin eta Euskal Herrian hizkuntza politikan egindako ekarpenekin nabarmendu zen, Euskaltzaindiak 2010ean ohorezko kide izendatu zuen.</t>
    </r>
  </si>
  <si>
    <r>
      <rPr>
        <rFont val="Arial"/>
        <color theme="1"/>
        <sz val="9.0"/>
      </rPr>
      <t xml:space="preserve"> **Zer?** Erramun Baxo ohorezko euskaltzainaren heriotza eta bere bizitza eta ekarpenak euskal kulturari eta hizkuntzari buruz.
**Nork?** Erramun Baxo, filosofian doktorea, irakaslea, ikerlaria eta euskaltzain ohorea.
**Noiz?** </t>
    </r>
    <r>
      <rPr>
        <rFont val="Arial"/>
        <strike/>
        <color theme="1"/>
        <sz val="9.0"/>
      </rPr>
      <t>Azken orduetan (artikulua argitaratu zen unean)</t>
    </r>
    <r>
      <rPr>
        <rFont val="Arial"/>
        <color theme="1"/>
        <sz val="9.0"/>
      </rPr>
      <t>.
**Non?** Suhuskunen (Nafarroa Beherea), non jaio zen, eta Euskal Herriko hainbat lekutan, bere bizitzan zehar lan egin zuen tokietan.
**Zergatik?** 96 urte zituela, baina zehazki ez da heriotzaren kausa aipatzen.
**Nola?** Artikuluak ez du heriotzaren modua xehatzen, soilik adierazten du 96 urterekin hil zela.</t>
    </r>
  </si>
  <si>
    <t xml:space="preserve"> Erramun Baxo, euskaltzain ohorezkoa, filosofia doktorea, irakaslea eta ikerlaria, 96 urterekin hil da. Euskal Herriko mundu pedagogikoan, soziolinguistikoan eta kulturalean nabarmendu zen, Pizkundea eta Euskal Konfederazioan parte hartuz eta Euskal Kultur Erakundearen buru izanik 1990etik 2005era. Soziolinguistikan aditua, euskararen sustapenean eta hizkuntza politikan ekarpen garrantzitsuak egin zituen, bereziki Quebecen egindako ikasketen eraginez. Euskaltzaindiak eta hainbat erakundek doluminak adierazi dituzte bere heriotzaren harira, euskararen aldeko lan oparoagatik eta bere konpromisoagatik goraipatuz.
</t>
  </si>
  <si>
    <r>
      <rPr>
        <rFont val="Arial"/>
        <color theme="1"/>
        <sz val="9.0"/>
      </rPr>
      <t xml:space="preserve"> Errobiko bederatzi hautetsik agiria argitaratu dute, Peio Etxelekuri lurralde eremuko ordezkaritza kentzea kritikatuz. Etxelekuren aurka jo zuten sei auzapezen jarrera gaitzetsi dute, eta Jean Rene Etxegarai Euskal Hirigune Elkargoko lehendakariak kargua kendu izana ez dute onartu, lurralde eremuko batzordea kontsultatu gabe.
Adierazpena sinatu duten hautetsiak hauek dira: Yannick Bassier eta Emmanuelle Dallet (Basusarri), Denise Cedarry, Mikel Goienetxe, Erik Mailharrancin eta Françoise Gallois (Uztaritze), Laetitia Croc eta Nicole Etxamendi (Itsasu), eta Argitxu Hiriart Urruti. Mikel Hiribarren Itsasuko auzapezak ere sinatu du, nahiz eta ez parte hartu lurralde eremuan.
Hautetsi sinatzaileek sei auzapezen gutuna idaztearen oinarria eta Etxegarairen erabaki azkarra eta errekurtsorik gabea kritikatu dituzte. Adierazi dute seik sinatzea ez dela gehiengoa 11 auzapezetatik, hiruk ez dutela gutuna sinatu nahi izan eta beste biak ez direla </t>
    </r>
    <r>
      <rPr>
        <rFont val="Arial"/>
        <color rgb="FFFF0000"/>
        <sz val="9.0"/>
      </rPr>
      <t>infromatu</t>
    </r>
    <r>
      <rPr>
        <rFont val="Arial"/>
        <color theme="1"/>
        <sz val="9.0"/>
      </rPr>
      <t xml:space="preserve"> ere egin.
Sinatzaileen arabera, lehendakariak berehala kendu dio ordezkaritza Etxelekuri, haren argudioak entzun gabe eta sinatu ez duten auzapezen jarrera aztertu gabe. Gainera, nabarmendu dute lurralde eremua ez dela kontsultatu prozesuan.
Euskal Hirigune Elkargoko gobernantza itunaren aurkakoa dela diote hautetsiek, itunak lurralde eremuaren proposamenetan oinarritu behar dela lehendakariak ordezkariak izendatzeko xedatzen duelako. Batzordeko kideek, haien artean kargua duten auzapezek, beren erreferentearen proposamena babestu dute eta, beraz, beren zilegitasuna defendatzen dute.
Hautetsiek ez dute onartzen gertatutakoa eta eskatu dute gobernantza itunean lurralde batzordeetako kideen rola eta zilegitasuna argi eta garbi zehaztu eta berrikustea.
Lurralde eremuetako batzordeak 2020an sortu ziren Euskal Hirigune Elkargoan, hamar herri elkargoen mugak hartuta. Elkarrizketa eta eztabaidarako espazioak dira, hirigune elkargoan aztertzen diren gaiak lantzeko. Errobiko lurralde eremuan, Lapurdi barnealdeko 11 herri daude, eta 35 hautetsik parte hartzen dute, batzuk elkargoko hautetsi gisa hautatuak eta beste batzuk herriko kontseiluetan izendatuak. Errobiko zortzi auzapez dira lurralde batzordeko kide, eta beste hiru hautetsik beste kide baten esku utzi dute funtzioa.</t>
    </r>
  </si>
  <si>
    <r>
      <rPr>
        <rFont val="Arial"/>
        <color rgb="FF666666"/>
        <sz val="9.0"/>
      </rPr>
      <t xml:space="preserve"> **Edukirik garrantzitsuena:** </t>
    </r>
    <r>
      <rPr>
        <rFont val="Arial"/>
        <color theme="1"/>
        <sz val="9.0"/>
      </rPr>
      <t xml:space="preserve">Errobiko bederatzi hautetsik kritikatu dute Peio Etxelekuri lurralde eremuko ordezkaritza kendu izana, Jean Rene Etxegarai Euskal Hirigune Elkargoko lehendakariak hartutako erabakia "informatu eta kontsultatu gabe" egin zelako eta sei auzapezen jarrera </t>
    </r>
    <r>
      <rPr>
        <rFont val="Arial"/>
        <strike/>
        <color theme="1"/>
        <sz val="9.0"/>
      </rPr>
      <t>"gehiegizko"</t>
    </r>
    <r>
      <rPr>
        <rFont val="Arial"/>
        <color theme="1"/>
        <sz val="9.0"/>
      </rPr>
      <t xml:space="preserve"> izan zelako.
</t>
    </r>
    <r>
      <rPr>
        <rFont val="Arial"/>
        <color rgb="FF666666"/>
        <sz val="9.0"/>
      </rPr>
      <t xml:space="preserve">**Laburpena:** </t>
    </r>
    <r>
      <rPr>
        <rFont val="Arial"/>
        <color theme="1"/>
        <sz val="9.0"/>
      </rPr>
      <t xml:space="preserve">Errobiko bederatzi hautetsik Jean Rene Etxegarai lehendakariari egotzi diote Peio Etxelekuri ordezkaritza kendu izana, lurralde eremuko batzordea kontsultatu gabe. Sei auzapezen </t>
    </r>
    <r>
      <rPr>
        <rFont val="Arial"/>
        <strike/>
        <color theme="1"/>
        <sz val="9.0"/>
      </rPr>
      <t>gutuna sinatzea</t>
    </r>
    <r>
      <rPr>
        <rFont val="Arial"/>
        <color theme="1"/>
        <sz val="9.0"/>
      </rPr>
      <t xml:space="preserve"> eta Etxegarairen erabaki azkarra salatu dituzte, gobernantza itunaren aurka doazela argudiatuz.</t>
    </r>
  </si>
  <si>
    <r>
      <rPr>
        <rFont val="Arial"/>
        <color theme="1"/>
        <sz val="9.0"/>
      </rPr>
      <t xml:space="preserve"> **Zer?** Errobiko bederatzi hautetsik agiria zabaldu dute Peio Etxelekuri lurralde eremuko ordezkaritza kendu izana kritikatzeko.
**Nork?** </t>
    </r>
    <r>
      <rPr>
        <rFont val="Arial"/>
        <strike/>
        <color theme="1"/>
        <sz val="9.0"/>
      </rPr>
      <t xml:space="preserve">Errobiko bederatzi hautetsik (Yannick Bassier, Emmanuelle Dallet, Denise Cedarry, Mikel Goienetxe, Erik Mailharrancin, Françoise Gallois, Laetitia Croc, Nicole Etxamendi, Argitxu Hiriart Urruti eta Mikel Hiribarren) eta sei auzapezek (izenpetu ez dutenak) parte hartu dute.
</t>
    </r>
    <r>
      <rPr>
        <rFont val="Arial"/>
        <color theme="1"/>
        <sz val="9.0"/>
      </rPr>
      <t xml:space="preserve">
**Noiz?** </t>
    </r>
    <r>
      <rPr>
        <rFont val="Arial"/>
        <strike/>
        <color theme="1"/>
        <sz val="9.0"/>
      </rPr>
      <t xml:space="preserve">2023ko urriaren 25ean </t>
    </r>
    <r>
      <rPr>
        <rFont val="Arial"/>
        <color theme="1"/>
        <sz val="9.0"/>
      </rPr>
      <t xml:space="preserve">(data ez da zehazki aipatzen, baina testuaren argitalpen data da).
**Non?** Errobiko lurralde eremuan, Lapurdi barnealdean, Euskal Hirigune Elkargoan.
**Zergatik?** Kritikatzen dute Jean Rene Etxegarai Euskal Hirigune Elkargoko lehendakariak Peio Etxelekuri lurralde eremuko ordezkaritza kendu izana, sei auzapezen gutun baten ondoren, eta lurralde eremuko batzordea informatu eta kontsultatu gabe </t>
    </r>
    <r>
      <rPr>
        <rFont val="Arial"/>
        <color rgb="FFFF0000"/>
        <sz val="9.0"/>
      </rPr>
      <t>egin zuela erabakia</t>
    </r>
    <r>
      <rPr>
        <rFont val="Arial"/>
        <color theme="1"/>
        <sz val="9.0"/>
      </rPr>
      <t xml:space="preserve">. Gainera, hautetsi izenpetzaileek salatzen dute gutuna sinatu zuten sei auzapezen gehiengo eskasa eta lehendakariaren erabakiaren azkartasuna.
**Nola?** Agiria zabalduz eta </t>
    </r>
    <r>
      <rPr>
        <rFont val="Arial"/>
        <strike/>
        <color theme="1"/>
        <sz val="9.0"/>
      </rPr>
      <t>prentsan argitaratuz</t>
    </r>
    <r>
      <rPr>
        <rFont val="Arial"/>
        <color theme="1"/>
        <sz val="9.0"/>
      </rPr>
      <t>, haien kritikak eta salaketak publiko egin dituzte. Gainera, Euskal Hirigune Elkargoko gobernantza ituna aipatuz, haien jarrera legez kanpokotzat jotzen dute eta gobernantza itunaren berrikuspena eskatzen dute.</t>
    </r>
  </si>
  <si>
    <r>
      <rPr>
        <rFont val="Arial"/>
        <color theme="1"/>
        <sz val="9.0"/>
      </rPr>
      <t xml:space="preserve"> Errobiko bederatzi hautetsik agiria zabaldu dute, kritikatuz nola Jean Rene Etxegarai Euskal Hirigune Elkargoko lehendakariak Peio Etxelekuri lurralde eremuko ordezkaritza kendu </t>
    </r>
    <r>
      <rPr>
        <rFont val="Arial"/>
        <color rgb="FFFF0000"/>
        <sz val="9.0"/>
      </rPr>
      <t>dioen</t>
    </r>
    <r>
      <rPr>
        <rFont val="Arial"/>
        <color theme="1"/>
        <sz val="9.0"/>
      </rPr>
      <t>, sei auzapezen jarrera salatuz eta erabaki hori lurralde eremuko batzordea kontsultatu gabe hartu izana gaitzestuz. Hautetsi hauek uste dute erabakia gobernantza itunaren aurkakoa dela, zeinak lehendakariari eskatzen dion lurralde eremuak egindako proposamenetan oinarritu behar dela ordezkariak izendatzeko. Eskatu dute batzordeetako kideen rola eta zilegitasuna berrikustea.</t>
    </r>
  </si>
  <si>
    <r>
      <rPr>
        <rFont val="Arial"/>
        <color theme="1"/>
        <sz val="9.0"/>
      </rPr>
      <t xml:space="preserve"> Eusko Ikaskuntzak jakinarazi du Itziar Laka izango dela aurtengo Eusko Ikaskuntza-Laboral Kutxaren Humanitateen, Kulturaren, Arteen eta Gizarte Zientzien Sariaren irabazlea. Laka euskararen garapenean eta hizkuntza gaitasunen funtzionamenduan egindako ekarpen berritzaileengatik nabarmendu du erakundeak: </t>
    </r>
    <r>
      <rPr>
        <rFont val="Arial"/>
        <strike/>
        <color theme="1"/>
        <sz val="9.0"/>
      </rPr>
      <t>"Euskararen eta Euskal Herriko garapen zientifiko eta kulturalaren alorrean ekarpen garrantzitsua egin du"</t>
    </r>
    <r>
      <rPr>
        <rFont val="Arial"/>
        <color theme="1"/>
        <sz val="9.0"/>
      </rPr>
      <t>.
1962an Getxon jaioa, Itziar Laka hizkuntzalaria da eta 2010ean hizkuntzalaritza esperimentala eta neurohizkuntzalaritza ikertzen dituen lehenengo taldea sortu zuen. Gainera, hainbat ikerketa proiektutan parte hartu du eta unibertsitate desberdinetan irakatsi du. Epaimahaiak Lakaren ibilbidea goraipatu du,</t>
    </r>
    <r>
      <rPr>
        <rFont val="Arial"/>
        <strike/>
        <color theme="1"/>
        <sz val="9.0"/>
      </rPr>
      <t xml:space="preserve"> "gazteen artean ere euskara zientzia maila gorenean sustatu duen eredu izan delako, metodologia berriak eta aurreratuak erabiliz eta gaur egun oso garrantzitsuak diren gaiak aztertuz"</t>
    </r>
    <r>
      <rPr>
        <rFont val="Arial"/>
        <color theme="1"/>
        <sz val="9.0"/>
      </rPr>
      <t>.
Epaimahaiaren arabera, Lakaren lanaren funtsezko zati bat izan da euskara unibertsitatean eta gizartean bultzatzea. Gaur egun, Euskal Herriko Unibertsitateko (EHU) Euskara Sustatzeko Zuzendaria da Euskara, Kultura eta Nazioartekotzearen errektoreordetzan. EHUko Euskara Institutuarekin elkarlanean, hizkuntzalaritza klasikoaren lanen itzulpena sustatu du ere. Zientziaren eta zientzia kulturaren zabalkundean egindako lan ikaragarriagatik ere aitortu dute, elebitasunari buruzko mitoak zientzia frogak erabiliz desegin dituelako eta, horrela, euskarari eta hizkuntzalaritzari oro har ekarpen garrantzitsuak egin dizkiolako.</t>
    </r>
  </si>
  <si>
    <r>
      <rPr>
        <rFont val="Arial"/>
        <color rgb="FF666666"/>
        <sz val="9.0"/>
      </rPr>
      <t xml:space="preserve"> **Edukirik garrantzitsuena:**</t>
    </r>
    <r>
      <rPr>
        <rFont val="Arial"/>
        <color theme="1"/>
        <sz val="9.0"/>
      </rPr>
      <t xml:space="preserve"> Itziar Laka euskal hizkuntzalariari Eusko Ikaskuntza-Laboral Kutxaren Humanitateen, Kulturaren, Arteen eta Gizarte Zientzien Saria </t>
    </r>
    <r>
      <rPr>
        <rFont val="Arial"/>
        <strike/>
        <color theme="1"/>
        <sz val="9.0"/>
      </rPr>
      <t>eman diote</t>
    </r>
    <r>
      <rPr>
        <rFont val="Arial"/>
        <color theme="1"/>
        <sz val="9.0"/>
      </rPr>
      <t xml:space="preserve">, euskararen garapenean eta hizkuntza gaitasunen mekanismoetan egindako ekarpen berritzaile eta nabarmenengatik, bai eta euskara unibertsitatean eta gizartean sustatzeko lanagatik ere.
**Laburpena:** Itziar Laka euskal hizkuntzalariak Eusko Ikaskuntza-Laboral Kutxaren saria </t>
    </r>
    <r>
      <rPr>
        <rFont val="Arial"/>
        <strike/>
        <color theme="1"/>
        <sz val="9.0"/>
      </rPr>
      <t>jaso du</t>
    </r>
    <r>
      <rPr>
        <rFont val="Arial"/>
        <color theme="1"/>
        <sz val="9.0"/>
      </rPr>
      <t xml:space="preserve"> euskararen garapenean eta hizkuntza gaitasunen ikerketan egindako ekarpenengatik, eta euskara unibertsitatean eta gizartean sustatzeko bere lanagatik.</t>
    </r>
  </si>
  <si>
    <r>
      <rPr>
        <rFont val="Arial"/>
        <color theme="1"/>
        <sz val="9.0"/>
      </rPr>
      <t xml:space="preserve"> **Zer:** Eusko Ikaskuntza-Laboral Kutxaren Humanitateen, Kulturaren, Arteen eta Gizarte Zientzien Saria Itziar Lakari </t>
    </r>
    <r>
      <rPr>
        <rFont val="Arial"/>
        <strike/>
        <color theme="1"/>
        <sz val="9.0"/>
      </rPr>
      <t>eman diote</t>
    </r>
    <r>
      <rPr>
        <rFont val="Arial"/>
        <color theme="1"/>
        <sz val="9.0"/>
      </rPr>
      <t>.
**Nork:** Eusko Ikaskuntzak eman dio saria Itziar Lakari.
**Noiz:** Saria iragarri duen eguna ez da zehaztu testuan.
**Non:** Getxon (Bizkaia) jaio zen Itziar Laka, eta saria Eusko Ikaskuntzaren eskutik jaso du.
**Zergatik:** Itziar Lakak euskararen garapenerako ekarpen berritzaileak egin ditu eta hizkuntza gaitasunak gobernatzen dituzten mekanismoetan sakondu du. Gainera, euskara unibertsitatean eta gizartean sustatzean funtsezko rola izan du.
**Nola:** Hizkuntzalaritza esperimentala eta neurohizkuntzalaritza lantzen dituen lehenengo ikerketa taldea sortu zuen 2010ean, eta hainbat proiekturen ikertzaile nagusi izan da. Unibertsitateetan irakasle gisa ere aritu da, eta euskara zientzia arloetan goreneko mailara eraman du, metodologia berriak eta punta-puntako ikerketak erabiliz. Zientziaren eta zientzia kulturaren zabalpenean ere lan garrantzitsua egin du.</t>
    </r>
  </si>
  <si>
    <t xml:space="preserve"> Itziar Laka euskal hizkuntzalariari eman diote Eusko Ikaskuntza-Laboral Kutxaren Humanitateen, Kulturaren, Arteen eta Gizarte Zientzien Saria. Bere ekarpen berritzaileak euskararen garapenean eta hizkuntza gaitasunen mekanismoetan sakontzeagatik nabarmendu dute. 2010ean hizkuntzalaritza esperimentala eta neurohizkuntzalaritza lantzen dituen lehenengo ikerketa taldea sortu zuen, eta hainbat proiektutan izan da ikertzaile nagusi. Gainera, euskara unibertsitatean eta gizartean sustatzen lan handia egin du, eta zientziaren eta zientzia kulturaren zabalpenean ere ekarpen garrantzitsuak egin ditu.
</t>
  </si>
  <si>
    <r>
      <rPr>
        <rFont val="Arial"/>
        <color theme="1"/>
        <sz val="9.0"/>
      </rPr>
      <t xml:space="preserve"> **Arabako Foru Aldundiak Sexu Indarkeriaren Biktimei Arreta Integrala Eskaintzeko Zentro Berria Ireki Du**
Arabako Foru Aldundiak Tximeletak izeneko zentro bat ireki du Gasteizko erdigunean, sexu indarkeria jasaten duten emakumeentzako arreta integrala eskaintzeko. Zentroak 24 orduko zerbitzua eskaintzen du egunero, aurrez aurre, telefonoz eta online bidez, eta bere helburua da biktimei babesa, laguntza eta osasun zerbitzuak eskaintzea krisi eta larrialdi egoeretan.
Gorka Urtaran Gizarte Politiketako diputatuak eta Maika Diez Bermejo Esku Hartze Sozialeko zuzendariorde teknikoak azaldu dutenez, zentroak diziplina anitzeko talde bat du, eta biktimei arreta psikologikoa, aholkularitza juridikoa eta laguntza soziala eskaintzen die. Gainera, Osakidetzarekin, Ertzaintzarekin, Justiziarekin eta beste erakunde batzuekin koordinatzen da, biktimei beharrezko laguntza guztia eskaintzeko.
Tximeletak zentroak sexu indarkeriaren mota guztietako biktimak artatzen ditu, adinaren arabera mugarik gabe. Zentroak ez du salaketa bat jarri beharrik eskatzen, eta bere ateak irekita ditu edozein emakumerentzat, bai eta haien senide eta lagunentzat ere, beharrezkoa bada.
Zentroak </t>
    </r>
    <r>
      <rPr>
        <rFont val="Arial"/>
        <strike/>
        <color theme="1"/>
        <sz val="9.0"/>
      </rPr>
      <t>109 metro koadroko azalera du</t>
    </r>
    <r>
      <rPr>
        <rFont val="Arial"/>
        <color theme="1"/>
        <sz val="9.0"/>
      </rPr>
      <t xml:space="preserve"> eta lau bulego, patio bat eta prestakuntza gelak ditu. Europako Batasunaren Next Generation funtsetik finantzatuta dago, eta Arabako Foru Aldundiak kudeatzen du, bi urterako milioi bat euroko inbertsioarekin.
2023an, Araban sexu askatasunaren aurkako delituen biktima izan ziren 109 emakume artatu ziren Hegoak foru zerbitzuan. </t>
    </r>
    <r>
      <rPr>
        <rFont val="Arial"/>
        <strike/>
        <color theme="1"/>
        <sz val="9.0"/>
      </rPr>
      <t>Tximeletak zentroak Hegoaken lana osatuko du</t>
    </r>
    <r>
      <rPr>
        <rFont val="Arial"/>
        <color theme="1"/>
        <sz val="9.0"/>
      </rPr>
      <t>, sexu indarkeriaren biktimei arreta eta laguntza jarraitua eskainiz.</t>
    </r>
  </si>
  <si>
    <r>
      <rPr>
        <rFont val="Arial"/>
        <color rgb="FF666666"/>
        <sz val="9.0"/>
      </rPr>
      <t xml:space="preserve"> **Edukirik garrantzitsuena:** </t>
    </r>
    <r>
      <rPr>
        <rFont val="Arial"/>
        <color theme="1"/>
        <sz val="9.0"/>
      </rPr>
      <t xml:space="preserve">Arabako Foru Aldundiak Tximeletak zentroa ireki du, sexu indarkeria jasaten duten emakumeentzako arreta integrala eskaintzeko. Zentroak 24 orduko zerbitzua ematen du aurrez aurre, telefonoz eta online, eta biktimen lehengoratze psikologikoa, laguntza soziala eta juridikoa </t>
    </r>
    <r>
      <rPr>
        <rFont val="Arial"/>
        <strike/>
        <color theme="1"/>
        <sz val="9.0"/>
      </rPr>
      <t>bermatzen</t>
    </r>
    <r>
      <rPr>
        <rFont val="Arial"/>
        <color theme="1"/>
        <sz val="9.0"/>
      </rPr>
      <t xml:space="preserve"> ditu.
</t>
    </r>
    <r>
      <rPr>
        <rFont val="Arial"/>
        <color rgb="FF666666"/>
        <sz val="9.0"/>
      </rPr>
      <t xml:space="preserve">**Laburpena:** </t>
    </r>
    <r>
      <rPr>
        <rFont val="Arial"/>
        <color theme="1"/>
        <sz val="9.0"/>
      </rPr>
      <t xml:space="preserve">Arabako Foru Aldundiak Gasteizen Tximeletak zentroa ireki du, sexu indarkeria jasaten duten emakumeentzako arreta integrala eskaintzeko. Zentroak 24 orduko zerbitzua ematen du eta biktimei lehengoratze psikologikoa, laguntza soziala eta juridikoa </t>
    </r>
    <r>
      <rPr>
        <rFont val="Arial"/>
        <strike/>
        <color theme="1"/>
        <sz val="9.0"/>
      </rPr>
      <t>eskaintzen</t>
    </r>
    <r>
      <rPr>
        <rFont val="Arial"/>
        <color theme="1"/>
        <sz val="9.0"/>
      </rPr>
      <t xml:space="preserve"> die. Hego Euskal Herriko beste herrialdeetan ere irekitzen ari dira antzeko zentroak, Istanbulgo Hitzarmenaren eta soilik baietz da baietz legearen eskakizunari erantzunez.</t>
    </r>
  </si>
  <si>
    <t xml:space="preserve"> **Zer?** Arabako Foru Aldundiak sexu indarkeria jasaten duten emakumeei arreta integrala emateko zentro bat zabaldu du, Tximeletak izenekoa. Zentroak krisi eta larrialdi egoeretan laguntza eskaintzen du, aurrez aurre, telefonoz eta online.
**Nork?** Arabako Foru Aldundiak ireki du zentroa, eta Gorka Urtaran Gizarte Politiketarako diputatuak eta Maika Diez Bermejo Esku Hartze Sozialeko zuzendariorde teknikoak eman dituzte zentroaren xehetasunak. Zentroan diziplina askotako profesional talde bat arituko da.
**Noiz?** Apirilaren 19tik dago martxan zentroa.
**Non?** Gasteizko erdigunean dago, baina zehazki non dagoen ez da jakinarazi, erabiltzaileen konfidentzialtasuna bermatzeko.
**Zergatik?** Sexu bortizkeria nozitu duten emakumeei eta haien gertukoei laguntza eta arreta eskaintzeko ireki da zentroa, eta biktimen lehengoratze psikologikoa sustatzeko. Hego Euskal Herriko herrialde guztietan zabaldu behar dute horrelako zentro bat, Istanbulgo Hitzarmenak eta soilik baietz da baietz legeak hala zehaztuta.
**Nola?** Zentroak aurrez aurreko laguntza eskaintzen du krisi eta larrialdi egoeretan, arreta psikologikoa eta aholkularitza juridikoa barne. Beharrezkoa bada, biktimari laguntza eskainiko diote Osakidetzako larrialdietara edo lehen mailako arretara jotzeko, salaketa jartzeko edota bere gertuko senide edo lagunekin elkartzeko. Gainera, biktimen detekzioan, prebentzioan eta arretan lan egiten duten eragile guztien koordinazioa bermatzen du.</t>
  </si>
  <si>
    <t xml:space="preserve"> Arabako Foru Aldundiak Tximeletak zentroa ireki du Gasteizen, sexu indarkeria jasaten duten emakumeentzako arreta integrala eskaintzeko. Zentroak 24 orduko zerbitzua emango du egunero, aurrez aurre, telefonoz eta online. Helburua da biktimei babesa, laguntza eta osasun arreta eskaintzea, bai eta haien lehengoratze psikologikoa sustatzea ere. Zentroak diziplina anitzeko profesional taldea izango du, eta koordinazio estua izango du beste erakunde eta zerbitzu batzuekin. Irekiera Istanbulgo Hitzarmenaren eta soilik baietz da baietz legearen betetzearen barruan dago, eta Hego Euskal Herriko beste hainbat tokitan ere antzeko zentroak irekitzeko asmoa dago.
</t>
  </si>
  <si>
    <r>
      <rPr>
        <rFont val="Arial"/>
        <color rgb="FFFF9900"/>
        <sz val="9.0"/>
      </rPr>
      <t>Etxebarriko (Bizkaia)</t>
    </r>
    <r>
      <rPr>
        <rFont val="Arial"/>
        <color theme="1"/>
        <sz val="9.0"/>
      </rPr>
      <t xml:space="preserve"> </t>
    </r>
    <r>
      <rPr>
        <rFont val="Arial"/>
        <color rgb="FF4A86E8"/>
        <sz val="9.0"/>
      </rPr>
      <t>jaietan</t>
    </r>
    <r>
      <rPr>
        <rFont val="Arial"/>
        <color theme="1"/>
        <sz val="9.0"/>
      </rPr>
      <t xml:space="preserve"> </t>
    </r>
    <r>
      <rPr>
        <rFont val="Arial"/>
        <color rgb="FF38761D"/>
        <sz val="9.0"/>
      </rPr>
      <t>sexu eraso bat gertatu zen</t>
    </r>
    <r>
      <rPr>
        <rFont val="Arial"/>
        <color theme="1"/>
        <sz val="9.0"/>
      </rPr>
      <t xml:space="preserve"> </t>
    </r>
    <r>
      <rPr>
        <rFont val="Arial"/>
        <strike/>
        <color theme="1"/>
        <sz val="9.0"/>
      </rPr>
      <t>atzo goizaldean</t>
    </r>
    <r>
      <rPr>
        <rFont val="Arial"/>
        <color theme="1"/>
        <sz val="9.0"/>
      </rPr>
      <t xml:space="preserve"> eta </t>
    </r>
    <r>
      <rPr>
        <rFont val="Arial"/>
        <color rgb="FFFF0000"/>
        <sz val="9.0"/>
      </rPr>
      <t>udalak</t>
    </r>
    <r>
      <rPr>
        <rFont val="Arial"/>
        <color theme="1"/>
        <sz val="9.0"/>
      </rPr>
      <t xml:space="preserve"> </t>
    </r>
    <r>
      <rPr>
        <rFont val="Arial"/>
        <color rgb="FF38761D"/>
        <sz val="9.0"/>
      </rPr>
      <t>bertan behera utzi zituen atzorako antolatuta zeuden ekitaldi guztiak</t>
    </r>
    <r>
      <rPr>
        <rFont val="Arial"/>
        <color theme="1"/>
        <sz val="9.0"/>
      </rPr>
      <t>.</t>
    </r>
  </si>
  <si>
    <r>
      <rPr>
        <rFont val="Arial"/>
        <color rgb="FFFF9900"/>
        <sz val="9.0"/>
      </rPr>
      <t xml:space="preserve">Etxebarrin (Bizkaia) </t>
    </r>
    <r>
      <rPr>
        <rFont val="Arial"/>
        <color rgb="FFFF0000"/>
        <sz val="9.0"/>
      </rPr>
      <t xml:space="preserve">emakume bat </t>
    </r>
    <r>
      <rPr>
        <rFont val="Arial"/>
        <color rgb="FF38761D"/>
        <sz val="9.0"/>
      </rPr>
      <t>sexu eraso baten biktima izan zen</t>
    </r>
    <r>
      <rPr>
        <rFont val="Arial"/>
        <color theme="1"/>
        <sz val="9.0"/>
      </rPr>
      <t xml:space="preserve"> </t>
    </r>
    <r>
      <rPr>
        <rFont val="Arial"/>
        <strike/>
        <color theme="1"/>
        <sz val="9.0"/>
      </rPr>
      <t>atzo goizaldean</t>
    </r>
    <r>
      <rPr>
        <rFont val="Arial"/>
        <color theme="1"/>
        <sz val="9.0"/>
      </rPr>
      <t xml:space="preserve">, </t>
    </r>
    <r>
      <rPr>
        <rFont val="Arial"/>
        <color rgb="FF4A86E8"/>
        <sz val="9.0"/>
      </rPr>
      <t>herriko jaietan</t>
    </r>
    <r>
      <rPr>
        <rFont val="Arial"/>
        <color theme="1"/>
        <sz val="9.0"/>
      </rPr>
      <t>.</t>
    </r>
  </si>
  <si>
    <r>
      <rPr>
        <rFont val="Arial"/>
        <color rgb="FF666666"/>
        <sz val="9.0"/>
      </rPr>
      <t>Hurrengo laburpena egin daiteke 5W1H metodoa erabiliz:</t>
    </r>
    <r>
      <rPr>
        <rFont val="Arial"/>
        <color theme="1"/>
        <sz val="9.0"/>
      </rPr>
      <t xml:space="preserve">
* **Zer:** </t>
    </r>
    <r>
      <rPr>
        <rFont val="Arial"/>
        <color rgb="FFFF0000"/>
        <sz val="9.0"/>
      </rPr>
      <t>Emakume batek</t>
    </r>
    <r>
      <rPr>
        <rFont val="Arial"/>
        <color theme="1"/>
        <sz val="9.0"/>
      </rPr>
      <t xml:space="preserve"> </t>
    </r>
    <r>
      <rPr>
        <rFont val="Arial"/>
        <color rgb="FF38761D"/>
        <sz val="9.0"/>
      </rPr>
      <t>jasan zuen sexu eraso bat</t>
    </r>
    <r>
      <rPr>
        <rFont val="Arial"/>
        <color theme="1"/>
        <sz val="9.0"/>
      </rPr>
      <t xml:space="preserve"> eta </t>
    </r>
    <r>
      <rPr>
        <rFont val="Arial"/>
        <color rgb="FFFF0000"/>
        <sz val="9.0"/>
      </rPr>
      <t xml:space="preserve">Etxebarriko Udalak </t>
    </r>
    <r>
      <rPr>
        <rFont val="Arial"/>
        <color rgb="FF38761D"/>
        <sz val="9.0"/>
      </rPr>
      <t>bertan behera utzi zituen atzorako antolatuta zeuden ekitaldi guztiak</t>
    </r>
    <r>
      <rPr>
        <rFont val="Arial"/>
        <color theme="1"/>
        <sz val="9.0"/>
      </rPr>
      <t xml:space="preserve">.
* **Nork:** </t>
    </r>
    <r>
      <rPr>
        <rFont val="Arial"/>
        <color rgb="FFFF0000"/>
        <sz val="9.0"/>
      </rPr>
      <t>Emakume batek</t>
    </r>
    <r>
      <rPr>
        <rFont val="Arial"/>
        <color theme="1"/>
        <sz val="9.0"/>
      </rPr>
      <t xml:space="preserve"> eta </t>
    </r>
    <r>
      <rPr>
        <rFont val="Arial"/>
        <color rgb="FFFF0000"/>
        <sz val="9.0"/>
      </rPr>
      <t>Etxebarriko Udalak</t>
    </r>
    <r>
      <rPr>
        <rFont val="Arial"/>
        <color theme="1"/>
        <sz val="9.0"/>
      </rPr>
      <t xml:space="preserve">.
* **Noiz:** </t>
    </r>
    <r>
      <rPr>
        <rFont val="Arial"/>
        <strike/>
        <color theme="1"/>
        <sz val="9.0"/>
      </rPr>
      <t>Atzo goizaldean</t>
    </r>
    <r>
      <rPr>
        <rFont val="Arial"/>
        <color theme="1"/>
        <sz val="9.0"/>
      </rPr>
      <t xml:space="preserve">.
* **Non:** </t>
    </r>
    <r>
      <rPr>
        <rFont val="Arial"/>
        <color rgb="FFFF9900"/>
        <sz val="9.0"/>
      </rPr>
      <t>Etxebarrin (Bizkaia), kalean jarritako komunetan</t>
    </r>
    <r>
      <rPr>
        <rFont val="Arial"/>
        <color theme="1"/>
        <sz val="9.0"/>
      </rPr>
      <t xml:space="preserve">.
* **Zergatik:** </t>
    </r>
    <r>
      <rPr>
        <rFont val="Arial"/>
        <color rgb="FF38761D"/>
        <sz val="9.0"/>
      </rPr>
      <t>Sexu eraso bat gertatu zelako</t>
    </r>
    <r>
      <rPr>
        <rFont val="Arial"/>
        <color theme="1"/>
        <sz val="9.0"/>
      </rPr>
      <t xml:space="preserve">.
* **Nola:** </t>
    </r>
    <r>
      <rPr>
        <rFont val="Arial"/>
        <color rgb="FFFF0000"/>
        <sz val="9.0"/>
      </rPr>
      <t>Ertzaintzak</t>
    </r>
    <r>
      <rPr>
        <rFont val="Arial"/>
        <color theme="1"/>
        <sz val="9.0"/>
      </rPr>
      <t xml:space="preserve"> </t>
    </r>
    <r>
      <rPr>
        <rFont val="Arial"/>
        <color rgb="FF38761D"/>
        <sz val="9.0"/>
      </rPr>
      <t>ikerketa abiatu du</t>
    </r>
    <r>
      <rPr>
        <rFont val="Arial"/>
        <color theme="1"/>
        <sz val="9.0"/>
      </rPr>
      <t>, eta ez dute inor atxilotu.</t>
    </r>
  </si>
  <si>
    <r>
      <rPr>
        <rFont val="Arial"/>
        <color rgb="FFFF9900"/>
        <sz val="9.0"/>
      </rPr>
      <t>Etxebarrin (Bizkaia)</t>
    </r>
    <r>
      <rPr>
        <rFont val="Arial"/>
        <color theme="1"/>
        <sz val="9.0"/>
      </rPr>
      <t xml:space="preserve"> </t>
    </r>
    <r>
      <rPr>
        <rFont val="Arial"/>
        <color rgb="FF38761D"/>
        <sz val="9.0"/>
      </rPr>
      <t>sexu eraso bat jazo zen</t>
    </r>
    <r>
      <rPr>
        <rFont val="Arial"/>
        <color theme="1"/>
        <sz val="9.0"/>
      </rPr>
      <t xml:space="preserve"> </t>
    </r>
    <r>
      <rPr>
        <rFont val="Arial"/>
        <strike/>
        <color theme="1"/>
        <sz val="9.0"/>
      </rPr>
      <t>atzo goizaldean</t>
    </r>
    <r>
      <rPr>
        <rFont val="Arial"/>
        <color theme="1"/>
        <sz val="9.0"/>
      </rPr>
      <t>,</t>
    </r>
    <r>
      <rPr>
        <rFont val="Arial"/>
        <color rgb="FF4A86E8"/>
        <sz val="9.0"/>
      </rPr>
      <t xml:space="preserve"> herriko jaien ospakizunetan</t>
    </r>
    <r>
      <rPr>
        <rFont val="Arial"/>
        <color theme="1"/>
        <sz val="9.0"/>
      </rPr>
      <t xml:space="preserve">. </t>
    </r>
    <r>
      <rPr>
        <rFont val="Arial"/>
        <color rgb="FFFF0000"/>
        <sz val="9.0"/>
      </rPr>
      <t>Udalak</t>
    </r>
    <r>
      <rPr>
        <rFont val="Arial"/>
        <color theme="1"/>
        <sz val="9.0"/>
      </rPr>
      <t xml:space="preserve"> </t>
    </r>
    <r>
      <rPr>
        <rFont val="Arial"/>
        <color rgb="FF38761D"/>
        <sz val="9.0"/>
      </rPr>
      <t>bertan behera utzi zituen ekitaldi guztiak</t>
    </r>
    <r>
      <rPr>
        <rFont val="Arial"/>
        <color theme="1"/>
        <sz val="9.0"/>
      </rPr>
      <t xml:space="preserve">, eta </t>
    </r>
    <r>
      <rPr>
        <rFont val="Arial"/>
        <color rgb="FFFF0000"/>
        <sz val="9.0"/>
      </rPr>
      <t>herritarrek</t>
    </r>
    <r>
      <rPr>
        <rFont val="Arial"/>
        <color theme="1"/>
        <sz val="9.0"/>
      </rPr>
      <t xml:space="preserve"> </t>
    </r>
    <r>
      <rPr>
        <rFont val="Arial"/>
        <color rgb="FF38761D"/>
        <sz val="9.0"/>
      </rPr>
      <t>protesta egin dute</t>
    </r>
    <r>
      <rPr>
        <rFont val="Arial"/>
        <color theme="1"/>
        <sz val="9.0"/>
      </rPr>
      <t>.</t>
    </r>
  </si>
  <si>
    <r>
      <rPr>
        <rFont val="Arial"/>
        <color rgb="FFFF0000"/>
        <sz val="9.0"/>
      </rPr>
      <t>Erramun Baxok ohorezko euskaltzainaren</t>
    </r>
    <r>
      <rPr>
        <rFont val="Arial"/>
        <color theme="1"/>
        <sz val="9.0"/>
      </rPr>
      <t xml:space="preserve"> </t>
    </r>
    <r>
      <rPr>
        <rFont val="Arial"/>
        <color rgb="FF38761D"/>
        <sz val="9.0"/>
      </rPr>
      <t>heriotza</t>
    </r>
    <r>
      <rPr>
        <rFont val="Arial"/>
        <color theme="1"/>
        <sz val="9.0"/>
      </rPr>
      <t xml:space="preserve"> jaso du Euskaltzaindiak.</t>
    </r>
  </si>
  <si>
    <t>Euskaltzaindiak jakinarazi du Erramun Baxok ohorezko euskaltzainak azken hatsa eman duela; 96 urte zituen.</t>
  </si>
  <si>
    <r>
      <rPr>
        <rFont val="Arial"/>
        <color rgb="FF666666"/>
        <sz val="9.0"/>
      </rPr>
      <t>5W1H metodoaren bidez, testuaren laburpena egiten dut:</t>
    </r>
    <r>
      <rPr>
        <rFont val="Arial"/>
        <color theme="1"/>
        <sz val="9.0"/>
      </rPr>
      <t xml:space="preserve">
* Zer: Erramun Baxo euskaltzain ohorezkoaren heriotza.
* Nork: Erramun Baxo, euskaltzain ohorezkoa, filosofoa eta soziolinguista.
* Noiz: </t>
    </r>
    <r>
      <rPr>
        <rFont val="Arial"/>
        <strike/>
        <color theme="1"/>
        <sz val="9.0"/>
      </rPr>
      <t>2023ko</t>
    </r>
    <r>
      <rPr>
        <rFont val="Arial"/>
        <color theme="1"/>
        <sz val="9.0"/>
      </rPr>
      <t xml:space="preserve"> (data zehatza ez da aipatua).
* Non: Suhuskunen (Nafarroa Beherea).
* Zergatik: Baxok euskararen alde egin zuen lanagatik eta soziolinguistika arloan egindako ekarpenengatik.
* Nola: Baxok euskararen alde egin zuen lanagatik eta soziolinguistika arloan egindako ekarpenengatik, besteak beste, Euskal Herriko Garapen Kontseiluan, EKE Euskal Kultur Erakundean, Euskararen Erakunde Publikoan eta Euskaltzaindian.
</t>
    </r>
    <r>
      <rPr>
        <rFont val="Arial"/>
        <color rgb="FF666666"/>
        <sz val="9.0"/>
      </rPr>
      <t xml:space="preserve">Laburpena: </t>
    </r>
    <r>
      <rPr>
        <rFont val="Arial"/>
        <color theme="1"/>
        <sz val="9.0"/>
      </rPr>
      <t>Erramun Baxo euskaltzain ohorezkoa hil da, 96 urte zituela. Baxok euskararen alde egin zuen lanagatik eta soziolinguistika arloan egindako ekarpenengatik da ezaguna. Euskal Herriko Garapen Kontseiluan, EKE Euskal Kultur Erakundean, Euskararen Erakunde Publikoan eta Euskaltzaindian lan egin zuen.</t>
    </r>
  </si>
  <si>
    <r>
      <rPr>
        <rFont val="Arial"/>
        <color theme="1"/>
        <sz val="9.0"/>
      </rPr>
      <t xml:space="preserve">Erramun Baxok euskaltzain ohorezkoak 96 urterekin azken hatsa eman du. </t>
    </r>
    <r>
      <rPr>
        <rFont val="Arial"/>
        <strike/>
        <color theme="1"/>
        <sz val="9.0"/>
      </rPr>
      <t>Euskaltzaindiak jakinarazi duenez,</t>
    </r>
    <r>
      <rPr>
        <rFont val="Arial"/>
        <color theme="1"/>
        <sz val="9.0"/>
      </rPr>
      <t xml:space="preserve"> Baxok filosofian doktorea zen eta irakasle eta ikerlari gisa aritu zen lanean. Euskal Herriko mundu pedagogikoan, soziolinguistikoan eta kulturalean inplikatua izan zen, eta Euskal Kultur Erakundearen buru izan zen 1990etik 2005era.</t>
    </r>
  </si>
  <si>
    <r>
      <rPr>
        <rFont val="Arial"/>
        <color rgb="FF666666"/>
        <sz val="9.0"/>
      </rPr>
      <t xml:space="preserve">Testu honek azaltzen duen informazioa laburbilduz, </t>
    </r>
    <r>
      <rPr>
        <rFont val="Arial"/>
        <color theme="1"/>
        <sz val="9.0"/>
      </rPr>
      <t xml:space="preserve">Errobiko hautetsi batzuek kritika gogorra egin </t>
    </r>
    <r>
      <rPr>
        <rFont val="Arial"/>
        <color rgb="FFFF0000"/>
        <sz val="9.0"/>
      </rPr>
      <t>dute</t>
    </r>
    <r>
      <rPr>
        <rFont val="Arial"/>
        <color theme="1"/>
        <sz val="9.0"/>
      </rPr>
      <t xml:space="preserve"> Jean-René Etxegarai lehendakariari, Peio Etxelekuri lurralde eremuko ordezkari kargua kendu izana. Hautetsiek kritikatu dute sei auzapezen jarrera, eta Etxegaraien erabakia "presakako eta errekurtsorik gabeko"tzat jo dute. Hautetsien iritziz, lurralde eremua "informatu eta kontsultatu" gabe jardun da, eta erabakia Euskal Hirigune Elkargoko gobernantza itunaren kontrakoa da.</t>
    </r>
  </si>
  <si>
    <r>
      <rPr>
        <rFont val="Arial"/>
        <color rgb="FF666666"/>
        <sz val="9.0"/>
      </rPr>
      <t xml:space="preserve">Edukirik garrantzitsuena: </t>
    </r>
    <r>
      <rPr>
        <rFont val="Arial"/>
        <color theme="1"/>
        <sz val="9.0"/>
      </rPr>
      <t>Peio Etxelekuri lurralde eremuko ordezkaritza kendu izana kritikatzeko agiria zabaldu dute Errobiko bederatzi hautetsik.</t>
    </r>
  </si>
  <si>
    <r>
      <rPr>
        <rFont val="Arial"/>
        <color rgb="FF666666"/>
        <sz val="9.0"/>
      </rPr>
      <t>5W1H metodoa erabiliz, laburpen hau egin daiteke:</t>
    </r>
    <r>
      <rPr>
        <rFont val="Arial"/>
        <color theme="1"/>
        <sz val="9.0"/>
      </rPr>
      <t xml:space="preserve">
**Zer?**: Errobiko bederatzi hautetsik agiria zabaldu dute Peio Etxelekuri lurralde eremuko ordezkaritza kendu izana kritikatzeko.
**Nork?**: Hautetsiak dira: Yannick Bassier eta Emmanuelle Dallet (Basusarri), Denise Cedarry, Mikel Goienetxe, Erik Mailharrancin eta Françoise Gallois (Uztaritze), Laetitia Croc eta Nicole Etxamendi (Itsasu), Argitxu Hiriart Urruti eta Mikel Hiribarren (Itsasuko auzapeza).
**Noiz?**: Ez da zehaztuta noiz gertatu den, baina testuan aipatzen da 2020ko agintaldia hasi zenean sortu zirela lurralde eremuetako batzordeak.
**Non?**: Euskal Hirigune Elkargoan, Errobiko lurralde eremuan, Lapurdi barnealdeko 11 herrietan.
**Zergatik?**: Hautetsien iritziz, lurralde eremuko ordezkaritzaren kargu-kenketa Euskal Hirigune Elkargoko gobernantza itunaren kontrakoa da. Lehendakariak berehala kendu dio ordezkaritza Etxelekuri, haren argudioak entzun gabe, eta sinatzaile ez diren auzapezen jarrera ezagutzen saiatu gabe.
**Nola?**: Hautetsiek salatu dute sei auzapezek Etxelekuren kontra gutun bat idaztearen "printzipioa" bera, eta baita Etxegarairen "presakako eta errekurtsorik gabeko" erabakia ere.</t>
    </r>
  </si>
  <si>
    <t>Peio Etxelekuri lurralde eremuko ordezkaritza kendu izana kritikatu dute Errobiko bederatzi hautetsik. Hautetsi horiek Etxegarairen erabakia eta sei auzapezen jarrera salatu dituzte.</t>
  </si>
  <si>
    <t xml:space="preserve">Eusko Ikaskuntzak iragarri duenez, Itziar Lakari emango diote Eusko Ikaskuntza-Laboral Kutxaren Humanitateen, Kulturaren, Arteen eta Gizarte Zientzien Saria. </t>
  </si>
  <si>
    <r>
      <rPr>
        <rFont val="Arial"/>
        <color rgb="FF666666"/>
        <sz val="9.0"/>
      </rPr>
      <t>5W1H metodoa erabiliz, laburpena honela egin daiteke:</t>
    </r>
    <r>
      <rPr>
        <rFont val="Arial"/>
        <color theme="1"/>
        <sz val="9.0"/>
      </rPr>
      <t xml:space="preserve">
* **Zer:** Itziar Lakari Eusko Ikaskuntza-Laboral Kutxaren Humanitateen, Kulturaren, Arteen eta Gizarte Zientzien Saria </t>
    </r>
    <r>
      <rPr>
        <rFont val="Arial"/>
        <strike/>
        <color theme="1"/>
        <sz val="9.0"/>
      </rPr>
      <t>eman diote</t>
    </r>
    <r>
      <rPr>
        <rFont val="Arial"/>
        <color theme="1"/>
        <sz val="9.0"/>
      </rPr>
      <t>.
* **Nork:** Eusko Ikaskuntzak ematen du saria.
* **Noiz:** Ez da zehaztu noiz emango den saria, baina Itziar Lakaren ibilbide osoa saritua izan da.
* **Non:** Ez da zehaztu non emango den saria.
* **Zergatik:** Itziar Lakak euskararen garapenerako eta hizkuntza gaitasunak gobernatzen dituzten mekanismoetan sakontzeko egindako ekarpen berritzaileengatik.
* **Nola:** Lakak hizkuntzalaritza esperimental eta neurohizkuntzalaritzan egindako lanagatik, eta euskararen sustapenaren alde egindako lanagatik.</t>
    </r>
  </si>
  <si>
    <r>
      <rPr>
        <rFont val="Arial"/>
        <color theme="1"/>
        <sz val="9.0"/>
      </rPr>
      <t xml:space="preserve">Itziar Laka hizkuntzalariak Eusko Ikaskuntza-Laboral Kutxaren Humanitateen Saria </t>
    </r>
    <r>
      <rPr>
        <rFont val="Arial"/>
        <strike/>
        <color theme="1"/>
        <sz val="9.0"/>
      </rPr>
      <t>jaso du</t>
    </r>
    <r>
      <rPr>
        <rFont val="Arial"/>
        <color theme="1"/>
        <sz val="9.0"/>
      </rPr>
      <t xml:space="preserve"> euskararen garapenean eta hizkuntzalaritzan egindako ekarpenengatik.</t>
    </r>
  </si>
  <si>
    <r>
      <rPr>
        <rFont val="Arial"/>
        <color theme="1"/>
        <sz val="9.0"/>
      </rPr>
      <t xml:space="preserve">Arabako Foru Aldundiak emakumeen sexu indarkeriaren biktimei laguntzeko zentro berri bat zabaldu du, Tximeletak </t>
    </r>
    <r>
      <rPr>
        <rFont val="Arial"/>
        <color rgb="FFFF0000"/>
        <sz val="9.0"/>
      </rPr>
      <t>izenekoan</t>
    </r>
    <r>
      <rPr>
        <rFont val="Arial"/>
        <color theme="1"/>
        <sz val="9.0"/>
      </rPr>
      <t xml:space="preserve">. Zentro honek 24 orduz eta </t>
    </r>
    <r>
      <rPr>
        <rFont val="Arial"/>
        <strike/>
        <color theme="1"/>
        <sz val="9.0"/>
      </rPr>
      <t>urtean zehar</t>
    </r>
    <r>
      <rPr>
        <rFont val="Arial"/>
        <color theme="1"/>
        <sz val="9.0"/>
      </rPr>
      <t xml:space="preserve"> emakumeak artatzeko eskaintza integrala eskainiko du, krisi eta larrialdi egoeretan. Zentroan profesional talde batek aurrez aurreko laguntza eskainiko dio biktimari, arreta psikologikoa eta aholkularitza juridikoa barne. Gainera, biktimen lehengoratze integrala sustatuko dute, informazioa, aholkularitza eta arreta soziala, juridikoa eta psikologikoa eskainita.</t>
    </r>
  </si>
  <si>
    <t>Tximeletak zentroa Arabako Foru Aldundiak ireki du, sexu indarkeria jasaten duten emakumeei arreta integrala emateko. Zentroan, profesional talde batek aurrez aurreko laguntza eskainiko dio biktimari krisi eta larrialdi egoeretan, arreta psikologikoa eta aholkularitza juridikoa barne.</t>
  </si>
  <si>
    <r>
      <rPr>
        <rFont val="Arial"/>
        <color rgb="FF666666"/>
        <sz val="9.0"/>
      </rPr>
      <t>Hona hemen testuaren laburpena 5W1H metodoaren arabera:</t>
    </r>
    <r>
      <rPr>
        <rFont val="Arial"/>
        <color theme="1"/>
        <sz val="9.0"/>
      </rPr>
      <t xml:space="preserve">
* Zer: Arabako Foru Aldundiak sexu indarkeriaren biktimei arreta integrala emateko zentro bat zabaldu du, Tximeletak izenekoa.
* Nork: Gorka Urtaran Gizarte Politiketarako diputatuak eta Maika Diez Bermejo Esku Hartze Sozialeko zuzendariorde teknikoak eman dituzte zentro berriaren xehetasunak.
* Noiz: Apirilaren 19tik dago martxan.
* Non: Gasteizko erdigunean, baina ez dute zehaztu non dagoen, erabiltzaileen konfidentzialtasuna bermatze aldera.
* Zergatik: Sexu indarkeria nozitu duten emakumeei eta haien gertukoei arreta integrala emateko, eta biktimen lehengoratze psikologikoa sustatzeko.
* Nola: Aurrez aurre, telefonoz zein online, egunean 24 orduz eta urtean 365 egunez.</t>
    </r>
  </si>
  <si>
    <t>Arabako Foru Aldundiak Tximeletak deitutako zentroa zabaldu du, sexu indarkeriaren biktimei arreta integrala emateko. Zentroa Gasteizko erdigunean dago, baina kokapena ezkutuan gordetzen dute biktimen konfidentzialtasuna bermatzeko. Zentroan, psikologo, juristak eta beste profesional batzuek egun eta gau guztietan, urtean zehar, laguntza eskainiko diete biktimei, telefono eta online bidez.</t>
  </si>
  <si>
    <t xml:space="preserve"> model key</t>
  </si>
  <si>
    <t>prompt key</t>
  </si>
  <si>
    <t>PROMPTS</t>
  </si>
  <si>
    <t>Laburtu hurrengo testua.\n\n{text}</t>
  </si>
  <si>
    <t>Pentsatu ondo zein den hurrengo testuaren edukirik garrantzitsuena eta laburtu testua edukirik garrantzitsuena erabiliz.\n\n{text}</t>
  </si>
  <si>
    <t>Laburtu hurrengo testua, 5W1H metodoa erabiliz (zer, nork, noiz, non, zergatik, nola).\n\n{text}</t>
  </si>
  <si>
    <t>{text}\n\ntldr:</t>
  </si>
  <si>
    <t>HUMAN SUMMARIES</t>
  </si>
  <si>
    <t>Human-generated XLSum-like summary (i.e., the heading of the article)</t>
  </si>
  <si>
    <t>Summary generated manually by Jeremy</t>
  </si>
  <si>
    <t>Summary generated manually by Begoña</t>
  </si>
  <si>
    <t>Alba</t>
  </si>
  <si>
    <t>Summary generated manually by Alba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</si>
  <si>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</si>
  <si>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</si>
  <si>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</si>
  <si>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</si>
  <si>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</si>
  <si>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</si>
  <si>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</si>
  <si>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</si>
  <si>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</si>
  <si>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</si>
  <si>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</si>
  <si>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</si>
  <si>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</si>
  <si>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</si>
  <si>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</si>
  <si>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</si>
  <si>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</si>
  <si>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</si>
  <si>
    <t>El criterio 5W es importante para que quede claro que en los headings falta mucha información.</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</si>
</sst>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color theme="1"/>
      <name val="Arial"/>
      <scheme val="minor"/>
    </font>
    <font>
      <color theme="1"/>
      <name val="Arial"/>
      <scheme val="minor"/>
    </font>
    <font>
      <color theme="1"/>
      <name val="Arial"/>
    </font>
    <font>
      <b/>
      <color rgb="FFFFFFFF"/>
      <name val="Arial"/>
      <scheme val="minor"/>
    </font>
    <font/>
    <font>
      <u/>
      <color rgb="FF0000FF"/>
    </font>
    <font>
      <u/>
      <color rgb="FF0000FF"/>
    </font>
    <font>
      <sz val="9.0"/>
      <color rgb="FF4285F4"/>
      <name val="Arial"/>
      <scheme val="minor"/>
    </font>
    <font>
      <b/>
      <sz val="9.0"/>
      <color theme="1"/>
      <name val="Arial"/>
      <scheme val="minor"/>
    </font>
    <font>
      <b/>
      <sz val="9.0"/>
      <color theme="1"/>
      <name val="Arial"/>
    </font>
    <font>
      <b/>
      <u/>
      <color rgb="FF0000FF"/>
    </font>
    <font>
      <sz val="9.0"/>
      <color theme="1"/>
      <name val="Arial"/>
      <scheme val="minor"/>
    </font>
    <font>
      <b/>
      <u/>
      <color rgb="FF0000FF"/>
    </font>
    <font>
      <u/>
      <color rgb="FF0000FF"/>
    </font>
    <font>
      <i/>
      <color theme="1"/>
      <name val="Arial"/>
      <scheme val="minor"/>
    </font>
    <font>
      <u/>
      <color rgb="FF1155CC"/>
      <name val="Arial"/>
    </font>
    <font>
      <u/>
      <color rgb="FF1155CC"/>
      <name val="Arial"/>
    </font>
    <font>
      <b/>
      <color rgb="FFFFFFFF"/>
      <name val="Arial"/>
    </font>
    <font>
      <b/>
      <color theme="1"/>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25">
    <fill>
      <patternFill patternType="none"/>
    </fill>
    <fill>
      <patternFill patternType="lightGray"/>
    </fill>
    <fill>
      <patternFill patternType="solid">
        <fgColor rgb="FF000000"/>
        <bgColor rgb="FF000000"/>
      </patternFill>
    </fill>
    <fill>
      <patternFill patternType="solid">
        <fgColor rgb="FFFFFBFB"/>
        <bgColor rgb="FFFFFBFB"/>
      </patternFill>
    </fill>
    <fill>
      <patternFill patternType="solid">
        <fgColor rgb="FFFFFFFF"/>
        <bgColor rgb="FFFFFFFF"/>
      </patternFill>
    </fill>
    <fill>
      <patternFill patternType="solid">
        <fgColor rgb="FFFEFAF9"/>
        <bgColor rgb="FFFEFAF9"/>
      </patternFill>
    </fill>
    <fill>
      <patternFill patternType="solid">
        <fgColor rgb="FFFDF2F0"/>
        <bgColor rgb="FFFDF2F0"/>
      </patternFill>
    </fill>
    <fill>
      <patternFill patternType="solid">
        <fgColor rgb="FFFDF4F3"/>
        <bgColor rgb="FFFDF4F3"/>
      </patternFill>
    </fill>
    <fill>
      <patternFill patternType="solid">
        <fgColor rgb="FFFCEEED"/>
        <bgColor rgb="FFFCEEED"/>
      </patternFill>
    </fill>
    <fill>
      <patternFill patternType="solid">
        <fgColor rgb="FFFCECEB"/>
        <bgColor rgb="FFFCECEB"/>
      </patternFill>
    </fill>
    <fill>
      <patternFill patternType="solid">
        <fgColor rgb="FFFBE7E5"/>
        <bgColor rgb="FFFBE7E5"/>
      </patternFill>
    </fill>
    <fill>
      <patternFill patternType="solid">
        <fgColor rgb="FFFCEDEC"/>
        <bgColor rgb="FFFCEDEC"/>
      </patternFill>
    </fill>
    <fill>
      <patternFill patternType="solid">
        <fgColor rgb="FFFCEAE9"/>
        <bgColor rgb="FFFCEAE9"/>
      </patternFill>
    </fill>
    <fill>
      <patternFill patternType="solid">
        <fgColor rgb="FFFBE5E3"/>
        <bgColor rgb="FFFBE5E3"/>
      </patternFill>
    </fill>
    <fill>
      <patternFill patternType="solid">
        <fgColor rgb="FFF4C3BE"/>
        <bgColor rgb="FFF4C3BE"/>
      </patternFill>
    </fill>
    <fill>
      <patternFill patternType="solid">
        <fgColor rgb="FFF9DCD9"/>
        <bgColor rgb="FFF9DCD9"/>
      </patternFill>
    </fill>
    <fill>
      <patternFill patternType="solid">
        <fgColor rgb="FFF0ADA7"/>
        <bgColor rgb="FFF0ADA7"/>
      </patternFill>
    </fill>
    <fill>
      <patternFill patternType="solid">
        <fgColor rgb="FFF8D5D2"/>
        <bgColor rgb="FFF8D5D2"/>
      </patternFill>
    </fill>
    <fill>
      <patternFill patternType="solid">
        <fgColor rgb="FFF8D7D4"/>
        <bgColor rgb="FFF8D7D4"/>
      </patternFill>
    </fill>
    <fill>
      <patternFill patternType="solid">
        <fgColor rgb="FFF7D2CF"/>
        <bgColor rgb="FFF7D2CF"/>
      </patternFill>
    </fill>
    <fill>
      <patternFill patternType="solid">
        <fgColor rgb="FFF8D8D5"/>
        <bgColor rgb="FFF8D8D5"/>
      </patternFill>
    </fill>
    <fill>
      <patternFill patternType="solid">
        <fgColor rgb="FFF6CAC6"/>
        <bgColor rgb="FFF6CAC6"/>
      </patternFill>
    </fill>
    <fill>
      <patternFill patternType="solid">
        <fgColor rgb="FFF5C8C4"/>
        <bgColor rgb="FFF5C8C4"/>
      </patternFill>
    </fill>
    <fill>
      <patternFill patternType="solid">
        <fgColor rgb="FFF9DFDC"/>
        <bgColor rgb="FFF9DFDC"/>
      </patternFill>
    </fill>
    <fill>
      <patternFill patternType="solid">
        <fgColor rgb="FFF6CDCA"/>
        <bgColor rgb="FFF6CDCA"/>
      </patternFill>
    </fill>
  </fills>
  <borders count="16">
    <border/>
    <border>
      <top style="thin">
        <color rgb="FF000000"/>
      </top>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border>
    <border>
      <right style="thick">
        <color rgb="FF000000"/>
      </right>
    </border>
    <border>
      <top style="double">
        <color rgb="FF000000"/>
      </top>
    </border>
    <border>
      <bottom style="double">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2" xfId="0" applyFont="1" applyNumberFormat="1"/>
    <xf borderId="0" fillId="0" fontId="2" numFmtId="0" xfId="0" applyFont="1"/>
    <xf borderId="1" fillId="0" fontId="2" numFmtId="0" xfId="0" applyAlignment="1" applyBorder="1" applyFont="1">
      <alignment horizontal="center" readingOrder="0"/>
    </xf>
    <xf borderId="1" fillId="0" fontId="2" numFmtId="0" xfId="0" applyAlignment="1" applyBorder="1" applyFont="1">
      <alignment horizontal="center" readingOrder="0" vertical="top"/>
    </xf>
    <xf borderId="1" fillId="0" fontId="2" numFmtId="9" xfId="0" applyBorder="1" applyFont="1" applyNumberFormat="1"/>
    <xf borderId="1" fillId="0" fontId="2" numFmtId="4" xfId="0" applyBorder="1" applyFont="1" applyNumberFormat="1"/>
    <xf borderId="1" fillId="0" fontId="2" numFmtId="0" xfId="0" applyAlignment="1" applyBorder="1" applyFont="1">
      <alignment horizontal="center"/>
    </xf>
    <xf borderId="0" fillId="0" fontId="3" numFmtId="0" xfId="0" applyAlignment="1" applyFont="1">
      <alignment readingOrder="0" vertical="bottom"/>
    </xf>
    <xf borderId="2" fillId="2" fontId="4" numFmtId="0" xfId="0" applyAlignment="1" applyBorder="1" applyFill="1" applyFont="1">
      <alignment horizontal="center" readingOrder="0"/>
    </xf>
    <xf borderId="3" fillId="2" fontId="4" numFmtId="0" xfId="0" applyAlignment="1" applyBorder="1" applyFont="1">
      <alignment horizontal="center" readingOrder="0"/>
    </xf>
    <xf borderId="3" fillId="0" fontId="5" numFmtId="0" xfId="0" applyBorder="1" applyFont="1"/>
    <xf borderId="4" fillId="0" fontId="5" numFmtId="0" xfId="0" applyBorder="1" applyFont="1"/>
    <xf borderId="5" fillId="0" fontId="6" numFmtId="0" xfId="0" applyAlignment="1" applyBorder="1" applyFont="1">
      <alignment horizontal="right"/>
    </xf>
    <xf borderId="1" fillId="0" fontId="2" numFmtId="0" xfId="0" applyBorder="1" applyFont="1"/>
    <xf borderId="6" fillId="0" fontId="2" numFmtId="0" xfId="0" applyAlignment="1" applyBorder="1" applyFont="1">
      <alignment horizontal="center" readingOrder="0"/>
    </xf>
    <xf borderId="7" fillId="0" fontId="7" numFmtId="0" xfId="0" applyAlignment="1" applyBorder="1" applyFont="1">
      <alignment horizontal="right"/>
    </xf>
    <xf borderId="8" fillId="0" fontId="2" numFmtId="0" xfId="0" applyAlignment="1" applyBorder="1" applyFont="1">
      <alignment horizontal="center" readingOrder="0"/>
    </xf>
    <xf borderId="5" fillId="0" fontId="2" numFmtId="0" xfId="0" applyAlignment="1" applyBorder="1" applyFont="1">
      <alignment horizontal="center" readingOrder="0"/>
    </xf>
    <xf borderId="6" fillId="0" fontId="3" numFmtId="0" xfId="0" applyAlignment="1" applyBorder="1" applyFont="1">
      <alignment horizontal="center" vertical="bottom"/>
    </xf>
    <xf borderId="7" fillId="0" fontId="2" numFmtId="0" xfId="0" applyAlignment="1" applyBorder="1" applyFont="1">
      <alignment horizontal="center" readingOrder="0"/>
    </xf>
    <xf borderId="8" fillId="0" fontId="3" numFmtId="0" xfId="0" applyAlignment="1" applyBorder="1" applyFont="1">
      <alignment horizontal="center" vertical="bottom"/>
    </xf>
    <xf borderId="9" fillId="0" fontId="2" numFmtId="0" xfId="0" applyAlignment="1" applyBorder="1" applyFont="1">
      <alignment horizontal="center" readingOrder="0"/>
    </xf>
    <xf borderId="10" fillId="0" fontId="2" numFmtId="0" xfId="0" applyAlignment="1" applyBorder="1" applyFont="1">
      <alignment horizontal="center" readingOrder="0"/>
    </xf>
    <xf borderId="10" fillId="0" fontId="2" numFmtId="0" xfId="0" applyBorder="1" applyFont="1"/>
    <xf borderId="10" fillId="0" fontId="2" numFmtId="9" xfId="0" applyBorder="1" applyFont="1" applyNumberFormat="1"/>
    <xf borderId="10" fillId="0" fontId="2" numFmtId="4" xfId="0" applyBorder="1" applyFont="1" applyNumberFormat="1"/>
    <xf borderId="11" fillId="0" fontId="3" numFmtId="0" xfId="0" applyAlignment="1" applyBorder="1" applyFont="1">
      <alignment horizontal="center" vertical="bottom"/>
    </xf>
    <xf borderId="5" fillId="0" fontId="2" numFmtId="0" xfId="0" applyBorder="1" applyFont="1"/>
    <xf borderId="1" fillId="0" fontId="2" numFmtId="2" xfId="0" applyBorder="1" applyFont="1" applyNumberFormat="1"/>
    <xf borderId="7" fillId="0" fontId="2" numFmtId="0" xfId="0" applyBorder="1" applyFont="1"/>
    <xf borderId="9" fillId="0" fontId="2" numFmtId="0" xfId="0" applyBorder="1" applyFont="1"/>
    <xf borderId="10" fillId="0" fontId="2" numFmtId="0" xfId="0" applyAlignment="1" applyBorder="1" applyFont="1">
      <alignment horizontal="center" readingOrder="0" vertical="top"/>
    </xf>
    <xf borderId="10" fillId="0" fontId="2" numFmtId="2" xfId="0" applyBorder="1" applyFont="1" applyNumberFormat="1"/>
    <xf borderId="12" fillId="2" fontId="4" numFmtId="0" xfId="0" applyAlignment="1" applyBorder="1" applyFont="1">
      <alignment horizontal="center" readingOrder="0"/>
    </xf>
    <xf borderId="0" fillId="2" fontId="4" numFmtId="0" xfId="0" applyAlignment="1" applyFont="1">
      <alignment horizontal="center" readingOrder="0"/>
    </xf>
    <xf borderId="13" fillId="0" fontId="5" numFmtId="0" xfId="0" applyBorder="1" applyFont="1"/>
    <xf borderId="6" fillId="0" fontId="2" numFmtId="2" xfId="0" applyBorder="1" applyFont="1" applyNumberFormat="1"/>
    <xf borderId="8" fillId="0" fontId="2" numFmtId="2" xfId="0" applyBorder="1" applyFont="1" applyNumberFormat="1"/>
    <xf borderId="11" fillId="0" fontId="2" numFmtId="2" xfId="0" applyBorder="1" applyFont="1" applyNumberFormat="1"/>
    <xf borderId="0" fillId="0" fontId="8" numFmtId="0" xfId="0" applyFont="1"/>
    <xf borderId="0" fillId="0" fontId="9" numFmtId="0" xfId="0" applyAlignment="1" applyFont="1">
      <alignment horizontal="center" readingOrder="0" shrinkToFit="0" vertical="top" wrapText="1"/>
    </xf>
    <xf borderId="0" fillId="0" fontId="10" numFmtId="0" xfId="0" applyAlignment="1" applyFont="1">
      <alignment horizontal="center" shrinkToFit="0" vertical="top" wrapText="1"/>
    </xf>
    <xf borderId="0" fillId="0" fontId="1" numFmtId="0" xfId="0" applyAlignment="1" applyFont="1">
      <alignment horizontal="center" vertical="top"/>
    </xf>
    <xf borderId="0" fillId="0" fontId="11" numFmtId="0" xfId="0" applyAlignment="1" applyFont="1">
      <alignment horizontal="center" readingOrder="0" shrinkToFit="0" textRotation="90" vertical="center" wrapText="1"/>
    </xf>
    <xf borderId="0" fillId="0" fontId="2" numFmtId="0" xfId="0" applyAlignment="1" applyFont="1">
      <alignment readingOrder="0" shrinkToFit="0" vertical="top" wrapText="1"/>
    </xf>
    <xf borderId="0" fillId="0" fontId="12" numFmtId="0" xfId="0" applyAlignment="1" applyFont="1">
      <alignment readingOrder="0" shrinkToFit="0" vertical="top" wrapText="1"/>
    </xf>
    <xf borderId="0" fillId="3" fontId="3" numFmtId="9" xfId="0" applyAlignment="1" applyFill="1" applyFont="1" applyNumberFormat="1">
      <alignment horizontal="right" vertical="top"/>
    </xf>
    <xf borderId="0" fillId="0" fontId="2" numFmtId="0" xfId="0" applyAlignment="1" applyFont="1">
      <alignment vertical="top"/>
    </xf>
    <xf borderId="0" fillId="4" fontId="3" numFmtId="9" xfId="0" applyAlignment="1" applyFill="1" applyFont="1" applyNumberFormat="1">
      <alignment horizontal="right" vertical="top"/>
    </xf>
    <xf borderId="0" fillId="0" fontId="2" numFmtId="0" xfId="0" applyAlignment="1" applyFont="1">
      <alignment horizontal="center" vertical="top"/>
    </xf>
    <xf borderId="0" fillId="0" fontId="12" numFmtId="0" xfId="0" applyAlignment="1" applyFont="1">
      <alignment shrinkToFit="0" vertical="top" wrapText="1"/>
    </xf>
    <xf borderId="0" fillId="0" fontId="3" numFmtId="0" xfId="0" applyAlignment="1" applyFont="1">
      <alignment vertical="top"/>
    </xf>
    <xf borderId="14" fillId="0" fontId="13" numFmtId="0" xfId="0" applyAlignment="1" applyBorder="1" applyFont="1">
      <alignment horizontal="center" readingOrder="0" textRotation="90" vertical="center"/>
    </xf>
    <xf borderId="14" fillId="0" fontId="2" numFmtId="0" xfId="0" applyAlignment="1" applyBorder="1" applyFont="1">
      <alignment readingOrder="0" shrinkToFit="0" vertical="top" wrapText="1"/>
    </xf>
    <xf borderId="14" fillId="0" fontId="2" numFmtId="0" xfId="0" applyAlignment="1" applyBorder="1" applyFont="1">
      <alignment horizontal="center" readingOrder="0" vertical="top"/>
    </xf>
    <xf borderId="14" fillId="0" fontId="12" numFmtId="0" xfId="0" applyAlignment="1" applyBorder="1" applyFont="1">
      <alignment readingOrder="0" shrinkToFit="0" vertical="top" wrapText="1"/>
    </xf>
    <xf borderId="14" fillId="5" fontId="3" numFmtId="9" xfId="0" applyAlignment="1" applyBorder="1" applyFill="1" applyFont="1" applyNumberFormat="1">
      <alignment horizontal="right" vertical="top"/>
    </xf>
    <xf borderId="14" fillId="0" fontId="2" numFmtId="0" xfId="0" applyAlignment="1" applyBorder="1" applyFont="1">
      <alignment vertical="top"/>
    </xf>
    <xf borderId="0" fillId="5" fontId="3" numFmtId="9" xfId="0" applyAlignment="1" applyFont="1" applyNumberFormat="1">
      <alignment horizontal="right" vertical="top"/>
    </xf>
    <xf borderId="15" fillId="0" fontId="3" numFmtId="0" xfId="0" applyAlignment="1" applyBorder="1" applyFont="1">
      <alignment vertical="top"/>
    </xf>
    <xf borderId="14" fillId="6" fontId="3" numFmtId="9" xfId="0" applyAlignment="1" applyBorder="1" applyFill="1" applyFont="1" applyNumberFormat="1">
      <alignment horizontal="right" vertical="top"/>
    </xf>
    <xf borderId="14" fillId="7" fontId="3" numFmtId="9" xfId="0" applyAlignment="1" applyBorder="1" applyFill="1" applyFont="1" applyNumberFormat="1">
      <alignment horizontal="right" vertical="top"/>
    </xf>
    <xf borderId="14" fillId="8" fontId="3" numFmtId="9" xfId="0" applyAlignment="1" applyBorder="1" applyFill="1" applyFont="1" applyNumberFormat="1">
      <alignment horizontal="right" vertical="top"/>
    </xf>
    <xf borderId="0" fillId="0" fontId="9" numFmtId="0" xfId="0" applyAlignment="1" applyFont="1">
      <alignment horizontal="center" readingOrder="0" shrinkToFit="0" vertical="top" wrapText="1"/>
    </xf>
    <xf borderId="0" fillId="0" fontId="12" numFmtId="0" xfId="0" applyAlignment="1" applyFont="1">
      <alignment readingOrder="0" shrinkToFit="0" vertical="top" wrapText="1"/>
    </xf>
    <xf borderId="0" fillId="9" fontId="3" numFmtId="9" xfId="0" applyAlignment="1" applyFill="1" applyFont="1" applyNumberFormat="1">
      <alignment horizontal="right" vertical="top"/>
    </xf>
    <xf borderId="0" fillId="10" fontId="3" numFmtId="9" xfId="0" applyAlignment="1" applyFill="1" applyFont="1" applyNumberFormat="1">
      <alignment horizontal="right" vertical="top"/>
    </xf>
    <xf borderId="0" fillId="11" fontId="3" numFmtId="9" xfId="0" applyAlignment="1" applyFill="1" applyFont="1" applyNumberFormat="1">
      <alignment horizontal="right" vertical="top"/>
    </xf>
    <xf borderId="0" fillId="0" fontId="12" numFmtId="0" xfId="0" applyAlignment="1" applyFont="1">
      <alignment shrinkToFit="0" vertical="top" wrapText="1"/>
    </xf>
    <xf borderId="14" fillId="0" fontId="12" numFmtId="0" xfId="0" applyAlignment="1" applyBorder="1" applyFont="1">
      <alignment readingOrder="0" shrinkToFit="0" vertical="top" wrapText="1"/>
    </xf>
    <xf borderId="0" fillId="12" fontId="3" numFmtId="9" xfId="0" applyAlignment="1" applyFill="1" applyFont="1" applyNumberFormat="1">
      <alignment horizontal="right" vertical="top"/>
    </xf>
    <xf borderId="0" fillId="8" fontId="3" numFmtId="9" xfId="0" applyAlignment="1" applyFont="1" applyNumberFormat="1">
      <alignment horizontal="right" vertical="top"/>
    </xf>
    <xf borderId="0" fillId="13" fontId="3" numFmtId="9" xfId="0" applyAlignment="1" applyFill="1" applyFont="1" applyNumberFormat="1">
      <alignment horizontal="right" vertical="top"/>
    </xf>
    <xf borderId="0" fillId="14" fontId="3" numFmtId="9" xfId="0" applyAlignment="1" applyFill="1" applyFont="1" applyNumberFormat="1">
      <alignment horizontal="right" vertical="top"/>
    </xf>
    <xf borderId="0" fillId="15" fontId="3" numFmtId="9" xfId="0" applyAlignment="1" applyFill="1" applyFont="1" applyNumberFormat="1">
      <alignment horizontal="right" vertical="top"/>
    </xf>
    <xf borderId="0" fillId="16" fontId="3" numFmtId="9" xfId="0" applyAlignment="1" applyFill="1" applyFont="1" applyNumberFormat="1">
      <alignment horizontal="right" vertical="top"/>
    </xf>
    <xf borderId="0" fillId="17" fontId="3" numFmtId="9" xfId="0" applyAlignment="1" applyFill="1" applyFont="1" applyNumberFormat="1">
      <alignment horizontal="right" vertical="top"/>
    </xf>
    <xf borderId="0" fillId="18" fontId="3" numFmtId="9" xfId="0" applyAlignment="1" applyFill="1" applyFont="1" applyNumberFormat="1">
      <alignment horizontal="right" vertical="top"/>
    </xf>
    <xf borderId="0" fillId="19" fontId="3" numFmtId="9" xfId="0" applyAlignment="1" applyFill="1" applyFont="1" applyNumberFormat="1">
      <alignment horizontal="right" vertical="top"/>
    </xf>
    <xf borderId="0" fillId="20" fontId="3" numFmtId="9" xfId="0" applyAlignment="1" applyFill="1" applyFont="1" applyNumberFormat="1">
      <alignment horizontal="right" vertical="top"/>
    </xf>
    <xf borderId="0" fillId="21" fontId="3" numFmtId="9" xfId="0" applyAlignment="1" applyFill="1" applyFont="1" applyNumberFormat="1">
      <alignment horizontal="right" vertical="top"/>
    </xf>
    <xf borderId="0" fillId="22" fontId="3" numFmtId="9" xfId="0" applyAlignment="1" applyFill="1" applyFont="1" applyNumberFormat="1">
      <alignment horizontal="right" vertical="top"/>
    </xf>
    <xf borderId="0" fillId="23" fontId="3" numFmtId="9" xfId="0" applyAlignment="1" applyFill="1" applyFont="1" applyNumberFormat="1">
      <alignment horizontal="right" vertical="top"/>
    </xf>
    <xf borderId="0" fillId="0" fontId="14" numFmtId="0" xfId="0" applyAlignment="1" applyFont="1">
      <alignment horizontal="right"/>
    </xf>
    <xf borderId="0" fillId="0" fontId="2" numFmtId="9" xfId="0" applyAlignment="1" applyFont="1" applyNumberFormat="1">
      <alignment horizontal="center"/>
    </xf>
    <xf borderId="0" fillId="0" fontId="15" numFmtId="0" xfId="0" applyAlignment="1" applyFont="1">
      <alignment horizontal="center" readingOrder="0"/>
    </xf>
    <xf borderId="0" fillId="0" fontId="2" numFmtId="0" xfId="0" applyAlignment="1" applyFont="1">
      <alignment horizontal="right"/>
    </xf>
    <xf borderId="0" fillId="0" fontId="16" numFmtId="0" xfId="0" applyAlignment="1" applyFont="1">
      <alignment horizontal="right" vertical="bottom"/>
    </xf>
    <xf borderId="0" fillId="0" fontId="3" numFmtId="0" xfId="0" applyAlignment="1" applyFont="1">
      <alignment vertical="bottom"/>
    </xf>
    <xf borderId="0" fillId="0" fontId="17" numFmtId="0" xfId="0" applyAlignment="1" applyFont="1">
      <alignment horizontal="right" vertical="bottom"/>
    </xf>
    <xf borderId="0" fillId="0" fontId="3" numFmtId="0" xfId="0" applyAlignment="1" applyFont="1">
      <alignment horizontal="center" vertical="top"/>
    </xf>
    <xf borderId="0" fillId="24" fontId="3" numFmtId="9" xfId="0" applyAlignment="1" applyFill="1" applyFont="1" applyNumberFormat="1">
      <alignment horizontal="center" vertical="bottom"/>
    </xf>
    <xf borderId="0" fillId="0" fontId="3" numFmtId="0" xfId="0" applyAlignment="1" applyFont="1">
      <alignment horizontal="center" vertical="bottom"/>
    </xf>
    <xf borderId="0" fillId="2" fontId="18" numFmtId="0" xfId="0" applyAlignment="1" applyFont="1">
      <alignment vertical="top"/>
    </xf>
    <xf borderId="0" fillId="2" fontId="3" numFmtId="0" xfId="0" applyAlignment="1" applyFont="1">
      <alignment vertical="bottom"/>
    </xf>
    <xf borderId="0" fillId="2" fontId="3" numFmtId="0" xfId="0" applyAlignment="1" applyFont="1">
      <alignment vertical="bottom"/>
    </xf>
    <xf borderId="0" fillId="0" fontId="19" numFmtId="0" xfId="0" applyAlignment="1" applyFont="1">
      <alignment horizontal="center" vertical="top"/>
    </xf>
    <xf borderId="0" fillId="0" fontId="3" numFmtId="0" xfId="0" applyAlignment="1" applyFont="1">
      <alignment shrinkToFit="0" vertical="bottom" wrapText="0"/>
    </xf>
    <xf borderId="0" fillId="0" fontId="19" numFmtId="0" xfId="0" applyAlignment="1" applyFont="1">
      <alignment horizontal="center" vertical="top"/>
    </xf>
    <xf borderId="0" fillId="2" fontId="18" numFmtId="0" xfId="0" applyAlignment="1" applyFont="1">
      <alignment shrinkToFit="0" vertical="top"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19" numFmtId="0" xfId="0" applyAlignment="1" applyFont="1">
      <alignment horizontal="center" vertical="bottom"/>
    </xf>
    <xf borderId="0" fillId="0" fontId="20" numFmtId="0" xfId="0" applyAlignment="1" applyFont="1">
      <alignment horizontal="center" vertical="bottom"/>
    </xf>
    <xf borderId="0" fillId="0" fontId="21" numFmtId="0" xfId="0" applyAlignment="1" applyFont="1">
      <alignment horizontal="center" vertical="bottom"/>
    </xf>
    <xf borderId="0" fillId="0" fontId="22"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 numFmtId="0" xfId="0" applyAlignment="1" applyFont="1">
      <alignment readingOrder="0"/>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3.xml"/><Relationship Id="rId8"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4.xml"/><Relationship Id="rId8"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5.xml"/><Relationship Id="rId8"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6.xml"/><Relationship Id="rId8"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7.xml"/><Relationship Id="rId8"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14.88"/>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IFERROR(__xludf.DUMMYFUNCTION("AVERAGE(FILTER('__flatlist__'!D$2:D1004,('__flatlist__'!$B$2:$B1004=$B2),('__flatlist__'!$C$2:$C1004=$C2)))"),0.10611324480869685)</f>
        <v>0.1061132448</v>
      </c>
      <c r="E2" s="9">
        <f>IFERROR(__xludf.DUMMYFUNCTION("AVERAGE(FILTER('__flatlist__'!E$2:E1004,('__flatlist__'!$B$2:$B1004=$B2),('__flatlist__'!$C$2:$C1004=$C2)))"),4.0)</f>
        <v>4</v>
      </c>
      <c r="F2" s="9">
        <f>IFERROR(__xludf.DUMMYFUNCTION("AVERAGE(FILTER('__flatlist__'!F$2:F1004,('__flatlist__'!$B$2:$B1004=$B2),('__flatlist__'!$C$2:$C1004=$C2)))"),4.6)</f>
        <v>4.6</v>
      </c>
      <c r="G2" s="9">
        <f>IFERROR(__xludf.DUMMYFUNCTION("AVERAGE(FILTER('__flatlist__'!G$2:G1004,('__flatlist__'!$B$2:$B1004=$B2),('__flatlist__'!$C$2:$C1004=$C2)))"),4.8)</f>
        <v>4.8</v>
      </c>
      <c r="H2" s="9">
        <f>IFERROR(__xludf.DUMMYFUNCTION("AVERAGE(FILTER('__flatlist__'!H$2:H1004,('__flatlist__'!$B$2:$B1004=$B2),('__flatlist__'!$C$2:$C1004=$C2)))"),5.0)</f>
        <v>5</v>
      </c>
      <c r="I2" s="9">
        <f>IFERROR(__xludf.DUMMYFUNCTION("AVERAGE(FILTER('__flatlist__'!I$2:I1004,('__flatlist__'!$B$2:$B1004=$B2),('__flatlist__'!$C$2:$C1004=$C2)))"),2.8)</f>
        <v>2.8</v>
      </c>
      <c r="J2" s="9">
        <f t="shared" ref="J2:J25" si="1">AVERAGE(E2:I2)</f>
        <v>4.24</v>
      </c>
      <c r="K2" s="3"/>
      <c r="M2" s="2" t="s">
        <v>11</v>
      </c>
      <c r="N2" s="10">
        <f>correl('__flatlist__'!D:D,'__flatlist__'!E:E)</f>
        <v>-0.299498442</v>
      </c>
      <c r="O2" s="10"/>
      <c r="P2" s="10"/>
      <c r="Q2" s="10"/>
      <c r="R2" s="10"/>
    </row>
    <row r="3">
      <c r="A3" s="6"/>
      <c r="B3" s="6" t="s">
        <v>15</v>
      </c>
      <c r="C3" s="7" t="s">
        <v>17</v>
      </c>
      <c r="D3" s="8">
        <f>IFERROR(__xludf.DUMMYFUNCTION("AVERAGE(FILTER('__flatlist__'!D$2:D1004,('__flatlist__'!$B$2:$B1004=$B3),('__flatlist__'!$C$2:$C1004=$C3)))"),0.2276465925672384)</f>
        <v>0.2276465926</v>
      </c>
      <c r="E3" s="9">
        <f>IFERROR(__xludf.DUMMYFUNCTION("AVERAGE(FILTER('__flatlist__'!E$2:E1004,('__flatlist__'!$B$2:$B1004=$B3),('__flatlist__'!$C$2:$C1004=$C3)))"),4.6)</f>
        <v>4.6</v>
      </c>
      <c r="F3" s="9">
        <f>IFERROR(__xludf.DUMMYFUNCTION("AVERAGE(FILTER('__flatlist__'!F$2:F1004,('__flatlist__'!$B$2:$B1004=$B3),('__flatlist__'!$C$2:$C1004=$C3)))"),4.8)</f>
        <v>4.8</v>
      </c>
      <c r="G3" s="9">
        <f>IFERROR(__xludf.DUMMYFUNCTION("AVERAGE(FILTER('__flatlist__'!G$2:G1004,('__flatlist__'!$B$2:$B1004=$B3),('__flatlist__'!$C$2:$C1004=$C3)))"),5.0)</f>
        <v>5</v>
      </c>
      <c r="H3" s="9">
        <f>IFERROR(__xludf.DUMMYFUNCTION("AVERAGE(FILTER('__flatlist__'!H$2:H1004,('__flatlist__'!$B$2:$B1004=$B3),('__flatlist__'!$C$2:$C1004=$C3)))"),5.0)</f>
        <v>5</v>
      </c>
      <c r="I3" s="9">
        <f>IFERROR(__xludf.DUMMYFUNCTION("AVERAGE(FILTER('__flatlist__'!I$2:I1004,('__flatlist__'!$B$2:$B1004=$B3),('__flatlist__'!$C$2:$C1004=$C3)))"),4.2)</f>
        <v>4.2</v>
      </c>
      <c r="J3" s="9">
        <f t="shared" si="1"/>
        <v>4.72</v>
      </c>
      <c r="K3" s="3"/>
      <c r="M3" s="1" t="s">
        <v>12</v>
      </c>
      <c r="N3" s="10">
        <f>correl('__flatlist__'!D:D,'__flatlist__'!F:F)</f>
        <v>-0.2948502719</v>
      </c>
      <c r="O3" s="10">
        <f>correl('__flatlist__'!E:E,'__flatlist__'!F:F)</f>
        <v>0.3521324746</v>
      </c>
      <c r="P3" s="10"/>
      <c r="Q3" s="10"/>
      <c r="R3" s="10"/>
    </row>
    <row r="4">
      <c r="A4" s="6"/>
      <c r="B4" s="6" t="s">
        <v>15</v>
      </c>
      <c r="C4" s="7" t="s">
        <v>18</v>
      </c>
      <c r="D4" s="8">
        <f>IFERROR(__xludf.DUMMYFUNCTION("AVERAGE(FILTER('__flatlist__'!D$2:D1004,('__flatlist__'!$B$2:$B1004=$B4),('__flatlist__'!$C$2:$C1004=$C4)))"),0.5051229741157163)</f>
        <v>0.5051229741</v>
      </c>
      <c r="E4" s="9">
        <f>IFERROR(__xludf.DUMMYFUNCTION("AVERAGE(FILTER('__flatlist__'!E$2:E1004,('__flatlist__'!$B$2:$B1004=$B4),('__flatlist__'!$C$2:$C1004=$C4)))"),4.4)</f>
        <v>4.4</v>
      </c>
      <c r="F4" s="9">
        <f>IFERROR(__xludf.DUMMYFUNCTION("AVERAGE(FILTER('__flatlist__'!F$2:F1004,('__flatlist__'!$B$2:$B1004=$B4),('__flatlist__'!$C$2:$C1004=$C4)))"),5.0)</f>
        <v>5</v>
      </c>
      <c r="G4" s="9">
        <f>IFERROR(__xludf.DUMMYFUNCTION("AVERAGE(FILTER('__flatlist__'!G$2:G1004,('__flatlist__'!$B$2:$B1004=$B4),('__flatlist__'!$C$2:$C1004=$C4)))"),5.0)</f>
        <v>5</v>
      </c>
      <c r="H4" s="9">
        <f>IFERROR(__xludf.DUMMYFUNCTION("AVERAGE(FILTER('__flatlist__'!H$2:H1004,('__flatlist__'!$B$2:$B1004=$B4),('__flatlist__'!$C$2:$C1004=$C4)))"),4.4)</f>
        <v>4.4</v>
      </c>
      <c r="I4" s="9">
        <f>IFERROR(__xludf.DUMMYFUNCTION("AVERAGE(FILTER('__flatlist__'!I$2:I1004,('__flatlist__'!$B$2:$B1004=$B4),('__flatlist__'!$C$2:$C1004=$C4)))"),5.0)</f>
        <v>5</v>
      </c>
      <c r="J4" s="9">
        <f t="shared" si="1"/>
        <v>4.76</v>
      </c>
      <c r="K4" s="3"/>
      <c r="M4" s="1" t="s">
        <v>13</v>
      </c>
      <c r="N4" s="10">
        <f>correl('__flatlist__'!D:D,'__flatlist__'!G:G)</f>
        <v>-0.2829759457</v>
      </c>
      <c r="O4" s="10">
        <f>correl('__flatlist__'!E:E,'__flatlist__'!G:G)</f>
        <v>0.3615734454</v>
      </c>
      <c r="P4" s="10">
        <f>correl('__flatlist__'!F:F,'__flatlist__'!G:G)</f>
        <v>0.4001978649</v>
      </c>
      <c r="Q4" s="10"/>
      <c r="R4" s="10"/>
    </row>
    <row r="5">
      <c r="A5" s="6"/>
      <c r="B5" s="6" t="s">
        <v>15</v>
      </c>
      <c r="C5" s="7" t="s">
        <v>19</v>
      </c>
      <c r="D5" s="8">
        <f>IFERROR(__xludf.DUMMYFUNCTION("AVERAGE(FILTER('__flatlist__'!D$2:D1004,('__flatlist__'!$B$2:$B1004=$B5),('__flatlist__'!$C$2:$C1004=$C5)))"),0.29563561090272245)</f>
        <v>0.2956356109</v>
      </c>
      <c r="E5" s="9" t="str">
        <f>IFERROR(__xludf.DUMMYFUNCTION("AVERAGE(FILTER('__flatlist__'!E$2:E1004,('__flatlist__'!$B$2:$B1004=$B5),('__flatlist__'!$C$2:$C1004=$C5)))"),"#DIV/0!")</f>
        <v>#DIV/0!</v>
      </c>
      <c r="F5" s="9" t="str">
        <f>IFERROR(__xludf.DUMMYFUNCTION("AVERAGE(FILTER('__flatlist__'!F$2:F1004,('__flatlist__'!$B$2:$B1004=$B5),('__flatlist__'!$C$2:$C1004=$C5)))"),"#DIV/0!")</f>
        <v>#DIV/0!</v>
      </c>
      <c r="G5" s="9" t="str">
        <f>IFERROR(__xludf.DUMMYFUNCTION("AVERAGE(FILTER('__flatlist__'!G$2:G1004,('__flatlist__'!$B$2:$B1004=$B5),('__flatlist__'!$C$2:$C1004=$C5)))"),"#DIV/0!")</f>
        <v>#DIV/0!</v>
      </c>
      <c r="H5" s="9" t="str">
        <f>IFERROR(__xludf.DUMMYFUNCTION("AVERAGE(FILTER('__flatlist__'!H$2:H1004,('__flatlist__'!$B$2:$B1004=$B5),('__flatlist__'!$C$2:$C1004=$C5)))"),"#DIV/0!")</f>
        <v>#DIV/0!</v>
      </c>
      <c r="I5" s="9" t="str">
        <f>IFERROR(__xludf.DUMMYFUNCTION("AVERAGE(FILTER('__flatlist__'!I$2:I1004,('__flatlist__'!$B$2:$B1004=$B5),('__flatlist__'!$C$2:$C1004=$C5)))"),"#DIV/0!")</f>
        <v>#DIV/0!</v>
      </c>
      <c r="J5" s="11" t="str">
        <f t="shared" si="1"/>
        <v>#DIV/0!</v>
      </c>
      <c r="K5" s="3"/>
      <c r="M5" s="1" t="s">
        <v>14</v>
      </c>
      <c r="N5" s="10">
        <f>correl('__flatlist__'!D:D,'__flatlist__'!H:H)</f>
        <v>-0.6235899318</v>
      </c>
      <c r="O5" s="10">
        <f>correl('__flatlist__'!E:E,'__flatlist__'!H:H)</f>
        <v>0.4217197203</v>
      </c>
      <c r="P5" s="10">
        <f>correl('__flatlist__'!F:F,'__flatlist__'!H:H)</f>
        <v>0.2160098498</v>
      </c>
      <c r="Q5" s="10">
        <f>correl('__flatlist__'!G:G,'__flatlist__'!H:H)</f>
        <v>0.2902900931</v>
      </c>
      <c r="R5" s="10"/>
    </row>
    <row r="6">
      <c r="A6" s="12"/>
      <c r="B6" s="12" t="s">
        <v>20</v>
      </c>
      <c r="C6" s="13" t="s">
        <v>8</v>
      </c>
      <c r="D6" s="14">
        <f>IFERROR(__xludf.DUMMYFUNCTION("AVERAGE(FILTER('__flatlist__'!D$2:D1004,('__flatlist__'!$B$2:$B1004=$B6),('__flatlist__'!$C$2:$C1004=$C6)))"),0.6211152332383891)</f>
        <v>0.6211152332</v>
      </c>
      <c r="E6" s="15">
        <f>IFERROR(__xludf.DUMMYFUNCTION("AVERAGE(FILTER('__flatlist__'!E$2:E1004,('__flatlist__'!$B$2:$B1004=$B6),('__flatlist__'!$C$2:$C1004=$C6)))"),2.0)</f>
        <v>2</v>
      </c>
      <c r="F6" s="15">
        <f>IFERROR(__xludf.DUMMYFUNCTION("AVERAGE(FILTER('__flatlist__'!F$2:F1004,('__flatlist__'!$B$2:$B1004=$B6),('__flatlist__'!$C$2:$C1004=$C6)))"),4.6)</f>
        <v>4.6</v>
      </c>
      <c r="G6" s="15">
        <f>IFERROR(__xludf.DUMMYFUNCTION("AVERAGE(FILTER('__flatlist__'!G$2:G1004,('__flatlist__'!$B$2:$B1004=$B6),('__flatlist__'!$C$2:$C1004=$C6)))"),4.6)</f>
        <v>4.6</v>
      </c>
      <c r="H6" s="15">
        <f>IFERROR(__xludf.DUMMYFUNCTION("AVERAGE(FILTER('__flatlist__'!H$2:H1004,('__flatlist__'!$B$2:$B1004=$B6),('__flatlist__'!$C$2:$C1004=$C6)))"),2.8)</f>
        <v>2.8</v>
      </c>
      <c r="I6" s="15">
        <f>IFERROR(__xludf.DUMMYFUNCTION("AVERAGE(FILTER('__flatlist__'!I$2:I1004,('__flatlist__'!$B$2:$B1004=$B6),('__flatlist__'!$C$2:$C1004=$C6)))"),4.6)</f>
        <v>4.6</v>
      </c>
      <c r="J6" s="15">
        <f t="shared" si="1"/>
        <v>3.72</v>
      </c>
      <c r="K6" s="16">
        <f t="shared" ref="K6:K25" si="2">rank(J6,$J$6:$J$25,FALSE)</f>
        <v>13</v>
      </c>
      <c r="M6" s="2" t="s">
        <v>8</v>
      </c>
      <c r="N6" s="10">
        <f>correl('__flatlist__'!D:D,'__flatlist__'!I:I)</f>
        <v>0.4555365627</v>
      </c>
      <c r="O6" s="10">
        <f>correl('__flatlist__'!E:E,'__flatlist__'!I:I)</f>
        <v>-0.006015847742</v>
      </c>
      <c r="P6" s="10">
        <f>correl('__flatlist__'!F:F,'__flatlist__'!I:I)</f>
        <v>0.1672224836</v>
      </c>
      <c r="Q6" s="10">
        <f>correl('__flatlist__'!G:G,'__flatlist__'!I:I)</f>
        <v>0.1105358754</v>
      </c>
      <c r="R6" s="10">
        <f>correl('__flatlist__'!H:H,'__flatlist__'!I:I)</f>
        <v>-0.261179721</v>
      </c>
    </row>
    <row r="7">
      <c r="A7" s="6"/>
      <c r="B7" s="6" t="s">
        <v>20</v>
      </c>
      <c r="C7" s="7" t="s">
        <v>21</v>
      </c>
      <c r="D7" s="8">
        <f>IFERROR(__xludf.DUMMYFUNCTION("AVERAGE(FILTER('__flatlist__'!D$2:D1004,('__flatlist__'!$B$2:$B1004=$B7),('__flatlist__'!$C$2:$C1004=$C7)))"),0.5394742875410594)</f>
        <v>0.5394742875</v>
      </c>
      <c r="E7" s="9">
        <f>IFERROR(__xludf.DUMMYFUNCTION("AVERAGE(FILTER('__flatlist__'!E$2:E1004,('__flatlist__'!$B$2:$B1004=$B7),('__flatlist__'!$C$2:$C1004=$C7)))"),2.8)</f>
        <v>2.8</v>
      </c>
      <c r="F7" s="9">
        <f>IFERROR(__xludf.DUMMYFUNCTION("AVERAGE(FILTER('__flatlist__'!F$2:F1004,('__flatlist__'!$B$2:$B1004=$B7),('__flatlist__'!$C$2:$C1004=$C7)))"),4.8)</f>
        <v>4.8</v>
      </c>
      <c r="G7" s="9">
        <f>IFERROR(__xludf.DUMMYFUNCTION("AVERAGE(FILTER('__flatlist__'!G$2:G1004,('__flatlist__'!$B$2:$B1004=$B7),('__flatlist__'!$C$2:$C1004=$C7)))"),5.0)</f>
        <v>5</v>
      </c>
      <c r="H7" s="9">
        <f>IFERROR(__xludf.DUMMYFUNCTION("AVERAGE(FILTER('__flatlist__'!H$2:H1004,('__flatlist__'!$B$2:$B1004=$B7),('__flatlist__'!$C$2:$C1004=$C7)))"),2.8)</f>
        <v>2.8</v>
      </c>
      <c r="I7" s="9">
        <f>IFERROR(__xludf.DUMMYFUNCTION("AVERAGE(FILTER('__flatlist__'!I$2:I1004,('__flatlist__'!$B$2:$B1004=$B7),('__flatlist__'!$C$2:$C1004=$C7)))"),4.8)</f>
        <v>4.8</v>
      </c>
      <c r="J7" s="9">
        <f t="shared" si="1"/>
        <v>4.04</v>
      </c>
      <c r="K7" s="3">
        <f t="shared" si="2"/>
        <v>8</v>
      </c>
    </row>
    <row r="8">
      <c r="A8" s="6"/>
      <c r="B8" s="6" t="s">
        <v>20</v>
      </c>
      <c r="C8" s="7" t="s">
        <v>22</v>
      </c>
      <c r="D8" s="8">
        <f>IFERROR(__xludf.DUMMYFUNCTION("AVERAGE(FILTER('__flatlist__'!D$2:D1004,('__flatlist__'!$B$2:$B1004=$B8),('__flatlist__'!$C$2:$C1004=$C8)))"),0.31172212307120545)</f>
        <v>0.3117221231</v>
      </c>
      <c r="E8" s="9">
        <f>IFERROR(__xludf.DUMMYFUNCTION("AVERAGE(FILTER('__flatlist__'!E$2:E1004,('__flatlist__'!$B$2:$B1004=$B8),('__flatlist__'!$C$2:$C1004=$C8)))"),4.0)</f>
        <v>4</v>
      </c>
      <c r="F8" s="9">
        <f>IFERROR(__xludf.DUMMYFUNCTION("AVERAGE(FILTER('__flatlist__'!F$2:F1004,('__flatlist__'!$B$2:$B1004=$B8),('__flatlist__'!$C$2:$C1004=$C8)))"),4.8)</f>
        <v>4.8</v>
      </c>
      <c r="G8" s="9">
        <f>IFERROR(__xludf.DUMMYFUNCTION("AVERAGE(FILTER('__flatlist__'!G$2:G1004,('__flatlist__'!$B$2:$B1004=$B8),('__flatlist__'!$C$2:$C1004=$C8)))"),4.4)</f>
        <v>4.4</v>
      </c>
      <c r="H8" s="9">
        <f>IFERROR(__xludf.DUMMYFUNCTION("AVERAGE(FILTER('__flatlist__'!H$2:H1004,('__flatlist__'!$B$2:$B1004=$B8),('__flatlist__'!$C$2:$C1004=$C8)))"),4.0)</f>
        <v>4</v>
      </c>
      <c r="I8" s="9">
        <f>IFERROR(__xludf.DUMMYFUNCTION("AVERAGE(FILTER('__flatlist__'!I$2:I1004,('__flatlist__'!$B$2:$B1004=$B8),('__flatlist__'!$C$2:$C1004=$C8)))"),4.4)</f>
        <v>4.4</v>
      </c>
      <c r="J8" s="9">
        <f t="shared" si="1"/>
        <v>4.32</v>
      </c>
      <c r="K8" s="3">
        <f t="shared" si="2"/>
        <v>2</v>
      </c>
    </row>
    <row r="9">
      <c r="A9" s="6"/>
      <c r="B9" s="6" t="s">
        <v>20</v>
      </c>
      <c r="C9" s="7" t="s">
        <v>23</v>
      </c>
      <c r="D9" s="8">
        <f>IFERROR(__xludf.DUMMYFUNCTION("AVERAGE(FILTER('__flatlist__'!D$2:D1004,('__flatlist__'!$B$2:$B1004=$B9),('__flatlist__'!$C$2:$C1004=$C9)))"),0.35312175397254497)</f>
        <v>0.353121754</v>
      </c>
      <c r="E9" s="9">
        <f>IFERROR(__xludf.DUMMYFUNCTION("AVERAGE(FILTER('__flatlist__'!E$2:E1004,('__flatlist__'!$B$2:$B1004=$B9),('__flatlist__'!$C$2:$C1004=$C9)))"),3.0)</f>
        <v>3</v>
      </c>
      <c r="F9" s="9">
        <f>IFERROR(__xludf.DUMMYFUNCTION("AVERAGE(FILTER('__flatlist__'!F$2:F1004,('__flatlist__'!$B$2:$B1004=$B9),('__flatlist__'!$C$2:$C1004=$C9)))"),4.8)</f>
        <v>4.8</v>
      </c>
      <c r="G9" s="9">
        <f>IFERROR(__xludf.DUMMYFUNCTION("AVERAGE(FILTER('__flatlist__'!G$2:G1004,('__flatlist__'!$B$2:$B1004=$B9),('__flatlist__'!$C$2:$C1004=$C9)))"),4.8)</f>
        <v>4.8</v>
      </c>
      <c r="H9" s="9">
        <f>IFERROR(__xludf.DUMMYFUNCTION("AVERAGE(FILTER('__flatlist__'!H$2:H1004,('__flatlist__'!$B$2:$B1004=$B9),('__flatlist__'!$C$2:$C1004=$C9)))"),3.4)</f>
        <v>3.4</v>
      </c>
      <c r="I9" s="9">
        <f>IFERROR(__xludf.DUMMYFUNCTION("AVERAGE(FILTER('__flatlist__'!I$2:I1004,('__flatlist__'!$B$2:$B1004=$B9),('__flatlist__'!$C$2:$C1004=$C9)))"),4.8)</f>
        <v>4.8</v>
      </c>
      <c r="J9" s="9">
        <f t="shared" si="1"/>
        <v>4.16</v>
      </c>
      <c r="K9" s="3">
        <f t="shared" si="2"/>
        <v>6</v>
      </c>
    </row>
    <row r="10">
      <c r="A10" s="6"/>
      <c r="B10" s="6" t="s">
        <v>24</v>
      </c>
      <c r="C10" s="7" t="s">
        <v>8</v>
      </c>
      <c r="D10" s="8">
        <f>IFERROR(__xludf.DUMMYFUNCTION("AVERAGE(FILTER('__flatlist__'!D$2:D1004,('__flatlist__'!$B$2:$B1004=$B10),('__flatlist__'!$C$2:$C1004=$C10)))"),0.37140505216909003)</f>
        <v>0.3714050522</v>
      </c>
      <c r="E10" s="9">
        <f>IFERROR(__xludf.DUMMYFUNCTION("AVERAGE(FILTER('__flatlist__'!E$2:E1004,('__flatlist__'!$B$2:$B1004=$B10),('__flatlist__'!$C$2:$C1004=$C10)))"),2.2)</f>
        <v>2.2</v>
      </c>
      <c r="F10" s="9">
        <f>IFERROR(__xludf.DUMMYFUNCTION("AVERAGE(FILTER('__flatlist__'!F$2:F1004,('__flatlist__'!$B$2:$B1004=$B10),('__flatlist__'!$C$2:$C1004=$C10)))"),3.6)</f>
        <v>3.6</v>
      </c>
      <c r="G10" s="9">
        <f>IFERROR(__xludf.DUMMYFUNCTION("AVERAGE(FILTER('__flatlist__'!G$2:G1004,('__flatlist__'!$B$2:$B1004=$B10),('__flatlist__'!$C$2:$C1004=$C10)))"),3.0)</f>
        <v>3</v>
      </c>
      <c r="H10" s="9">
        <f>IFERROR(__xludf.DUMMYFUNCTION("AVERAGE(FILTER('__flatlist__'!H$2:H1004,('__flatlist__'!$B$2:$B1004=$B10),('__flatlist__'!$C$2:$C1004=$C10)))"),3.8)</f>
        <v>3.8</v>
      </c>
      <c r="I10" s="9">
        <f>IFERROR(__xludf.DUMMYFUNCTION("AVERAGE(FILTER('__flatlist__'!I$2:I1004,('__flatlist__'!$B$2:$B1004=$B10),('__flatlist__'!$C$2:$C1004=$C10)))"),3.6)</f>
        <v>3.6</v>
      </c>
      <c r="J10" s="9">
        <f t="shared" si="1"/>
        <v>3.24</v>
      </c>
      <c r="K10" s="3">
        <f t="shared" si="2"/>
        <v>18</v>
      </c>
    </row>
    <row r="11">
      <c r="A11" s="6"/>
      <c r="B11" s="6" t="s">
        <v>24</v>
      </c>
      <c r="C11" s="7" t="s">
        <v>21</v>
      </c>
      <c r="D11" s="8">
        <f>IFERROR(__xludf.DUMMYFUNCTION("AVERAGE(FILTER('__flatlist__'!D$2:D1004,('__flatlist__'!$B$2:$B1004=$B11),('__flatlist__'!$C$2:$C1004=$C11)))"),0.7110786756981962)</f>
        <v>0.7110786757</v>
      </c>
      <c r="E11" s="9">
        <f>IFERROR(__xludf.DUMMYFUNCTION("AVERAGE(FILTER('__flatlist__'!E$2:E1004,('__flatlist__'!$B$2:$B1004=$B11),('__flatlist__'!$C$2:$C1004=$C11)))"),2.8)</f>
        <v>2.8</v>
      </c>
      <c r="F11" s="9">
        <f>IFERROR(__xludf.DUMMYFUNCTION("AVERAGE(FILTER('__flatlist__'!F$2:F1004,('__flatlist__'!$B$2:$B1004=$B11),('__flatlist__'!$C$2:$C1004=$C11)))"),3.0)</f>
        <v>3</v>
      </c>
      <c r="G11" s="9">
        <f>IFERROR(__xludf.DUMMYFUNCTION("AVERAGE(FILTER('__flatlist__'!G$2:G1004,('__flatlist__'!$B$2:$B1004=$B11),('__flatlist__'!$C$2:$C1004=$C11)))"),2.6)</f>
        <v>2.6</v>
      </c>
      <c r="H11" s="9">
        <f>IFERROR(__xludf.DUMMYFUNCTION("AVERAGE(FILTER('__flatlist__'!H$2:H1004,('__flatlist__'!$B$2:$B1004=$B11),('__flatlist__'!$C$2:$C1004=$C11)))"),2.4)</f>
        <v>2.4</v>
      </c>
      <c r="I11" s="9">
        <f>IFERROR(__xludf.DUMMYFUNCTION("AVERAGE(FILTER('__flatlist__'!I$2:I1004,('__flatlist__'!$B$2:$B1004=$B11),('__flatlist__'!$C$2:$C1004=$C11)))"),4.0)</f>
        <v>4</v>
      </c>
      <c r="J11" s="9">
        <f t="shared" si="1"/>
        <v>2.96</v>
      </c>
      <c r="K11" s="3">
        <f t="shared" si="2"/>
        <v>19</v>
      </c>
    </row>
    <row r="12">
      <c r="A12" s="6"/>
      <c r="B12" s="6" t="s">
        <v>24</v>
      </c>
      <c r="C12" s="7" t="s">
        <v>22</v>
      </c>
      <c r="D12" s="8">
        <f>IFERROR(__xludf.DUMMYFUNCTION("AVERAGE(FILTER('__flatlist__'!D$2:D1004,('__flatlist__'!$B$2:$B1004=$B12),('__flatlist__'!$C$2:$C1004=$C12)))"),0.5748801841115163)</f>
        <v>0.5748801841</v>
      </c>
      <c r="E12" s="9">
        <f>IFERROR(__xludf.DUMMYFUNCTION("AVERAGE(FILTER('__flatlist__'!E$2:E1004,('__flatlist__'!$B$2:$B1004=$B12),('__flatlist__'!$C$2:$C1004=$C12)))"),2.2)</f>
        <v>2.2</v>
      </c>
      <c r="F12" s="9">
        <f>IFERROR(__xludf.DUMMYFUNCTION("AVERAGE(FILTER('__flatlist__'!F$2:F1004,('__flatlist__'!$B$2:$B1004=$B12),('__flatlist__'!$C$2:$C1004=$C12)))"),3.6)</f>
        <v>3.6</v>
      </c>
      <c r="G12" s="9">
        <f>IFERROR(__xludf.DUMMYFUNCTION("AVERAGE(FILTER('__flatlist__'!G$2:G1004,('__flatlist__'!$B$2:$B1004=$B12),('__flatlist__'!$C$2:$C1004=$C12)))"),2.2)</f>
        <v>2.2</v>
      </c>
      <c r="H12" s="9">
        <f>IFERROR(__xludf.DUMMYFUNCTION("AVERAGE(FILTER('__flatlist__'!H$2:H1004,('__flatlist__'!$B$2:$B1004=$B12),('__flatlist__'!$C$2:$C1004=$C12)))"),2.2)</f>
        <v>2.2</v>
      </c>
      <c r="I12" s="9">
        <f>IFERROR(__xludf.DUMMYFUNCTION("AVERAGE(FILTER('__flatlist__'!I$2:I1004,('__flatlist__'!$B$2:$B1004=$B12),('__flatlist__'!$C$2:$C1004=$C12)))"),2.8)</f>
        <v>2.8</v>
      </c>
      <c r="J12" s="9">
        <f t="shared" si="1"/>
        <v>2.6</v>
      </c>
      <c r="K12" s="3">
        <f t="shared" si="2"/>
        <v>20</v>
      </c>
    </row>
    <row r="13">
      <c r="A13" s="6"/>
      <c r="B13" s="6" t="s">
        <v>24</v>
      </c>
      <c r="C13" s="7" t="s">
        <v>23</v>
      </c>
      <c r="D13" s="8">
        <f>IFERROR(__xludf.DUMMYFUNCTION("AVERAGE(FILTER('__flatlist__'!D$2:D1004,('__flatlist__'!$B$2:$B1004=$B13),('__flatlist__'!$C$2:$C1004=$C13)))"),0.4712908719404054)</f>
        <v>0.4712908719</v>
      </c>
      <c r="E13" s="9">
        <f>IFERROR(__xludf.DUMMYFUNCTION("AVERAGE(FILTER('__flatlist__'!E$2:E1004,('__flatlist__'!$B$2:$B1004=$B13),('__flatlist__'!$C$2:$C1004=$C13)))"),3.6)</f>
        <v>3.6</v>
      </c>
      <c r="F13" s="9">
        <f>IFERROR(__xludf.DUMMYFUNCTION("AVERAGE(FILTER('__flatlist__'!F$2:F1004,('__flatlist__'!$B$2:$B1004=$B13),('__flatlist__'!$C$2:$C1004=$C13)))"),4.0)</f>
        <v>4</v>
      </c>
      <c r="G13" s="9">
        <f>IFERROR(__xludf.DUMMYFUNCTION("AVERAGE(FILTER('__flatlist__'!G$2:G1004,('__flatlist__'!$B$2:$B1004=$B13),('__flatlist__'!$C$2:$C1004=$C13)))"),2.4)</f>
        <v>2.4</v>
      </c>
      <c r="H13" s="9">
        <f>IFERROR(__xludf.DUMMYFUNCTION("AVERAGE(FILTER('__flatlist__'!H$2:H1004,('__flatlist__'!$B$2:$B1004=$B13),('__flatlist__'!$C$2:$C1004=$C13)))"),3.4)</f>
        <v>3.4</v>
      </c>
      <c r="I13" s="9">
        <f>IFERROR(__xludf.DUMMYFUNCTION("AVERAGE(FILTER('__flatlist__'!I$2:I1004,('__flatlist__'!$B$2:$B1004=$B13),('__flatlist__'!$C$2:$C1004=$C13)))"),4.2)</f>
        <v>4.2</v>
      </c>
      <c r="J13" s="9">
        <f t="shared" si="1"/>
        <v>3.52</v>
      </c>
      <c r="K13" s="3">
        <f t="shared" si="2"/>
        <v>17</v>
      </c>
    </row>
    <row r="14">
      <c r="A14" s="6"/>
      <c r="B14" s="6" t="s">
        <v>25</v>
      </c>
      <c r="C14" s="7" t="s">
        <v>8</v>
      </c>
      <c r="D14" s="8">
        <f>IFERROR(__xludf.DUMMYFUNCTION("AVERAGE(FILTER('__flatlist__'!D$2:D1004,('__flatlist__'!$B$2:$B1004=$B14),('__flatlist__'!$C$2:$C1004=$C14)))"),0.496710703590316)</f>
        <v>0.4967107036</v>
      </c>
      <c r="E14" s="9">
        <f>IFERROR(__xludf.DUMMYFUNCTION("AVERAGE(FILTER('__flatlist__'!E$2:E1004,('__flatlist__'!$B$2:$B1004=$B14),('__flatlist__'!$C$2:$C1004=$C14)))"),2.8)</f>
        <v>2.8</v>
      </c>
      <c r="F14" s="9">
        <f>IFERROR(__xludf.DUMMYFUNCTION("AVERAGE(FILTER('__flatlist__'!F$2:F1004,('__flatlist__'!$B$2:$B1004=$B14),('__flatlist__'!$C$2:$C1004=$C14)))"),4.0)</f>
        <v>4</v>
      </c>
      <c r="G14" s="9">
        <f>IFERROR(__xludf.DUMMYFUNCTION("AVERAGE(FILTER('__flatlist__'!G$2:G1004,('__flatlist__'!$B$2:$B1004=$B14),('__flatlist__'!$C$2:$C1004=$C14)))"),4.0)</f>
        <v>4</v>
      </c>
      <c r="H14" s="9">
        <f>IFERROR(__xludf.DUMMYFUNCTION("AVERAGE(FILTER('__flatlist__'!H$2:H1004,('__flatlist__'!$B$2:$B1004=$B14),('__flatlist__'!$C$2:$C1004=$C14)))"),3.2)</f>
        <v>3.2</v>
      </c>
      <c r="I14" s="9">
        <f>IFERROR(__xludf.DUMMYFUNCTION("AVERAGE(FILTER('__flatlist__'!I$2:I1004,('__flatlist__'!$B$2:$B1004=$B14),('__flatlist__'!$C$2:$C1004=$C14)))"),4.4)</f>
        <v>4.4</v>
      </c>
      <c r="J14" s="9">
        <f t="shared" si="1"/>
        <v>3.68</v>
      </c>
      <c r="K14" s="3">
        <f t="shared" si="2"/>
        <v>15</v>
      </c>
      <c r="M14" s="4"/>
      <c r="N14" s="10"/>
      <c r="O14" s="10"/>
      <c r="P14" s="10"/>
      <c r="Q14" s="10"/>
      <c r="R14" s="10"/>
    </row>
    <row r="15">
      <c r="A15" s="6"/>
      <c r="B15" s="6" t="s">
        <v>25</v>
      </c>
      <c r="C15" s="7" t="s">
        <v>21</v>
      </c>
      <c r="D15" s="8">
        <f>IFERROR(__xludf.DUMMYFUNCTION("AVERAGE(FILTER('__flatlist__'!D$2:D1004,('__flatlist__'!$B$2:$B1004=$B15),('__flatlist__'!$C$2:$C1004=$C15)))"),0.7118829366909121)</f>
        <v>0.7118829367</v>
      </c>
      <c r="E15" s="9">
        <f>IFERROR(__xludf.DUMMYFUNCTION("AVERAGE(FILTER('__flatlist__'!E$2:E1004,('__flatlist__'!$B$2:$B1004=$B15),('__flatlist__'!$C$2:$C1004=$C15)))"),4.0)</f>
        <v>4</v>
      </c>
      <c r="F15" s="9">
        <f>IFERROR(__xludf.DUMMYFUNCTION("AVERAGE(FILTER('__flatlist__'!F$2:F1004,('__flatlist__'!$B$2:$B1004=$B15),('__flatlist__'!$C$2:$C1004=$C15)))"),4.4)</f>
        <v>4.4</v>
      </c>
      <c r="G15" s="9">
        <f>IFERROR(__xludf.DUMMYFUNCTION("AVERAGE(FILTER('__flatlist__'!G$2:G1004,('__flatlist__'!$B$2:$B1004=$B15),('__flatlist__'!$C$2:$C1004=$C15)))"),4.2)</f>
        <v>4.2</v>
      </c>
      <c r="H15" s="9">
        <f>IFERROR(__xludf.DUMMYFUNCTION("AVERAGE(FILTER('__flatlist__'!H$2:H1004,('__flatlist__'!$B$2:$B1004=$B15),('__flatlist__'!$C$2:$C1004=$C15)))"),2.2)</f>
        <v>2.2</v>
      </c>
      <c r="I15" s="9">
        <f>IFERROR(__xludf.DUMMYFUNCTION("AVERAGE(FILTER('__flatlist__'!I$2:I1004,('__flatlist__'!$B$2:$B1004=$B15),('__flatlist__'!$C$2:$C1004=$C15)))"),4.8)</f>
        <v>4.8</v>
      </c>
      <c r="J15" s="9">
        <f t="shared" si="1"/>
        <v>3.92</v>
      </c>
      <c r="K15" s="3">
        <f t="shared" si="2"/>
        <v>10</v>
      </c>
      <c r="M15" s="4"/>
      <c r="N15" s="10"/>
    </row>
    <row r="16">
      <c r="A16" s="6"/>
      <c r="B16" s="6" t="s">
        <v>25</v>
      </c>
      <c r="C16" s="7" t="s">
        <v>22</v>
      </c>
      <c r="D16" s="8">
        <f>IFERROR(__xludf.DUMMYFUNCTION("AVERAGE(FILTER('__flatlist__'!D$2:D1004,('__flatlist__'!$B$2:$B1004=$B16),('__flatlist__'!$C$2:$C1004=$C16)))"),0.2632644393898144)</f>
        <v>0.2632644394</v>
      </c>
      <c r="E16" s="9">
        <f>IFERROR(__xludf.DUMMYFUNCTION("AVERAGE(FILTER('__flatlist__'!E$2:E1004,('__flatlist__'!$B$2:$B1004=$B16),('__flatlist__'!$C$2:$C1004=$C16)))"),4.0)</f>
        <v>4</v>
      </c>
      <c r="F16" s="9">
        <f>IFERROR(__xludf.DUMMYFUNCTION("AVERAGE(FILTER('__flatlist__'!F$2:F1004,('__flatlist__'!$B$2:$B1004=$B16),('__flatlist__'!$C$2:$C1004=$C16)))"),4.2)</f>
        <v>4.2</v>
      </c>
      <c r="G16" s="9">
        <f>IFERROR(__xludf.DUMMYFUNCTION("AVERAGE(FILTER('__flatlist__'!G$2:G1004,('__flatlist__'!$B$2:$B1004=$B16),('__flatlist__'!$C$2:$C1004=$C16)))"),4.6)</f>
        <v>4.6</v>
      </c>
      <c r="H16" s="9">
        <f>IFERROR(__xludf.DUMMYFUNCTION("AVERAGE(FILTER('__flatlist__'!H$2:H1004,('__flatlist__'!$B$2:$B1004=$B16),('__flatlist__'!$C$2:$C1004=$C16)))"),4.2)</f>
        <v>4.2</v>
      </c>
      <c r="I16" s="9">
        <f>IFERROR(__xludf.DUMMYFUNCTION("AVERAGE(FILTER('__flatlist__'!I$2:I1004,('__flatlist__'!$B$2:$B1004=$B16),('__flatlist__'!$C$2:$C1004=$C16)))"),4.6)</f>
        <v>4.6</v>
      </c>
      <c r="J16" s="9">
        <f t="shared" si="1"/>
        <v>4.32</v>
      </c>
      <c r="K16" s="3">
        <f t="shared" si="2"/>
        <v>2</v>
      </c>
      <c r="M16" s="4"/>
      <c r="N16" s="10"/>
    </row>
    <row r="17">
      <c r="A17" s="6"/>
      <c r="B17" s="6" t="s">
        <v>25</v>
      </c>
      <c r="C17" s="7" t="s">
        <v>23</v>
      </c>
      <c r="D17" s="8">
        <f>IFERROR(__xludf.DUMMYFUNCTION("AVERAGE(FILTER('__flatlist__'!D$2:D1004,('__flatlist__'!$B$2:$B1004=$B17),('__flatlist__'!$C$2:$C1004=$C17)))"),0.25165376884893187)</f>
        <v>0.2516537688</v>
      </c>
      <c r="E17" s="9">
        <f>IFERROR(__xludf.DUMMYFUNCTION("AVERAGE(FILTER('__flatlist__'!E$2:E1004,('__flatlist__'!$B$2:$B1004=$B17),('__flatlist__'!$C$2:$C1004=$C17)))"),4.2)</f>
        <v>4.2</v>
      </c>
      <c r="F17" s="9">
        <f>IFERROR(__xludf.DUMMYFUNCTION("AVERAGE(FILTER('__flatlist__'!F$2:F1004,('__flatlist__'!$B$2:$B1004=$B17),('__flatlist__'!$C$2:$C1004=$C17)))"),4.8)</f>
        <v>4.8</v>
      </c>
      <c r="G17" s="9">
        <f>IFERROR(__xludf.DUMMYFUNCTION("AVERAGE(FILTER('__flatlist__'!G$2:G1004,('__flatlist__'!$B$2:$B1004=$B17),('__flatlist__'!$C$2:$C1004=$C17)))"),4.8)</f>
        <v>4.8</v>
      </c>
      <c r="H17" s="9">
        <f>IFERROR(__xludf.DUMMYFUNCTION("AVERAGE(FILTER('__flatlist__'!H$2:H1004,('__flatlist__'!$B$2:$B1004=$B17),('__flatlist__'!$C$2:$C1004=$C17)))"),4.2)</f>
        <v>4.2</v>
      </c>
      <c r="I17" s="9">
        <f>IFERROR(__xludf.DUMMYFUNCTION("AVERAGE(FILTER('__flatlist__'!I$2:I1004,('__flatlist__'!$B$2:$B1004=$B17),('__flatlist__'!$C$2:$C1004=$C17)))"),4.6)</f>
        <v>4.6</v>
      </c>
      <c r="J17" s="9">
        <f t="shared" si="1"/>
        <v>4.52</v>
      </c>
      <c r="K17" s="3">
        <f t="shared" si="2"/>
        <v>1</v>
      </c>
      <c r="M17" s="4"/>
      <c r="N17" s="10"/>
    </row>
    <row r="18">
      <c r="A18" s="6"/>
      <c r="B18" s="6" t="s">
        <v>26</v>
      </c>
      <c r="C18" s="7" t="s">
        <v>8</v>
      </c>
      <c r="D18" s="8">
        <f>IFERROR(__xludf.DUMMYFUNCTION("AVERAGE(FILTER('__flatlist__'!D$2:D1004,('__flatlist__'!$B$2:$B1004=$B18),('__flatlist__'!$C$2:$C1004=$C18)))"),0.4607902043449868)</f>
        <v>0.4607902043</v>
      </c>
      <c r="E18" s="9">
        <f>IFERROR(__xludf.DUMMYFUNCTION("AVERAGE(FILTER('__flatlist__'!E$2:E1004,('__flatlist__'!$B$2:$B1004=$B18),('__flatlist__'!$C$2:$C1004=$C18)))"),2.6)</f>
        <v>2.6</v>
      </c>
      <c r="F18" s="9">
        <f>IFERROR(__xludf.DUMMYFUNCTION("AVERAGE(FILTER('__flatlist__'!F$2:F1004,('__flatlist__'!$B$2:$B1004=$B18),('__flatlist__'!$C$2:$C1004=$C18)))"),3.8)</f>
        <v>3.8</v>
      </c>
      <c r="G18" s="9">
        <f>IFERROR(__xludf.DUMMYFUNCTION("AVERAGE(FILTER('__flatlist__'!G$2:G1004,('__flatlist__'!$B$2:$B1004=$B18),('__flatlist__'!$C$2:$C1004=$C18)))"),4.6)</f>
        <v>4.6</v>
      </c>
      <c r="H18" s="9">
        <f>IFERROR(__xludf.DUMMYFUNCTION("AVERAGE(FILTER('__flatlist__'!H$2:H1004,('__flatlist__'!$B$2:$B1004=$B18),('__flatlist__'!$C$2:$C1004=$C18)))"),3.2)</f>
        <v>3.2</v>
      </c>
      <c r="I18" s="9">
        <f>IFERROR(__xludf.DUMMYFUNCTION("AVERAGE(FILTER('__flatlist__'!I$2:I1004,('__flatlist__'!$B$2:$B1004=$B18),('__flatlist__'!$C$2:$C1004=$C18)))"),4.4)</f>
        <v>4.4</v>
      </c>
      <c r="J18" s="9">
        <f t="shared" si="1"/>
        <v>3.72</v>
      </c>
      <c r="K18" s="3">
        <f t="shared" si="2"/>
        <v>13</v>
      </c>
      <c r="M18" s="4"/>
      <c r="N18" s="10"/>
    </row>
    <row r="19">
      <c r="A19" s="6"/>
      <c r="B19" s="6" t="s">
        <v>26</v>
      </c>
      <c r="C19" s="7" t="s">
        <v>21</v>
      </c>
      <c r="D19" s="8">
        <f>IFERROR(__xludf.DUMMYFUNCTION("AVERAGE(FILTER('__flatlist__'!D$2:D1004,('__flatlist__'!$B$2:$B1004=$B19),('__flatlist__'!$C$2:$C1004=$C19)))"),0.749907931856852)</f>
        <v>0.7499079319</v>
      </c>
      <c r="E19" s="9">
        <f>IFERROR(__xludf.DUMMYFUNCTION("AVERAGE(FILTER('__flatlist__'!E$2:E1004,('__flatlist__'!$B$2:$B1004=$B19),('__flatlist__'!$C$2:$C1004=$C19)))"),4.2)</f>
        <v>4.2</v>
      </c>
      <c r="F19" s="9">
        <f>IFERROR(__xludf.DUMMYFUNCTION("AVERAGE(FILTER('__flatlist__'!F$2:F1004,('__flatlist__'!$B$2:$B1004=$B19),('__flatlist__'!$C$2:$C1004=$C19)))"),4.2)</f>
        <v>4.2</v>
      </c>
      <c r="G19" s="9">
        <f>IFERROR(__xludf.DUMMYFUNCTION("AVERAGE(FILTER('__flatlist__'!G$2:G1004,('__flatlist__'!$B$2:$B1004=$B19),('__flatlist__'!$C$2:$C1004=$C19)))"),4.4)</f>
        <v>4.4</v>
      </c>
      <c r="H19" s="9">
        <f>IFERROR(__xludf.DUMMYFUNCTION("AVERAGE(FILTER('__flatlist__'!H$2:H1004,('__flatlist__'!$B$2:$B1004=$B19),('__flatlist__'!$C$2:$C1004=$C19)))"),1.8)</f>
        <v>1.8</v>
      </c>
      <c r="I19" s="9">
        <f>IFERROR(__xludf.DUMMYFUNCTION("AVERAGE(FILTER('__flatlist__'!I$2:I1004,('__flatlist__'!$B$2:$B1004=$B19),('__flatlist__'!$C$2:$C1004=$C19)))"),5.0)</f>
        <v>5</v>
      </c>
      <c r="J19" s="9">
        <f t="shared" si="1"/>
        <v>3.92</v>
      </c>
      <c r="K19" s="3">
        <f t="shared" si="2"/>
        <v>10</v>
      </c>
      <c r="M19" s="4"/>
      <c r="N19" s="10"/>
    </row>
    <row r="20">
      <c r="A20" s="6"/>
      <c r="B20" s="6" t="s">
        <v>26</v>
      </c>
      <c r="C20" s="7" t="s">
        <v>22</v>
      </c>
      <c r="D20" s="8">
        <f>IFERROR(__xludf.DUMMYFUNCTION("AVERAGE(FILTER('__flatlist__'!D$2:D1004,('__flatlist__'!$B$2:$B1004=$B20),('__flatlist__'!$C$2:$C1004=$C20)))"),0.2845727208127983)</f>
        <v>0.2845727208</v>
      </c>
      <c r="E20" s="9">
        <f>IFERROR(__xludf.DUMMYFUNCTION("AVERAGE(FILTER('__flatlist__'!E$2:E1004,('__flatlist__'!$B$2:$B1004=$B20),('__flatlist__'!$C$2:$C1004=$C20)))"),4.0)</f>
        <v>4</v>
      </c>
      <c r="F20" s="9">
        <f>IFERROR(__xludf.DUMMYFUNCTION("AVERAGE(FILTER('__flatlist__'!F$2:F1004,('__flatlist__'!$B$2:$B1004=$B20),('__flatlist__'!$C$2:$C1004=$C20)))"),4.2)</f>
        <v>4.2</v>
      </c>
      <c r="G20" s="9">
        <f>IFERROR(__xludf.DUMMYFUNCTION("AVERAGE(FILTER('__flatlist__'!G$2:G1004,('__flatlist__'!$B$2:$B1004=$B20),('__flatlist__'!$C$2:$C1004=$C20)))"),4.6)</f>
        <v>4.6</v>
      </c>
      <c r="H20" s="9">
        <f>IFERROR(__xludf.DUMMYFUNCTION("AVERAGE(FILTER('__flatlist__'!H$2:H1004,('__flatlist__'!$B$2:$B1004=$B20),('__flatlist__'!$C$2:$C1004=$C20)))"),3.0)</f>
        <v>3</v>
      </c>
      <c r="I20" s="9">
        <f>IFERROR(__xludf.DUMMYFUNCTION("AVERAGE(FILTER('__flatlist__'!I$2:I1004,('__flatlist__'!$B$2:$B1004=$B20),('__flatlist__'!$C$2:$C1004=$C20)))"),3.8)</f>
        <v>3.8</v>
      </c>
      <c r="J20" s="9">
        <f t="shared" si="1"/>
        <v>3.92</v>
      </c>
      <c r="K20" s="3">
        <f t="shared" si="2"/>
        <v>12</v>
      </c>
      <c r="M20" s="4"/>
      <c r="N20" s="10"/>
    </row>
    <row r="21">
      <c r="A21" s="6"/>
      <c r="B21" s="6" t="s">
        <v>26</v>
      </c>
      <c r="C21" s="7" t="s">
        <v>23</v>
      </c>
      <c r="D21" s="8">
        <f>IFERROR(__xludf.DUMMYFUNCTION("AVERAGE(FILTER('__flatlist__'!D$2:D1004,('__flatlist__'!$B$2:$B1004=$B21),('__flatlist__'!$C$2:$C1004=$C21)))"),0.28129105243702657)</f>
        <v>0.2812910524</v>
      </c>
      <c r="E21" s="9">
        <f>IFERROR(__xludf.DUMMYFUNCTION("AVERAGE(FILTER('__flatlist__'!E$2:E1004,('__flatlist__'!$B$2:$B1004=$B21),('__flatlist__'!$C$2:$C1004=$C21)))"),4.2)</f>
        <v>4.2</v>
      </c>
      <c r="F21" s="9">
        <f>IFERROR(__xludf.DUMMYFUNCTION("AVERAGE(FILTER('__flatlist__'!F$2:F1004,('__flatlist__'!$B$2:$B1004=$B21),('__flatlist__'!$C$2:$C1004=$C21)))"),4.6)</f>
        <v>4.6</v>
      </c>
      <c r="G21" s="9">
        <f>IFERROR(__xludf.DUMMYFUNCTION("AVERAGE(FILTER('__flatlist__'!G$2:G1004,('__flatlist__'!$B$2:$B1004=$B21),('__flatlist__'!$C$2:$C1004=$C21)))"),4.0)</f>
        <v>4</v>
      </c>
      <c r="H21" s="9">
        <f>IFERROR(__xludf.DUMMYFUNCTION("AVERAGE(FILTER('__flatlist__'!H$2:H1004,('__flatlist__'!$B$2:$B1004=$B21),('__flatlist__'!$C$2:$C1004=$C21)))"),4.4)</f>
        <v>4.4</v>
      </c>
      <c r="I21" s="9">
        <f>IFERROR(__xludf.DUMMYFUNCTION("AVERAGE(FILTER('__flatlist__'!I$2:I1004,('__flatlist__'!$B$2:$B1004=$B21),('__flatlist__'!$C$2:$C1004=$C21)))"),4.4)</f>
        <v>4.4</v>
      </c>
      <c r="J21" s="9">
        <f t="shared" si="1"/>
        <v>4.32</v>
      </c>
      <c r="K21" s="3">
        <f t="shared" si="2"/>
        <v>2</v>
      </c>
      <c r="M21" s="4"/>
      <c r="N21" s="10"/>
    </row>
    <row r="22">
      <c r="A22" s="6"/>
      <c r="B22" s="17" t="s">
        <v>27</v>
      </c>
      <c r="C22" s="7" t="s">
        <v>8</v>
      </c>
      <c r="D22" s="8">
        <f>IFERROR(__xludf.DUMMYFUNCTION("AVERAGE(FILTER('__flatlist__'!D$2:D1004,('__flatlist__'!$B$2:$B1004=$B22),('__flatlist__'!$C$2:$C1004=$C22)))"),0.34275998841208416)</f>
        <v>0.3427599884</v>
      </c>
      <c r="E22" s="9">
        <f>IFERROR(__xludf.DUMMYFUNCTION("AVERAGE(FILTER('__flatlist__'!E$2:E1004,('__flatlist__'!$B$2:$B1004=$B22),('__flatlist__'!$C$2:$C1004=$C22)))"),2.6)</f>
        <v>2.6</v>
      </c>
      <c r="F22" s="9">
        <f>IFERROR(__xludf.DUMMYFUNCTION("AVERAGE(FILTER('__flatlist__'!F$2:F1004,('__flatlist__'!$B$2:$B1004=$B22),('__flatlist__'!$C$2:$C1004=$C22)))"),4.4)</f>
        <v>4.4</v>
      </c>
      <c r="G22" s="9">
        <f>IFERROR(__xludf.DUMMYFUNCTION("AVERAGE(FILTER('__flatlist__'!G$2:G1004,('__flatlist__'!$B$2:$B1004=$B22),('__flatlist__'!$C$2:$C1004=$C22)))"),4.2)</f>
        <v>4.2</v>
      </c>
      <c r="H22" s="9">
        <f>IFERROR(__xludf.DUMMYFUNCTION("AVERAGE(FILTER('__flatlist__'!H$2:H1004,('__flatlist__'!$B$2:$B1004=$B22),('__flatlist__'!$C$2:$C1004=$C22)))"),3.0)</f>
        <v>3</v>
      </c>
      <c r="I22" s="9">
        <f>IFERROR(__xludf.DUMMYFUNCTION("AVERAGE(FILTER('__flatlist__'!I$2:I1004,('__flatlist__'!$B$2:$B1004=$B22),('__flatlist__'!$C$2:$C1004=$C22)))"),3.6)</f>
        <v>3.6</v>
      </c>
      <c r="J22" s="9">
        <f t="shared" si="1"/>
        <v>3.56</v>
      </c>
      <c r="K22" s="3">
        <f t="shared" si="2"/>
        <v>16</v>
      </c>
      <c r="M22" s="4"/>
      <c r="N22" s="10"/>
    </row>
    <row r="23">
      <c r="A23" s="6"/>
      <c r="B23" s="17" t="s">
        <v>27</v>
      </c>
      <c r="C23" s="7" t="s">
        <v>21</v>
      </c>
      <c r="D23" s="8">
        <f>IFERROR(__xludf.DUMMYFUNCTION("AVERAGE(FILTER('__flatlist__'!D$2:D1004,('__flatlist__'!$B$2:$B1004=$B23),('__flatlist__'!$C$2:$C1004=$C23)))"),0.2976715417113072)</f>
        <v>0.2976715417</v>
      </c>
      <c r="E23" s="9">
        <f>IFERROR(__xludf.DUMMYFUNCTION("AVERAGE(FILTER('__flatlist__'!E$2:E1004,('__flatlist__'!$B$2:$B1004=$B23),('__flatlist__'!$C$2:$C1004=$C23)))"),4.4)</f>
        <v>4.4</v>
      </c>
      <c r="F23" s="9">
        <f>IFERROR(__xludf.DUMMYFUNCTION("AVERAGE(FILTER('__flatlist__'!F$2:F1004,('__flatlist__'!$B$2:$B1004=$B23),('__flatlist__'!$C$2:$C1004=$C23)))"),4.6)</f>
        <v>4.6</v>
      </c>
      <c r="G23" s="9">
        <f>IFERROR(__xludf.DUMMYFUNCTION("AVERAGE(FILTER('__flatlist__'!G$2:G1004,('__flatlist__'!$B$2:$B1004=$B23),('__flatlist__'!$C$2:$C1004=$C23)))"),4.6)</f>
        <v>4.6</v>
      </c>
      <c r="H23" s="9">
        <f>IFERROR(__xludf.DUMMYFUNCTION("AVERAGE(FILTER('__flatlist__'!H$2:H1004,('__flatlist__'!$B$2:$B1004=$B23),('__flatlist__'!$C$2:$C1004=$C23)))"),3.8)</f>
        <v>3.8</v>
      </c>
      <c r="I23" s="9">
        <f>IFERROR(__xludf.DUMMYFUNCTION("AVERAGE(FILTER('__flatlist__'!I$2:I1004,('__flatlist__'!$B$2:$B1004=$B23),('__flatlist__'!$C$2:$C1004=$C23)))"),3.4)</f>
        <v>3.4</v>
      </c>
      <c r="J23" s="9">
        <f t="shared" si="1"/>
        <v>4.16</v>
      </c>
      <c r="K23" s="3">
        <f t="shared" si="2"/>
        <v>7</v>
      </c>
      <c r="M23" s="4"/>
      <c r="N23" s="10"/>
    </row>
    <row r="24">
      <c r="A24" s="6"/>
      <c r="B24" s="17" t="s">
        <v>27</v>
      </c>
      <c r="C24" s="7" t="s">
        <v>22</v>
      </c>
      <c r="D24" s="8">
        <f>IFERROR(__xludf.DUMMYFUNCTION("AVERAGE(FILTER('__flatlist__'!D$2:D1004,('__flatlist__'!$B$2:$B1004=$B24),('__flatlist__'!$C$2:$C1004=$C24)))"),0.07139243442573937)</f>
        <v>0.07139243443</v>
      </c>
      <c r="E24" s="9">
        <f>IFERROR(__xludf.DUMMYFUNCTION("AVERAGE(FILTER('__flatlist__'!E$2:E1004,('__flatlist__'!$B$2:$B1004=$B24),('__flatlist__'!$C$2:$C1004=$C24)))"),4.8)</f>
        <v>4.8</v>
      </c>
      <c r="F24" s="9">
        <f>IFERROR(__xludf.DUMMYFUNCTION("AVERAGE(FILTER('__flatlist__'!F$2:F1004,('__flatlist__'!$B$2:$B1004=$B24),('__flatlist__'!$C$2:$C1004=$C24)))"),4.4)</f>
        <v>4.4</v>
      </c>
      <c r="G24" s="9">
        <f>IFERROR(__xludf.DUMMYFUNCTION("AVERAGE(FILTER('__flatlist__'!G$2:G1004,('__flatlist__'!$B$2:$B1004=$B24),('__flatlist__'!$C$2:$C1004=$C24)))"),4.8)</f>
        <v>4.8</v>
      </c>
      <c r="H24" s="9">
        <f>IFERROR(__xludf.DUMMYFUNCTION("AVERAGE(FILTER('__flatlist__'!H$2:H1004,('__flatlist__'!$B$2:$B1004=$B24),('__flatlist__'!$C$2:$C1004=$C24)))"),4.8)</f>
        <v>4.8</v>
      </c>
      <c r="I24" s="9">
        <f>IFERROR(__xludf.DUMMYFUNCTION("AVERAGE(FILTER('__flatlist__'!I$2:I1004,('__flatlist__'!$B$2:$B1004=$B24),('__flatlist__'!$C$2:$C1004=$C24)))"),2.2)</f>
        <v>2.2</v>
      </c>
      <c r="J24" s="9">
        <f t="shared" si="1"/>
        <v>4.2</v>
      </c>
      <c r="K24" s="3">
        <f t="shared" si="2"/>
        <v>5</v>
      </c>
      <c r="M24" s="4"/>
      <c r="N24" s="10"/>
    </row>
    <row r="25">
      <c r="A25" s="6"/>
      <c r="B25" s="17" t="s">
        <v>27</v>
      </c>
      <c r="C25" s="7" t="s">
        <v>23</v>
      </c>
      <c r="D25" s="8">
        <f>IFERROR(__xludf.DUMMYFUNCTION("AVERAGE(FILTER('__flatlist__'!D$2:D1004,('__flatlist__'!$B$2:$B1004=$B25),('__flatlist__'!$C$2:$C1004=$C25)))"),0.10676006938513535)</f>
        <v>0.1067600694</v>
      </c>
      <c r="E25" s="9">
        <f>IFERROR(__xludf.DUMMYFUNCTION("AVERAGE(FILTER('__flatlist__'!E$2:E1004,('__flatlist__'!$B$2:$B1004=$B25),('__flatlist__'!$C$2:$C1004=$C25)))"),4.0)</f>
        <v>4</v>
      </c>
      <c r="F25" s="9">
        <f>IFERROR(__xludf.DUMMYFUNCTION("AVERAGE(FILTER('__flatlist__'!F$2:F1004,('__flatlist__'!$B$2:$B1004=$B25),('__flatlist__'!$C$2:$C1004=$C25)))"),4.0)</f>
        <v>4</v>
      </c>
      <c r="G25" s="9">
        <f>IFERROR(__xludf.DUMMYFUNCTION("AVERAGE(FILTER('__flatlist__'!G$2:G1004,('__flatlist__'!$B$2:$B1004=$B25),('__flatlist__'!$C$2:$C1004=$C25)))"),4.6)</f>
        <v>4.6</v>
      </c>
      <c r="H25" s="9">
        <f>IFERROR(__xludf.DUMMYFUNCTION("AVERAGE(FILTER('__flatlist__'!H$2:H1004,('__flatlist__'!$B$2:$B1004=$B25),('__flatlist__'!$C$2:$C1004=$C25)))"),4.6)</f>
        <v>4.6</v>
      </c>
      <c r="I25" s="9">
        <f>IFERROR(__xludf.DUMMYFUNCTION("AVERAGE(FILTER('__flatlist__'!I$2:I1004,('__flatlist__'!$B$2:$B1004=$B25),('__flatlist__'!$C$2:$C1004=$C25)))"),2.6)</f>
        <v>2.6</v>
      </c>
      <c r="J25" s="9">
        <f t="shared" si="1"/>
        <v>3.96</v>
      </c>
      <c r="K25" s="3">
        <f t="shared" si="2"/>
        <v>9</v>
      </c>
      <c r="M25" s="4"/>
      <c r="N25" s="10"/>
    </row>
    <row r="26">
      <c r="C26" s="7"/>
      <c r="E26" s="9"/>
      <c r="F26" s="9"/>
      <c r="G26" s="9"/>
      <c r="H26" s="9"/>
      <c r="I26" s="9"/>
      <c r="K26" s="3"/>
      <c r="M26" s="4"/>
      <c r="N26" s="10"/>
    </row>
    <row r="27">
      <c r="A27" s="18"/>
      <c r="B27" s="19"/>
      <c r="C27" s="19"/>
      <c r="D27" s="18" t="s">
        <v>28</v>
      </c>
      <c r="E27" s="20"/>
      <c r="F27" s="20"/>
      <c r="G27" s="20"/>
      <c r="H27" s="20"/>
      <c r="I27" s="20"/>
      <c r="J27" s="20"/>
      <c r="K27" s="21"/>
      <c r="M27" s="4"/>
      <c r="N27" s="10"/>
    </row>
    <row r="28">
      <c r="A28" s="22" t="str">
        <f>'🤖 Claude Sonnet 3.5'!$A$2</f>
        <v>www.berria.eus/euskal-herria/ehunka-herritarrek-etxebarriko-sexu-erasoa-salatu-dute_2126343_102.html</v>
      </c>
      <c r="B28" s="12"/>
      <c r="C28" s="23"/>
      <c r="D28" s="14">
        <f>IFERROR(__xludf.DUMMYFUNCTION("AVERAGE(FILTER('__flatlist__'!D$2:D1004,('__flatlist__'!$A$2:$A1004=$A28)))"),0.628930817610063)</f>
        <v>0.6289308176</v>
      </c>
      <c r="E28" s="15">
        <f>IFERROR(__xludf.DUMMYFUNCTION("AVERAGE(FILTER('__flatlist__'!E$2:E1004,('__flatlist__'!$A$2:$A1004=$A28)))"),3.4347826086956523)</f>
        <v>3.434782609</v>
      </c>
      <c r="F28" s="15">
        <f>IFERROR(__xludf.DUMMYFUNCTION("AVERAGE(FILTER('__flatlist__'!F$2:F1004,('__flatlist__'!$A$2:$A1004=$A28)))"),3.8260869565217392)</f>
        <v>3.826086957</v>
      </c>
      <c r="G28" s="15">
        <f>IFERROR(__xludf.DUMMYFUNCTION("AVERAGE(FILTER('__flatlist__'!G$2:G1004,('__flatlist__'!$A$2:$A1004=$A28)))"),4.130434782608695)</f>
        <v>4.130434783</v>
      </c>
      <c r="H28" s="15">
        <f>IFERROR(__xludf.DUMMYFUNCTION("AVERAGE(FILTER('__flatlist__'!H$2:H1004,('__flatlist__'!$A$2:$A1004=$A28)))"),3.6956521739130435)</f>
        <v>3.695652174</v>
      </c>
      <c r="I28" s="15">
        <f>IFERROR(__xludf.DUMMYFUNCTION("AVERAGE(FILTER('__flatlist__'!I$2:I1004,('__flatlist__'!$A$2:$A1004=$A28)))"),4.260869565217392)</f>
        <v>4.260869565</v>
      </c>
      <c r="J28" s="15">
        <f t="shared" ref="J28:J41" si="3">average(E28:I28)</f>
        <v>3.869565217</v>
      </c>
      <c r="K28" s="24"/>
      <c r="M28" s="4"/>
      <c r="N28" s="10"/>
    </row>
    <row r="29">
      <c r="A29" s="25" t="str">
        <f>'🤖 Claude Sonnet 3.5'!$A$7</f>
        <v>https://www.berria.eus/euskal-herria/erramun-baxok-ohorezko-euskaltzaina-zendu-da_2126101_102.html</v>
      </c>
      <c r="B29" s="6"/>
      <c r="D29" s="8">
        <f>IFERROR(__xludf.DUMMYFUNCTION("AVERAGE(FILTER('__flatlist__'!D$2:D1004,('__flatlist__'!$A$2:$A1004=$A29)))"),0.20711009174311926)</f>
        <v>0.2071100917</v>
      </c>
      <c r="E29" s="9">
        <f>IFERROR(__xludf.DUMMYFUNCTION("AVERAGE(FILTER('__flatlist__'!E$2:E1004,('__flatlist__'!$A$2:$A1004=$A29)))"),3.4347826086956523)</f>
        <v>3.434782609</v>
      </c>
      <c r="F29" s="9">
        <f>IFERROR(__xludf.DUMMYFUNCTION("AVERAGE(FILTER('__flatlist__'!F$2:F1004,('__flatlist__'!$A$2:$A1004=$A29)))"),4.521739130434782)</f>
        <v>4.52173913</v>
      </c>
      <c r="G29" s="9">
        <f>IFERROR(__xludf.DUMMYFUNCTION("AVERAGE(FILTER('__flatlist__'!G$2:G1004,('__flatlist__'!$A$2:$A1004=$A29)))"),4.086956521739131)</f>
        <v>4.086956522</v>
      </c>
      <c r="H29" s="9">
        <f>IFERROR(__xludf.DUMMYFUNCTION("AVERAGE(FILTER('__flatlist__'!H$2:H1004,('__flatlist__'!$A$2:$A1004=$A29)))"),3.739130434782609)</f>
        <v>3.739130435</v>
      </c>
      <c r="I29" s="9">
        <f>IFERROR(__xludf.DUMMYFUNCTION("AVERAGE(FILTER('__flatlist__'!I$2:I1004,('__flatlist__'!$A$2:$A1004=$A29)))"),4.043478260869565)</f>
        <v>4.043478261</v>
      </c>
      <c r="J29" s="9">
        <f t="shared" si="3"/>
        <v>3.965217391</v>
      </c>
      <c r="K29" s="26"/>
      <c r="M29" s="4"/>
      <c r="N29" s="10"/>
    </row>
    <row r="30">
      <c r="A30" s="25" t="str">
        <f>'🤖 Claude Sonnet 3.5'!$A$12</f>
        <v>https://www.berria.eus/euskal-herria/etxelekuren-kargugabetzea-kritikatu-dute-errobiko-bederatzi-hautetsik_2125690_102.html</v>
      </c>
      <c r="B30" s="6"/>
      <c r="D30" s="8">
        <f>IFERROR(__xludf.DUMMYFUNCTION("AVERAGE(FILTER('__flatlist__'!D$2:D1004,('__flatlist__'!$A$2:$A1004=$A30)))"),0.34156976744186046)</f>
        <v>0.3415697674</v>
      </c>
      <c r="E30" s="9">
        <f>IFERROR(__xludf.DUMMYFUNCTION("AVERAGE(FILTER('__flatlist__'!E$2:E1004,('__flatlist__'!$A$2:$A1004=$A30)))"),3.608695652173913)</f>
        <v>3.608695652</v>
      </c>
      <c r="F30" s="9">
        <f>IFERROR(__xludf.DUMMYFUNCTION("AVERAGE(FILTER('__flatlist__'!F$2:F1004,('__flatlist__'!$A$2:$A1004=$A30)))"),4.434782608695652)</f>
        <v>4.434782609</v>
      </c>
      <c r="G30" s="9">
        <f>IFERROR(__xludf.DUMMYFUNCTION("AVERAGE(FILTER('__flatlist__'!G$2:G1004,('__flatlist__'!$A$2:$A1004=$A30)))"),4.173913043478261)</f>
        <v>4.173913043</v>
      </c>
      <c r="H30" s="9">
        <f>IFERROR(__xludf.DUMMYFUNCTION("AVERAGE(FILTER('__flatlist__'!H$2:H1004,('__flatlist__'!$A$2:$A1004=$A30)))"),3.5652173913043477)</f>
        <v>3.565217391</v>
      </c>
      <c r="I30" s="9">
        <f>IFERROR(__xludf.DUMMYFUNCTION("AVERAGE(FILTER('__flatlist__'!I$2:I1004,('__flatlist__'!$A$2:$A1004=$A30)))"),4.260869565217392)</f>
        <v>4.260869565</v>
      </c>
      <c r="J30" s="9">
        <f t="shared" si="3"/>
        <v>4.008695652</v>
      </c>
      <c r="K30" s="26"/>
      <c r="M30" s="4"/>
      <c r="N30" s="10"/>
    </row>
    <row r="31">
      <c r="A31" s="25" t="str">
        <f>'🤖 Claude Sonnet 3.5'!$A$17</f>
        <v>https://www.berria.eus/euskal-herria/itziar-lakari-eman-diote-eusko-ikaskuntzaren-saria_2125317_102.html</v>
      </c>
      <c r="B31" s="6"/>
      <c r="D31" s="8">
        <f>IFERROR(__xludf.DUMMYFUNCTION("AVERAGE(FILTER('__flatlist__'!D$2:D1004,('__flatlist__'!$A$2:$A1004=$A31)))"),0.5403713298791019)</f>
        <v>0.5403713299</v>
      </c>
      <c r="E31" s="9">
        <f>IFERROR(__xludf.DUMMYFUNCTION("AVERAGE(FILTER('__flatlist__'!E$2:E1004,('__flatlist__'!$A$2:$A1004=$A31)))"),3.6956521739130435)</f>
        <v>3.695652174</v>
      </c>
      <c r="F31" s="9">
        <f>IFERROR(__xludf.DUMMYFUNCTION("AVERAGE(FILTER('__flatlist__'!F$2:F1004,('__flatlist__'!$A$2:$A1004=$A31)))"),4.391304347826087)</f>
        <v>4.391304348</v>
      </c>
      <c r="G31" s="9">
        <f>IFERROR(__xludf.DUMMYFUNCTION("AVERAGE(FILTER('__flatlist__'!G$2:G1004,('__flatlist__'!$A$2:$A1004=$A31)))"),4.304347826086956)</f>
        <v>4.304347826</v>
      </c>
      <c r="H31" s="9">
        <f>IFERROR(__xludf.DUMMYFUNCTION("AVERAGE(FILTER('__flatlist__'!H$2:H1004,('__flatlist__'!$A$2:$A1004=$A31)))"),3.3043478260869565)</f>
        <v>3.304347826</v>
      </c>
      <c r="I31" s="9">
        <f>IFERROR(__xludf.DUMMYFUNCTION("AVERAGE(FILTER('__flatlist__'!I$2:I1004,('__flatlist__'!$A$2:$A1004=$A31)))"),4.130434782608695)</f>
        <v>4.130434783</v>
      </c>
      <c r="J31" s="9">
        <f t="shared" si="3"/>
        <v>3.965217391</v>
      </c>
      <c r="K31" s="26"/>
      <c r="M31" s="4"/>
      <c r="N31" s="10"/>
    </row>
    <row r="32">
      <c r="A32" s="25" t="str">
        <f>'🤖 Claude Sonnet 3.5'!$A$22</f>
        <v>https://www.berria.eus/euskal-herria/sexu-indarkeriaren-biktimentzako-zentro-bat-zabaldu-dute-araban_2124914_102.html</v>
      </c>
      <c r="B32" s="6"/>
      <c r="D32" s="8">
        <f>IFERROR(__xludf.DUMMYFUNCTION("AVERAGE(FILTER('__flatlist__'!D$2:D1004,('__flatlist__'!$A$2:$A1004=$A32)))"),0.24186474250141488)</f>
        <v>0.2418647425</v>
      </c>
      <c r="E32" s="9">
        <f>IFERROR(__xludf.DUMMYFUNCTION("AVERAGE(FILTER('__flatlist__'!E$2:E1004,('__flatlist__'!$A$2:$A1004=$A32)))"),3.5217391304347827)</f>
        <v>3.52173913</v>
      </c>
      <c r="F32" s="9">
        <f>IFERROR(__xludf.DUMMYFUNCTION("AVERAGE(FILTER('__flatlist__'!F$2:F1004,('__flatlist__'!$A$2:$A1004=$A32)))"),4.391304347826087)</f>
        <v>4.391304348</v>
      </c>
      <c r="G32" s="9">
        <f>IFERROR(__xludf.DUMMYFUNCTION("AVERAGE(FILTER('__flatlist__'!G$2:G1004,('__flatlist__'!$A$2:$A1004=$A32)))"),4.434782608695652)</f>
        <v>4.434782609</v>
      </c>
      <c r="H32" s="9">
        <f>IFERROR(__xludf.DUMMYFUNCTION("AVERAGE(FILTER('__flatlist__'!H$2:H1004,('__flatlist__'!$A$2:$A1004=$A32)))"),3.4347826086956523)</f>
        <v>3.434782609</v>
      </c>
      <c r="I32" s="9">
        <f>IFERROR(__xludf.DUMMYFUNCTION("AVERAGE(FILTER('__flatlist__'!I$2:I1004,('__flatlist__'!$A$2:$A1004=$A32)))"),3.5217391304347827)</f>
        <v>3.52173913</v>
      </c>
      <c r="J32" s="9">
        <f t="shared" si="3"/>
        <v>3.860869565</v>
      </c>
      <c r="K32" s="26"/>
      <c r="M32" s="4"/>
      <c r="N32" s="10"/>
    </row>
    <row r="33">
      <c r="A33" s="27"/>
      <c r="B33" s="12" t="s">
        <v>20</v>
      </c>
      <c r="C33" s="23"/>
      <c r="D33" s="14">
        <f>IFERROR(__xludf.DUMMYFUNCTION("AVERAGE(FILTER('__flatlist__'!D$2:D1004,('__flatlist__'!$B$2:$B1004=$B33)))"),0.4563583494557997)</f>
        <v>0.4563583495</v>
      </c>
      <c r="E33" s="15">
        <f>IFERROR(__xludf.DUMMYFUNCTION("AVERAGE(FILTER('__flatlist__'!E$2:E1004,('__flatlist__'!$B$2:$B1004=$B33)))"),2.95)</f>
        <v>2.95</v>
      </c>
      <c r="F33" s="15">
        <f>IFERROR(__xludf.DUMMYFUNCTION("AVERAGE(FILTER('__flatlist__'!F$2:F1004,('__flatlist__'!$B$2:$B1004=$B33)))"),4.75)</f>
        <v>4.75</v>
      </c>
      <c r="G33" s="15">
        <f>IFERROR(__xludf.DUMMYFUNCTION("AVERAGE(FILTER('__flatlist__'!G$2:G1004,('__flatlist__'!$B$2:$B1004=$B33)))"),4.7)</f>
        <v>4.7</v>
      </c>
      <c r="H33" s="15">
        <f>IFERROR(__xludf.DUMMYFUNCTION("AVERAGE(FILTER('__flatlist__'!H$2:H1004,('__flatlist__'!$B$2:$B1004=$B33)))"),3.25)</f>
        <v>3.25</v>
      </c>
      <c r="I33" s="15">
        <f>IFERROR(__xludf.DUMMYFUNCTION("AVERAGE(FILTER('__flatlist__'!I$2:I1004,('__flatlist__'!$B$2:$B1004=$B33)))"),4.65)</f>
        <v>4.65</v>
      </c>
      <c r="J33" s="15">
        <f t="shared" si="3"/>
        <v>4.06</v>
      </c>
      <c r="K33" s="28">
        <f t="shared" ref="K33:K37" si="4">rank(J33,$J$33:$J$37,FALSE)</f>
        <v>2</v>
      </c>
      <c r="M33" s="4"/>
      <c r="N33" s="10"/>
    </row>
    <row r="34">
      <c r="A34" s="29"/>
      <c r="B34" s="6" t="s">
        <v>24</v>
      </c>
      <c r="D34" s="8">
        <f>IFERROR(__xludf.DUMMYFUNCTION("AVERAGE(FILTER('__flatlist__'!D$2:D1004,('__flatlist__'!$B$2:$B1004=$B34)))"),0.5321636959798018)</f>
        <v>0.532163696</v>
      </c>
      <c r="E34" s="9">
        <f>IFERROR(__xludf.DUMMYFUNCTION("AVERAGE(FILTER('__flatlist__'!E$2:E1004,('__flatlist__'!$B$2:$B1004=$B34)))"),2.7)</f>
        <v>2.7</v>
      </c>
      <c r="F34" s="9">
        <f>IFERROR(__xludf.DUMMYFUNCTION("AVERAGE(FILTER('__flatlist__'!F$2:F1004,('__flatlist__'!$B$2:$B1004=$B34)))"),3.55)</f>
        <v>3.55</v>
      </c>
      <c r="G34" s="9">
        <f>IFERROR(__xludf.DUMMYFUNCTION("AVERAGE(FILTER('__flatlist__'!G$2:G1004,('__flatlist__'!$B$2:$B1004=$B34)))"),2.55)</f>
        <v>2.55</v>
      </c>
      <c r="H34" s="9">
        <f>IFERROR(__xludf.DUMMYFUNCTION("AVERAGE(FILTER('__flatlist__'!H$2:H1004,('__flatlist__'!$B$2:$B1004=$B34)))"),2.95)</f>
        <v>2.95</v>
      </c>
      <c r="I34" s="9">
        <f>IFERROR(__xludf.DUMMYFUNCTION("AVERAGE(FILTER('__flatlist__'!I$2:I1004,('__flatlist__'!$B$2:$B1004=$B34)))"),3.65)</f>
        <v>3.65</v>
      </c>
      <c r="J34" s="9">
        <f t="shared" si="3"/>
        <v>3.08</v>
      </c>
      <c r="K34" s="30">
        <f t="shared" si="4"/>
        <v>5</v>
      </c>
      <c r="M34" s="4"/>
      <c r="N34" s="10"/>
    </row>
    <row r="35">
      <c r="A35" s="29"/>
      <c r="B35" s="6" t="s">
        <v>25</v>
      </c>
      <c r="D35" s="8">
        <f>IFERROR(__xludf.DUMMYFUNCTION("AVERAGE(FILTER('__flatlist__'!D$2:D1004,('__flatlist__'!$B$2:$B1004=$B35)))"),0.43087796212999363)</f>
        <v>0.4308779621</v>
      </c>
      <c r="E35" s="9">
        <f>IFERROR(__xludf.DUMMYFUNCTION("AVERAGE(FILTER('__flatlist__'!E$2:E1004,('__flatlist__'!$B$2:$B1004=$B35)))"),3.75)</f>
        <v>3.75</v>
      </c>
      <c r="F35" s="9">
        <f>IFERROR(__xludf.DUMMYFUNCTION("AVERAGE(FILTER('__flatlist__'!F$2:F1004,('__flatlist__'!$B$2:$B1004=$B35)))"),4.35)</f>
        <v>4.35</v>
      </c>
      <c r="G35" s="9">
        <f>IFERROR(__xludf.DUMMYFUNCTION("AVERAGE(FILTER('__flatlist__'!G$2:G1004,('__flatlist__'!$B$2:$B1004=$B35)))"),4.4)</f>
        <v>4.4</v>
      </c>
      <c r="H35" s="9">
        <f>IFERROR(__xludf.DUMMYFUNCTION("AVERAGE(FILTER('__flatlist__'!H$2:H1004,('__flatlist__'!$B$2:$B1004=$B35)))"),3.45)</f>
        <v>3.45</v>
      </c>
      <c r="I35" s="9">
        <f>IFERROR(__xludf.DUMMYFUNCTION("AVERAGE(FILTER('__flatlist__'!I$2:I1004,('__flatlist__'!$B$2:$B1004=$B35)))"),4.6)</f>
        <v>4.6</v>
      </c>
      <c r="J35" s="9">
        <f t="shared" si="3"/>
        <v>4.11</v>
      </c>
      <c r="K35" s="30">
        <f t="shared" si="4"/>
        <v>1</v>
      </c>
      <c r="M35" s="4"/>
      <c r="N35" s="10"/>
    </row>
    <row r="36">
      <c r="A36" s="29"/>
      <c r="B36" s="6" t="s">
        <v>26</v>
      </c>
      <c r="D36" s="8">
        <f>IFERROR(__xludf.DUMMYFUNCTION("AVERAGE(FILTER('__flatlist__'!D$2:D1004,('__flatlist__'!$B$2:$B1004=$B36)))"),0.44414047736291595)</f>
        <v>0.4441404774</v>
      </c>
      <c r="E36" s="9">
        <f>IFERROR(__xludf.DUMMYFUNCTION("AVERAGE(FILTER('__flatlist__'!E$2:E1004,('__flatlist__'!$B$2:$B1004=$B36)))"),3.75)</f>
        <v>3.75</v>
      </c>
      <c r="F36" s="9">
        <f>IFERROR(__xludf.DUMMYFUNCTION("AVERAGE(FILTER('__flatlist__'!F$2:F1004,('__flatlist__'!$B$2:$B1004=$B36)))"),4.2)</f>
        <v>4.2</v>
      </c>
      <c r="G36" s="9">
        <f>IFERROR(__xludf.DUMMYFUNCTION("AVERAGE(FILTER('__flatlist__'!G$2:G1004,('__flatlist__'!$B$2:$B1004=$B36)))"),4.4)</f>
        <v>4.4</v>
      </c>
      <c r="H36" s="9">
        <f>IFERROR(__xludf.DUMMYFUNCTION("AVERAGE(FILTER('__flatlist__'!H$2:H1004,('__flatlist__'!$B$2:$B1004=$B36)))"),3.1)</f>
        <v>3.1</v>
      </c>
      <c r="I36" s="9">
        <f>IFERROR(__xludf.DUMMYFUNCTION("AVERAGE(FILTER('__flatlist__'!I$2:I1004,('__flatlist__'!$B$2:$B1004=$B36)))"),4.4)</f>
        <v>4.4</v>
      </c>
      <c r="J36" s="9">
        <f t="shared" si="3"/>
        <v>3.97</v>
      </c>
      <c r="K36" s="30">
        <f t="shared" si="4"/>
        <v>3</v>
      </c>
      <c r="M36" s="4"/>
      <c r="N36" s="10"/>
    </row>
    <row r="37">
      <c r="A37" s="31"/>
      <c r="B37" s="32" t="s">
        <v>27</v>
      </c>
      <c r="C37" s="33"/>
      <c r="D37" s="34">
        <f>IFERROR(__xludf.DUMMYFUNCTION("AVERAGE(FILTER('__flatlist__'!D$2:D1004,('__flatlist__'!$B$2:$B1004=$B37)))"),0.20464600848356648)</f>
        <v>0.2046460085</v>
      </c>
      <c r="E37" s="35">
        <f>IFERROR(__xludf.DUMMYFUNCTION("AVERAGE(FILTER('__flatlist__'!E$2:E1004,('__flatlist__'!$B$2:$B1004=$B37)))"),3.95)</f>
        <v>3.95</v>
      </c>
      <c r="F37" s="35">
        <f>IFERROR(__xludf.DUMMYFUNCTION("AVERAGE(FILTER('__flatlist__'!F$2:F1004,('__flatlist__'!$B$2:$B1004=$B37)))"),4.35)</f>
        <v>4.35</v>
      </c>
      <c r="G37" s="35">
        <f>IFERROR(__xludf.DUMMYFUNCTION("AVERAGE(FILTER('__flatlist__'!G$2:G1004,('__flatlist__'!$B$2:$B1004=$B37)))"),4.55)</f>
        <v>4.55</v>
      </c>
      <c r="H37" s="35">
        <f>IFERROR(__xludf.DUMMYFUNCTION("AVERAGE(FILTER('__flatlist__'!H$2:H1004,('__flatlist__'!$B$2:$B1004=$B37)))"),4.05)</f>
        <v>4.05</v>
      </c>
      <c r="I37" s="35">
        <f>IFERROR(__xludf.DUMMYFUNCTION("AVERAGE(FILTER('__flatlist__'!I$2:I1004,('__flatlist__'!$B$2:$B1004=$B37)))"),2.95)</f>
        <v>2.95</v>
      </c>
      <c r="J37" s="35">
        <f t="shared" si="3"/>
        <v>3.97</v>
      </c>
      <c r="K37" s="36">
        <f t="shared" si="4"/>
        <v>3</v>
      </c>
      <c r="M37" s="4"/>
      <c r="N37" s="10"/>
    </row>
    <row r="38">
      <c r="A38" s="37"/>
      <c r="B38" s="23"/>
      <c r="C38" s="13" t="s">
        <v>21</v>
      </c>
      <c r="D38" s="14">
        <f>IFERROR(__xludf.DUMMYFUNCTION("AVERAGE(FILTER('__flatlist__'!D$2:D1004,('__flatlist__'!$C$2:$C1004=$C38)))"),0.6020030746996654)</f>
        <v>0.6020030747</v>
      </c>
      <c r="E38" s="38">
        <f>IFERROR(__xludf.DUMMYFUNCTION("AVERAGE(FILTER('__flatlist__'!E$2:E1004,('__flatlist__'!$C$2:$C1004=$C38)))"),3.64)</f>
        <v>3.64</v>
      </c>
      <c r="F38" s="38">
        <f>IFERROR(__xludf.DUMMYFUNCTION("AVERAGE(FILTER('__flatlist__'!F$2:F1004,('__flatlist__'!$C$2:$C1004=$C38)))"),4.2)</f>
        <v>4.2</v>
      </c>
      <c r="G38" s="38">
        <f>IFERROR(__xludf.DUMMYFUNCTION("AVERAGE(FILTER('__flatlist__'!G$2:G1004,('__flatlist__'!$C$2:$C1004=$C38)))"),4.16)</f>
        <v>4.16</v>
      </c>
      <c r="H38" s="38">
        <f>IFERROR(__xludf.DUMMYFUNCTION("AVERAGE(FILTER('__flatlist__'!H$2:H1004,('__flatlist__'!$C$2:$C1004=$C38)))"),2.6)</f>
        <v>2.6</v>
      </c>
      <c r="I38" s="38">
        <f>IFERROR(__xludf.DUMMYFUNCTION("AVERAGE(FILTER('__flatlist__'!I$2:I1004,('__flatlist__'!$C$2:$C1004=$C38)))"),4.4)</f>
        <v>4.4</v>
      </c>
      <c r="J38" s="38">
        <f t="shared" si="3"/>
        <v>3.8</v>
      </c>
      <c r="K38" s="30">
        <f t="shared" ref="K38:K41" si="5">rank(J38,$J$38:$J$41,FALSE)</f>
        <v>3</v>
      </c>
      <c r="M38" s="4"/>
      <c r="N38" s="10"/>
    </row>
    <row r="39">
      <c r="A39" s="39"/>
      <c r="C39" s="7" t="s">
        <v>22</v>
      </c>
      <c r="D39" s="8">
        <f>IFERROR(__xludf.DUMMYFUNCTION("AVERAGE(FILTER('__flatlist__'!D$2:D1004,('__flatlist__'!$C$2:$C1004=$C39)))"),0.3011663803622148)</f>
        <v>0.3011663804</v>
      </c>
      <c r="E39" s="10">
        <f>IFERROR(__xludf.DUMMYFUNCTION("AVERAGE(FILTER('__flatlist__'!E$2:E1004,('__flatlist__'!$C$2:$C1004=$C39)))"),3.8)</f>
        <v>3.8</v>
      </c>
      <c r="F39" s="10">
        <f>IFERROR(__xludf.DUMMYFUNCTION("AVERAGE(FILTER('__flatlist__'!F$2:F1004,('__flatlist__'!$C$2:$C1004=$C39)))"),4.24)</f>
        <v>4.24</v>
      </c>
      <c r="G39" s="10">
        <f>IFERROR(__xludf.DUMMYFUNCTION("AVERAGE(FILTER('__flatlist__'!G$2:G1004,('__flatlist__'!$C$2:$C1004=$C39)))"),4.12)</f>
        <v>4.12</v>
      </c>
      <c r="H39" s="10">
        <f>IFERROR(__xludf.DUMMYFUNCTION("AVERAGE(FILTER('__flatlist__'!H$2:H1004,('__flatlist__'!$C$2:$C1004=$C39)))"),3.64)</f>
        <v>3.64</v>
      </c>
      <c r="I39" s="10">
        <f>IFERROR(__xludf.DUMMYFUNCTION("AVERAGE(FILTER('__flatlist__'!I$2:I1004,('__flatlist__'!$C$2:$C1004=$C39)))"),3.56)</f>
        <v>3.56</v>
      </c>
      <c r="J39" s="10">
        <f t="shared" si="3"/>
        <v>3.872</v>
      </c>
      <c r="K39" s="30">
        <f t="shared" si="5"/>
        <v>2</v>
      </c>
      <c r="M39" s="4"/>
      <c r="N39" s="10"/>
    </row>
    <row r="40">
      <c r="A40" s="39"/>
      <c r="C40" s="7" t="s">
        <v>8</v>
      </c>
      <c r="D40" s="8">
        <f>IFERROR(__xludf.DUMMYFUNCTION("AVERAGE(FILTER('__flatlist__'!D$2:D1004,('__flatlist__'!$C$2:$C1004=$C40)))"),0.45855623635097315)</f>
        <v>0.4585562364</v>
      </c>
      <c r="E40" s="10">
        <f>IFERROR(__xludf.DUMMYFUNCTION("AVERAGE(FILTER('__flatlist__'!E$2:E1004,('__flatlist__'!$C$2:$C1004=$C40)))"),2.44)</f>
        <v>2.44</v>
      </c>
      <c r="F40" s="10">
        <f>IFERROR(__xludf.DUMMYFUNCTION("AVERAGE(FILTER('__flatlist__'!F$2:F1004,('__flatlist__'!$C$2:$C1004=$C40)))"),4.08)</f>
        <v>4.08</v>
      </c>
      <c r="G40" s="10">
        <f>IFERROR(__xludf.DUMMYFUNCTION("AVERAGE(FILTER('__flatlist__'!G$2:G1004,('__flatlist__'!$C$2:$C1004=$C40)))"),4.08)</f>
        <v>4.08</v>
      </c>
      <c r="H40" s="10">
        <f>IFERROR(__xludf.DUMMYFUNCTION("AVERAGE(FILTER('__flatlist__'!H$2:H1004,('__flatlist__'!$C$2:$C1004=$C40)))"),3.2)</f>
        <v>3.2</v>
      </c>
      <c r="I40" s="10">
        <f>IFERROR(__xludf.DUMMYFUNCTION("AVERAGE(FILTER('__flatlist__'!I$2:I1004,('__flatlist__'!$C$2:$C1004=$C40)))"),4.12)</f>
        <v>4.12</v>
      </c>
      <c r="J40" s="10">
        <f t="shared" si="3"/>
        <v>3.584</v>
      </c>
      <c r="K40" s="30">
        <f t="shared" si="5"/>
        <v>4</v>
      </c>
      <c r="M40" s="4"/>
      <c r="N40" s="10"/>
    </row>
    <row r="41">
      <c r="A41" s="40"/>
      <c r="B41" s="33"/>
      <c r="C41" s="41" t="s">
        <v>23</v>
      </c>
      <c r="D41" s="34">
        <f>IFERROR(__xludf.DUMMYFUNCTION("AVERAGE(FILTER('__flatlist__'!D$2:D1004,('__flatlist__'!$C$2:$C1004=$C41)))"),0.2928235033168088)</f>
        <v>0.2928235033</v>
      </c>
      <c r="E41" s="42">
        <f>IFERROR(__xludf.DUMMYFUNCTION("AVERAGE(FILTER('__flatlist__'!E$2:E1004,('__flatlist__'!$C$2:$C1004=$C41)))"),3.8)</f>
        <v>3.8</v>
      </c>
      <c r="F41" s="42">
        <f>IFERROR(__xludf.DUMMYFUNCTION("AVERAGE(FILTER('__flatlist__'!F$2:F1004,('__flatlist__'!$C$2:$C1004=$C41)))"),4.44)</f>
        <v>4.44</v>
      </c>
      <c r="G41" s="42">
        <f>IFERROR(__xludf.DUMMYFUNCTION("AVERAGE(FILTER('__flatlist__'!G$2:G1004,('__flatlist__'!$C$2:$C1004=$C41)))"),4.12)</f>
        <v>4.12</v>
      </c>
      <c r="H41" s="42">
        <f>IFERROR(__xludf.DUMMYFUNCTION("AVERAGE(FILTER('__flatlist__'!H$2:H1004,('__flatlist__'!$C$2:$C1004=$C41)))"),4.0)</f>
        <v>4</v>
      </c>
      <c r="I41" s="42">
        <f>IFERROR(__xludf.DUMMYFUNCTION("AVERAGE(FILTER('__flatlist__'!I$2:I1004,('__flatlist__'!$C$2:$C1004=$C41)))"),4.12)</f>
        <v>4.12</v>
      </c>
      <c r="J41" s="42">
        <f t="shared" si="3"/>
        <v>4.096</v>
      </c>
      <c r="K41" s="36">
        <f t="shared" si="5"/>
        <v>1</v>
      </c>
      <c r="M41" s="4"/>
      <c r="N41" s="10"/>
    </row>
    <row r="42">
      <c r="A42" s="4"/>
      <c r="B42" s="4"/>
      <c r="C42" s="10"/>
      <c r="K42" s="3"/>
    </row>
    <row r="43">
      <c r="A43" s="43"/>
      <c r="B43" s="44"/>
      <c r="C43" s="44"/>
      <c r="D43" s="43" t="s">
        <v>29</v>
      </c>
      <c r="I43" s="45"/>
      <c r="K43" s="3"/>
      <c r="M43" s="4"/>
      <c r="N43" s="10"/>
    </row>
    <row r="44">
      <c r="A44" s="22" t="str">
        <f>'🤖 Claude Sonnet 3.5'!$A$2</f>
        <v>www.berria.eus/euskal-herria/ehunka-herritarrek-etxebarriko-sexu-erasoa-salatu-dute_2126343_102.html</v>
      </c>
      <c r="B44" s="12"/>
      <c r="C44" s="23"/>
      <c r="D44" s="14">
        <f>IFERROR(__xludf.DUMMYFUNCTION("STDEV(FILTER('__flatlist__'!D$2:D1004,('__flatlist__'!$A$2:$A1004=$A44)))"),0.307697194200292)</f>
        <v>0.3076971942</v>
      </c>
      <c r="E44" s="38">
        <f>IFERROR(__xludf.DUMMYFUNCTION("STDEV(FILTER('__flatlist__'!E$2:E1004,('__flatlist__'!$A$2:$A1004=$A44)))"),1.3425243169127241)</f>
        <v>1.342524317</v>
      </c>
      <c r="F44" s="38">
        <f>IFERROR(__xludf.DUMMYFUNCTION("STDEV(FILTER('__flatlist__'!F$2:F1004,('__flatlist__'!$A$2:$A1004=$A44)))"),0.7168221481614959)</f>
        <v>0.7168221482</v>
      </c>
      <c r="G44" s="38">
        <f>IFERROR(__xludf.DUMMYFUNCTION("STDEV(FILTER('__flatlist__'!G$2:G1004,('__flatlist__'!$A$2:$A1004=$A44)))"),1.2542418146610599)</f>
        <v>1.254241815</v>
      </c>
      <c r="H44" s="38">
        <f>IFERROR(__xludf.DUMMYFUNCTION("STDEV(FILTER('__flatlist__'!H$2:H1004,('__flatlist__'!$A$2:$A1004=$A44)))"),1.0195713274212868)</f>
        <v>1.019571327</v>
      </c>
      <c r="I44" s="46">
        <f>IFERROR(__xludf.DUMMYFUNCTION("STDEV(FILTER('__flatlist__'!I$2:I1004,('__flatlist__'!$A$2:$A1004=$A44)))"),1.0538842141140992)</f>
        <v>1.053884214</v>
      </c>
      <c r="K44" s="3"/>
      <c r="M44" s="4"/>
      <c r="N44" s="10"/>
    </row>
    <row r="45">
      <c r="A45" s="25" t="str">
        <f>'🤖 Claude Sonnet 3.5'!$A$7</f>
        <v>https://www.berria.eus/euskal-herria/erramun-baxok-ohorezko-euskaltzaina-zendu-da_2126101_102.html</v>
      </c>
      <c r="B45" s="6"/>
      <c r="D45" s="8">
        <f>IFERROR(__xludf.DUMMYFUNCTION("STDEV(FILTER('__flatlist__'!D$2:D1004,('__flatlist__'!$A$2:$A1004=$A45)))"),0.15252582240671092)</f>
        <v>0.1525258224</v>
      </c>
      <c r="E45" s="10">
        <f>IFERROR(__xludf.DUMMYFUNCTION("STDEV(FILTER('__flatlist__'!E$2:E1004,('__flatlist__'!$A$2:$A1004=$A45)))"),1.121123095849618)</f>
        <v>1.121123096</v>
      </c>
      <c r="F45" s="10">
        <f>IFERROR(__xludf.DUMMYFUNCTION("STDEV(FILTER('__flatlist__'!F$2:F1004,('__flatlist__'!$A$2:$A1004=$A45)))"),0.5931093121225482)</f>
        <v>0.5931093121</v>
      </c>
      <c r="G45" s="10">
        <f>IFERROR(__xludf.DUMMYFUNCTION("STDEV(FILTER('__flatlist__'!G$2:G1004,('__flatlist__'!$A$2:$A1004=$A45)))"),0.7927537436201203)</f>
        <v>0.7927537436</v>
      </c>
      <c r="H45" s="10">
        <f>IFERROR(__xludf.DUMMYFUNCTION("STDEV(FILTER('__flatlist__'!H$2:H1004,('__flatlist__'!$A$2:$A1004=$A45)))"),1.176179922242412)</f>
        <v>1.176179922</v>
      </c>
      <c r="I45" s="47">
        <f>IFERROR(__xludf.DUMMYFUNCTION("STDEV(FILTER('__flatlist__'!I$2:I1004,('__flatlist__'!$A$2:$A1004=$A45)))"),1.0215078369104982)</f>
        <v>1.021507837</v>
      </c>
      <c r="K45" s="3"/>
      <c r="M45" s="4"/>
      <c r="N45" s="10"/>
    </row>
    <row r="46">
      <c r="A46" s="25" t="str">
        <f>'🤖 Claude Sonnet 3.5'!$A$12</f>
        <v>https://www.berria.eus/euskal-herria/etxelekuren-kargugabetzea-kritikatu-dute-errobiko-bederatzi-hautetsik_2125690_102.html</v>
      </c>
      <c r="B46" s="6"/>
      <c r="D46" s="8">
        <f>IFERROR(__xludf.DUMMYFUNCTION("STDEV(FILTER('__flatlist__'!D$2:D1004,('__flatlist__'!$A$2:$A1004=$A46)))"),0.2243331930908286)</f>
        <v>0.2243331931</v>
      </c>
      <c r="E46" s="10">
        <f>IFERROR(__xludf.DUMMYFUNCTION("STDEV(FILTER('__flatlist__'!E$2:E1004,('__flatlist__'!$A$2:$A1004=$A46)))"),0.8913284485317718)</f>
        <v>0.8913284485</v>
      </c>
      <c r="F46" s="10">
        <f>IFERROR(__xludf.DUMMYFUNCTION("STDEV(FILTER('__flatlist__'!F$2:F1004,('__flatlist__'!$A$2:$A1004=$A46)))"),0.9451352455659809)</f>
        <v>0.9451352456</v>
      </c>
      <c r="G46" s="10">
        <f>IFERROR(__xludf.DUMMYFUNCTION("STDEV(FILTER('__flatlist__'!G$2:G1004,('__flatlist__'!$A$2:$A1004=$A46)))"),0.9840627249521834)</f>
        <v>0.984062725</v>
      </c>
      <c r="H46" s="10">
        <f>IFERROR(__xludf.DUMMYFUNCTION("STDEV(FILTER('__flatlist__'!H$2:H1004,('__flatlist__'!$A$2:$A1004=$A46)))"),1.2730095677895727)</f>
        <v>1.273009568</v>
      </c>
      <c r="I46" s="47">
        <f>IFERROR(__xludf.DUMMYFUNCTION("STDEV(FILTER('__flatlist__'!I$2:I1004,('__flatlist__'!$A$2:$A1004=$A46)))"),0.963770592485946)</f>
        <v>0.9637705925</v>
      </c>
      <c r="K46" s="3"/>
      <c r="M46" s="4"/>
      <c r="N46" s="10"/>
    </row>
    <row r="47">
      <c r="A47" s="25" t="str">
        <f>'🤖 Claude Sonnet 3.5'!$A$17</f>
        <v>https://www.berria.eus/euskal-herria/itziar-lakari-eman-diote-eusko-ikaskuntzaren-saria_2125317_102.html</v>
      </c>
      <c r="B47" s="6"/>
      <c r="D47" s="8">
        <f>IFERROR(__xludf.DUMMYFUNCTION("STDEV(FILTER('__flatlist__'!D$2:D1004,('__flatlist__'!$A$2:$A1004=$A47)))"),0.2666888784281896)</f>
        <v>0.2666888784</v>
      </c>
      <c r="E47" s="10">
        <f>IFERROR(__xludf.DUMMYFUNCTION("STDEV(FILTER('__flatlist__'!E$2:E1004,('__flatlist__'!$A$2:$A1004=$A47)))"),0.8756702684071968)</f>
        <v>0.8756702684</v>
      </c>
      <c r="F47" s="10">
        <f>IFERROR(__xludf.DUMMYFUNCTION("STDEV(FILTER('__flatlist__'!F$2:F1004,('__flatlist__'!$A$2:$A1004=$A47)))"),0.583027399541909)</f>
        <v>0.5830273995</v>
      </c>
      <c r="G47" s="10">
        <f>IFERROR(__xludf.DUMMYFUNCTION("STDEV(FILTER('__flatlist__'!G$2:G1004,('__flatlist__'!$A$2:$A1004=$A47)))"),1.1455361035021452)</f>
        <v>1.145536104</v>
      </c>
      <c r="H47" s="10">
        <f>IFERROR(__xludf.DUMMYFUNCTION("STDEV(FILTER('__flatlist__'!H$2:H1004,('__flatlist__'!$A$2:$A1004=$A47)))"),1.222322030499761)</f>
        <v>1.22232203</v>
      </c>
      <c r="I47" s="47">
        <f>IFERROR(__xludf.DUMMYFUNCTION("STDEV(FILTER('__flatlist__'!I$2:I1004,('__flatlist__'!$A$2:$A1004=$A47)))"),1.0997664142934647)</f>
        <v>1.099766414</v>
      </c>
      <c r="K47" s="3"/>
      <c r="M47" s="4"/>
      <c r="N47" s="10"/>
    </row>
    <row r="48">
      <c r="A48" s="25" t="str">
        <f>'🤖 Claude Sonnet 3.5'!$A$22</f>
        <v>https://www.berria.eus/euskal-herria/sexu-indarkeriaren-biktimentzako-zentro-bat-zabaldu-dute-araban_2124914_102.html</v>
      </c>
      <c r="B48" s="6"/>
      <c r="D48" s="8">
        <f>IFERROR(__xludf.DUMMYFUNCTION("STDEV(FILTER('__flatlist__'!D$2:D1004,('__flatlist__'!$A$2:$A1004=$A48)))"),0.14867165243486305)</f>
        <v>0.1486716524</v>
      </c>
      <c r="E48" s="10">
        <f>IFERROR(__xludf.DUMMYFUNCTION("STDEV(FILTER('__flatlist__'!E$2:E1004,('__flatlist__'!$A$2:$A1004=$A48)))"),0.6653478391304605)</f>
        <v>0.6653478391</v>
      </c>
      <c r="F48" s="10">
        <f>IFERROR(__xludf.DUMMYFUNCTION("STDEV(FILTER('__flatlist__'!F$2:F1004,('__flatlist__'!$A$2:$A1004=$A48)))"),0.6563764465043604)</f>
        <v>0.6563764465</v>
      </c>
      <c r="G48" s="10">
        <f>IFERROR(__xludf.DUMMYFUNCTION("STDEV(FILTER('__flatlist__'!G$2:G1004,('__flatlist__'!$A$2:$A1004=$A48)))"),0.7877520927828722)</f>
        <v>0.7877520928</v>
      </c>
      <c r="H48" s="10">
        <f>IFERROR(__xludf.DUMMYFUNCTION("STDEV(FILTER('__flatlist__'!H$2:H1004,('__flatlist__'!$A$2:$A1004=$A48)))"),0.8434823356733001)</f>
        <v>0.8434823357</v>
      </c>
      <c r="I48" s="47">
        <f>IFERROR(__xludf.DUMMYFUNCTION("STDEV(FILTER('__flatlist__'!I$2:I1004,('__flatlist__'!$A$2:$A1004=$A48)))"),0.8458220969937151)</f>
        <v>0.845822097</v>
      </c>
      <c r="K48" s="3"/>
      <c r="M48" s="4"/>
      <c r="N48" s="10"/>
    </row>
    <row r="49">
      <c r="A49" s="27"/>
      <c r="B49" s="12" t="s">
        <v>20</v>
      </c>
      <c r="C49" s="23"/>
      <c r="D49" s="14">
        <f>IFERROR(__xludf.DUMMYFUNCTION("STDEV(FILTER('__flatlist__'!D$2:D1004,('__flatlist__'!$B$2:$B1004=$B49)))"),0.297448197062544)</f>
        <v>0.2974481971</v>
      </c>
      <c r="E49" s="38">
        <f>IFERROR(__xludf.DUMMYFUNCTION("STDEV(FILTER('__flatlist__'!E$2:E1004,('__flatlist__'!$B$2:$B1004=$B49)))"),0.9445132413883328)</f>
        <v>0.9445132414</v>
      </c>
      <c r="F49" s="38">
        <f>IFERROR(__xludf.DUMMYFUNCTION("STDEV(FILTER('__flatlist__'!F$2:F1004,('__flatlist__'!$B$2:$B1004=$B49)))"),0.44426165831931885)</f>
        <v>0.4442616583</v>
      </c>
      <c r="G49" s="38">
        <f>IFERROR(__xludf.DUMMYFUNCTION("STDEV(FILTER('__flatlist__'!G$2:G1004,('__flatlist__'!$B$2:$B1004=$B49)))"),0.4701623459816273)</f>
        <v>0.470162346</v>
      </c>
      <c r="H49" s="38">
        <f>IFERROR(__xludf.DUMMYFUNCTION("STDEV(FILTER('__flatlist__'!H$2:H1004,('__flatlist__'!$B$2:$B1004=$B49)))"),0.7863975156570492)</f>
        <v>0.7863975157</v>
      </c>
      <c r="I49" s="46">
        <f>IFERROR(__xludf.DUMMYFUNCTION("STDEV(FILTER('__flatlist__'!I$2:I1004,('__flatlist__'!$B$2:$B1004=$B49)))"),0.48936048492959316)</f>
        <v>0.4893604849</v>
      </c>
      <c r="K49" s="3"/>
      <c r="M49" s="4"/>
      <c r="N49" s="10"/>
    </row>
    <row r="50">
      <c r="A50" s="29"/>
      <c r="B50" s="6" t="s">
        <v>24</v>
      </c>
      <c r="D50" s="8">
        <f>IFERROR(__xludf.DUMMYFUNCTION("STDEV(FILTER('__flatlist__'!D$2:D1004,('__flatlist__'!$B$2:$B1004=$B50)))"),0.2642446013627421)</f>
        <v>0.2642446014</v>
      </c>
      <c r="E50" s="10">
        <f>IFERROR(__xludf.DUMMYFUNCTION("STDEV(FILTER('__flatlist__'!E$2:E1004,('__flatlist__'!$B$2:$B1004=$B50)))"),0.8645047258706174)</f>
        <v>0.8645047259</v>
      </c>
      <c r="F50" s="10">
        <f>IFERROR(__xludf.DUMMYFUNCTION("STDEV(FILTER('__flatlist__'!F$2:F1004,('__flatlist__'!$B$2:$B1004=$B50)))"),0.8870412083230168)</f>
        <v>0.8870412083</v>
      </c>
      <c r="G50" s="10">
        <f>IFERROR(__xludf.DUMMYFUNCTION("STDEV(FILTER('__flatlist__'!G$2:G1004,('__flatlist__'!$B$2:$B1004=$B50)))"),0.9445132413883327)</f>
        <v>0.9445132414</v>
      </c>
      <c r="H50" s="10">
        <f>IFERROR(__xludf.DUMMYFUNCTION("STDEV(FILTER('__flatlist__'!H$2:H1004,('__flatlist__'!$B$2:$B1004=$B50)))"),0.887041208323017)</f>
        <v>0.8870412083</v>
      </c>
      <c r="I50" s="47">
        <f>IFERROR(__xludf.DUMMYFUNCTION("STDEV(FILTER('__flatlist__'!I$2:I1004,('__flatlist__'!$B$2:$B1004=$B50)))"),0.9880869341680844)</f>
        <v>0.9880869342</v>
      </c>
      <c r="K50" s="3"/>
      <c r="M50" s="4"/>
      <c r="N50" s="10"/>
    </row>
    <row r="51">
      <c r="A51" s="29"/>
      <c r="B51" s="6" t="s">
        <v>25</v>
      </c>
      <c r="D51" s="8">
        <f>IFERROR(__xludf.DUMMYFUNCTION("STDEV(FILTER('__flatlist__'!D$2:D1004,('__flatlist__'!$B$2:$B1004=$B51)))"),0.2644049701972067)</f>
        <v>0.2644049702</v>
      </c>
      <c r="E51" s="10">
        <f>IFERROR(__xludf.DUMMYFUNCTION("STDEV(FILTER('__flatlist__'!E$2:E1004,('__flatlist__'!$B$2:$B1004=$B51)))"),0.7163503994113789)</f>
        <v>0.7163503994</v>
      </c>
      <c r="F51" s="10">
        <f>IFERROR(__xludf.DUMMYFUNCTION("STDEV(FILTER('__flatlist__'!F$2:F1004,('__flatlist__'!$B$2:$B1004=$B51)))"),0.5871429486123998)</f>
        <v>0.5871429486</v>
      </c>
      <c r="G51" s="10">
        <f>IFERROR(__xludf.DUMMYFUNCTION("STDEV(FILTER('__flatlist__'!G$2:G1004,('__flatlist__'!$B$2:$B1004=$B51)))"),0.5982430416161187)</f>
        <v>0.5982430416</v>
      </c>
      <c r="H51" s="10">
        <f>IFERROR(__xludf.DUMMYFUNCTION("STDEV(FILTER('__flatlist__'!H$2:H1004,('__flatlist__'!$B$2:$B1004=$B51)))"),1.145931016569864)</f>
        <v>1.145931017</v>
      </c>
      <c r="I51" s="47">
        <f>IFERROR(__xludf.DUMMYFUNCTION("STDEV(FILTER('__flatlist__'!I$2:I1004,('__flatlist__'!$B$2:$B1004=$B51)))"),0.6805570473787205)</f>
        <v>0.6805570474</v>
      </c>
      <c r="K51" s="3"/>
      <c r="M51" s="4"/>
      <c r="N51" s="10"/>
    </row>
    <row r="52">
      <c r="A52" s="29"/>
      <c r="B52" s="6" t="s">
        <v>26</v>
      </c>
      <c r="D52" s="8">
        <f>IFERROR(__xludf.DUMMYFUNCTION("STDEV(FILTER('__flatlist__'!D$2:D1004,('__flatlist__'!$B$2:$B1004=$B52)))"),0.3007603670262448)</f>
        <v>0.300760367</v>
      </c>
      <c r="E52" s="10">
        <f>IFERROR(__xludf.DUMMYFUNCTION("STDEV(FILTER('__flatlist__'!E$2:E1004,('__flatlist__'!$B$2:$B1004=$B52)))"),0.8506963092234007)</f>
        <v>0.8506963092</v>
      </c>
      <c r="F52" s="10">
        <f>IFERROR(__xludf.DUMMYFUNCTION("STDEV(FILTER('__flatlist__'!F$2:F1004,('__flatlist__'!$B$2:$B1004=$B52)))"),0.6155870112510924)</f>
        <v>0.6155870113</v>
      </c>
      <c r="G52" s="10">
        <f>IFERROR(__xludf.DUMMYFUNCTION("STDEV(FILTER('__flatlist__'!G$2:G1004,('__flatlist__'!$B$2:$B1004=$B52)))"),0.5982430416161189)</f>
        <v>0.5982430416</v>
      </c>
      <c r="H52" s="10">
        <f>IFERROR(__xludf.DUMMYFUNCTION("STDEV(FILTER('__flatlist__'!H$2:H1004,('__flatlist__'!$B$2:$B1004=$B52)))"),1.0711528467275955)</f>
        <v>1.071152847</v>
      </c>
      <c r="I52" s="47">
        <f>IFERROR(__xludf.DUMMYFUNCTION("STDEV(FILTER('__flatlist__'!I$2:I1004,('__flatlist__'!$B$2:$B1004=$B52)))"),0.8207826816681233)</f>
        <v>0.8207826817</v>
      </c>
      <c r="K52" s="3"/>
      <c r="M52" s="4"/>
      <c r="N52" s="10"/>
    </row>
    <row r="53">
      <c r="A53" s="31"/>
      <c r="B53" s="32" t="s">
        <v>27</v>
      </c>
      <c r="C53" s="33"/>
      <c r="D53" s="34">
        <f>IFERROR(__xludf.DUMMYFUNCTION("STDEV(FILTER('__flatlist__'!D$2:D1004,('__flatlist__'!$B$2:$B1004=$B53)))"),0.23426878610593177)</f>
        <v>0.2342687861</v>
      </c>
      <c r="E53" s="42">
        <f>IFERROR(__xludf.DUMMYFUNCTION("STDEV(FILTER('__flatlist__'!E$2:E1004,('__flatlist__'!$B$2:$B1004=$B53)))"),0.998683343734455)</f>
        <v>0.9986833437</v>
      </c>
      <c r="F53" s="42">
        <f>IFERROR(__xludf.DUMMYFUNCTION("STDEV(FILTER('__flatlist__'!F$2:F1004,('__flatlist__'!$B$2:$B1004=$B53)))"),0.670820393249937)</f>
        <v>0.6708203932</v>
      </c>
      <c r="G53" s="42">
        <f>IFERROR(__xludf.DUMMYFUNCTION("STDEV(FILTER('__flatlist__'!G$2:G1004,('__flatlist__'!$B$2:$B1004=$B53)))"),0.6048053188292997)</f>
        <v>0.6048053188</v>
      </c>
      <c r="H53" s="42">
        <f>IFERROR(__xludf.DUMMYFUNCTION("STDEV(FILTER('__flatlist__'!H$2:H1004,('__flatlist__'!$B$2:$B1004=$B53)))"),1.0990426455975695)</f>
        <v>1.099042646</v>
      </c>
      <c r="I53" s="48">
        <f>IFERROR(__xludf.DUMMYFUNCTION("STDEV(FILTER('__flatlist__'!I$2:I1004,('__flatlist__'!$B$2:$B1004=$B53)))"),0.9445132413883326)</f>
        <v>0.9445132414</v>
      </c>
      <c r="K53" s="3"/>
      <c r="M53" s="4"/>
      <c r="N53" s="10"/>
    </row>
    <row r="54">
      <c r="A54" s="37"/>
      <c r="B54" s="23"/>
      <c r="C54" s="13" t="s">
        <v>21</v>
      </c>
      <c r="D54" s="14">
        <f>IFERROR(__xludf.DUMMYFUNCTION("STDEV(FILTER('__flatlist__'!D$2:D1004,('__flatlist__'!$C$2:$C1004=$C54)))"),0.3294411073432889)</f>
        <v>0.3294411073</v>
      </c>
      <c r="E54" s="38">
        <f>IFERROR(__xludf.DUMMYFUNCTION("STDEV(FILTER('__flatlist__'!E$2:E1004,('__flatlist__'!$C$2:$C1004=$C54)))"),0.9521904571390467)</f>
        <v>0.9521904571</v>
      </c>
      <c r="F54" s="38">
        <f>IFERROR(__xludf.DUMMYFUNCTION("STDEV(FILTER('__flatlist__'!F$2:F1004,('__flatlist__'!$C$2:$C1004=$C54)))"),0.7637626158259734)</f>
        <v>0.7637626158</v>
      </c>
      <c r="G54" s="38">
        <f>IFERROR(__xludf.DUMMYFUNCTION("STDEV(FILTER('__flatlist__'!G$2:G1004,('__flatlist__'!$C$2:$C1004=$C54)))"),0.9865765724632496)</f>
        <v>0.9865765725</v>
      </c>
      <c r="H54" s="38">
        <f>IFERROR(__xludf.DUMMYFUNCTION("STDEV(FILTER('__flatlist__'!H$2:H1004,('__flatlist__'!$C$2:$C1004=$C54)))"),1.1902380714238083)</f>
        <v>1.190238071</v>
      </c>
      <c r="I54" s="46">
        <f>IFERROR(__xludf.DUMMYFUNCTION("STDEV(FILTER('__flatlist__'!I$2:I1004,('__flatlist__'!$C$2:$C1004=$C54)))"),0.957427107756338)</f>
        <v>0.9574271078</v>
      </c>
      <c r="K54" s="3"/>
      <c r="M54" s="4"/>
      <c r="N54" s="10"/>
    </row>
    <row r="55">
      <c r="A55" s="39"/>
      <c r="C55" s="7" t="s">
        <v>22</v>
      </c>
      <c r="D55" s="8">
        <f>IFERROR(__xludf.DUMMYFUNCTION("STDEV(FILTER('__flatlist__'!D$2:D1004,('__flatlist__'!$C$2:$C1004=$C55)))"),0.24136641365862113)</f>
        <v>0.2413664137</v>
      </c>
      <c r="E55" s="10">
        <f>IFERROR(__xludf.DUMMYFUNCTION("STDEV(FILTER('__flatlist__'!E$2:E1004,('__flatlist__'!$C$2:$C1004=$C55)))"),0.9574271077563382)</f>
        <v>0.9574271078</v>
      </c>
      <c r="F55" s="10">
        <f>IFERROR(__xludf.DUMMYFUNCTION("STDEV(FILTER('__flatlist__'!F$2:F1004,('__flatlist__'!$C$2:$C1004=$C55)))"),0.8793937305515278)</f>
        <v>0.8793937306</v>
      </c>
      <c r="G55" s="10">
        <f>IFERROR(__xludf.DUMMYFUNCTION("STDEV(FILTER('__flatlist__'!G$2:G1004,('__flatlist__'!$C$2:$C1004=$C55)))"),1.1298967504452193)</f>
        <v>1.12989675</v>
      </c>
      <c r="H55" s="10">
        <f>IFERROR(__xludf.DUMMYFUNCTION("STDEV(FILTER('__flatlist__'!H$2:H1004,('__flatlist__'!$C$2:$C1004=$C55)))"),1.0754843869934452)</f>
        <v>1.075484387</v>
      </c>
      <c r="I55" s="47">
        <f>IFERROR(__xludf.DUMMYFUNCTION("STDEV(FILTER('__flatlist__'!I$2:I1004,('__flatlist__'!$C$2:$C1004=$C55)))"),1.1575836902790226)</f>
        <v>1.15758369</v>
      </c>
      <c r="K55" s="3"/>
      <c r="M55" s="4"/>
      <c r="N55" s="10"/>
    </row>
    <row r="56">
      <c r="A56" s="39"/>
      <c r="C56" s="7" t="s">
        <v>8</v>
      </c>
      <c r="D56" s="8">
        <f>IFERROR(__xludf.DUMMYFUNCTION("STDEV(FILTER('__flatlist__'!D$2:D1004,('__flatlist__'!$C$2:$C1004=$C56)))"),0.27057895629032547)</f>
        <v>0.2705789563</v>
      </c>
      <c r="E56" s="10">
        <f>IFERROR(__xludf.DUMMYFUNCTION("STDEV(FILTER('__flatlist__'!E$2:E1004,('__flatlist__'!$C$2:$C1004=$C56)))"),0.7118052168020876)</f>
        <v>0.7118052168</v>
      </c>
      <c r="F56" s="10">
        <f>IFERROR(__xludf.DUMMYFUNCTION("STDEV(FILTER('__flatlist__'!F$2:F1004,('__flatlist__'!$C$2:$C1004=$C56)))"),0.7023769168568491)</f>
        <v>0.7023769169</v>
      </c>
      <c r="G56" s="10">
        <f>IFERROR(__xludf.DUMMYFUNCTION("STDEV(FILTER('__flatlist__'!G$2:G1004,('__flatlist__'!$C$2:$C1004=$C56)))"),0.9539392014169454)</f>
        <v>0.9539392014</v>
      </c>
      <c r="H56" s="10">
        <f>IFERROR(__xludf.DUMMYFUNCTION("STDEV(FILTER('__flatlist__'!H$2:H1004,('__flatlist__'!$C$2:$C1004=$C56)))"),0.5773502691896257)</f>
        <v>0.5773502692</v>
      </c>
      <c r="I56" s="47">
        <f>IFERROR(__xludf.DUMMYFUNCTION("STDEV(FILTER('__flatlist__'!I$2:I1004,('__flatlist__'!$C$2:$C1004=$C56)))"),0.7810249675906653)</f>
        <v>0.7810249676</v>
      </c>
      <c r="K56" s="3"/>
      <c r="M56" s="4"/>
      <c r="N56" s="10"/>
    </row>
    <row r="57">
      <c r="A57" s="40"/>
      <c r="B57" s="33"/>
      <c r="C57" s="41" t="s">
        <v>23</v>
      </c>
      <c r="D57" s="34">
        <f>IFERROR(__xludf.DUMMYFUNCTION("STDEV(FILTER('__flatlist__'!D$2:D1004,('__flatlist__'!$C$2:$C1004=$C57)))"),0.19730802990243596)</f>
        <v>0.1973080299</v>
      </c>
      <c r="E57" s="42">
        <f>IFERROR(__xludf.DUMMYFUNCTION("STDEV(FILTER('__flatlist__'!E$2:E1004,('__flatlist__'!$C$2:$C1004=$C57)))"),0.6454972243679027)</f>
        <v>0.6454972244</v>
      </c>
      <c r="F57" s="42">
        <f>IFERROR(__xludf.DUMMYFUNCTION("STDEV(FILTER('__flatlist__'!F$2:F1004,('__flatlist__'!$C$2:$C1004=$C57)))"),0.6506407098647712)</f>
        <v>0.6506407099</v>
      </c>
      <c r="G57" s="42">
        <f>IFERROR(__xludf.DUMMYFUNCTION("STDEV(FILTER('__flatlist__'!G$2:G1004,('__flatlist__'!$C$2:$C1004=$C57)))"),1.0923979738782625)</f>
        <v>1.092397974</v>
      </c>
      <c r="H57" s="42">
        <f>IFERROR(__xludf.DUMMYFUNCTION("STDEV(FILTER('__flatlist__'!H$2:H1004,('__flatlist__'!$C$2:$C1004=$C57)))"),0.7637626158259734)</f>
        <v>0.7637626158</v>
      </c>
      <c r="I57" s="48">
        <f>IFERROR(__xludf.DUMMYFUNCTION("STDEV(FILTER('__flatlist__'!I$2:I1004,('__flatlist__'!$C$2:$C1004=$C57)))"),1.053565375285274)</f>
        <v>1.053565375</v>
      </c>
      <c r="K57" s="3"/>
      <c r="M57" s="4"/>
      <c r="N57" s="10"/>
    </row>
    <row r="58">
      <c r="K58" s="3"/>
      <c r="M58" s="4"/>
      <c r="N58" s="10"/>
    </row>
    <row r="59">
      <c r="K59" s="3"/>
      <c r="M59" s="4"/>
      <c r="N59" s="10"/>
    </row>
    <row r="60">
      <c r="K60" s="3"/>
      <c r="M60" s="4"/>
      <c r="N60" s="10"/>
    </row>
    <row r="61">
      <c r="K61" s="3"/>
      <c r="M61" s="4"/>
      <c r="N61" s="10"/>
    </row>
    <row r="62">
      <c r="D62" s="49"/>
      <c r="K62" s="3"/>
      <c r="M62" s="4"/>
      <c r="N62" s="10"/>
    </row>
    <row r="63">
      <c r="K63" s="3"/>
      <c r="M63" s="4"/>
      <c r="N63" s="10"/>
    </row>
    <row r="64">
      <c r="K64" s="3"/>
      <c r="M64" s="4"/>
      <c r="N64" s="10"/>
    </row>
    <row r="65">
      <c r="K65" s="3"/>
      <c r="M65" s="4"/>
      <c r="N65" s="10"/>
    </row>
    <row r="66">
      <c r="K66" s="3"/>
      <c r="M66" s="4"/>
      <c r="N66" s="10"/>
    </row>
    <row r="67">
      <c r="K67" s="3"/>
      <c r="M67" s="4"/>
      <c r="N67" s="10"/>
    </row>
    <row r="68">
      <c r="K68" s="3"/>
      <c r="M68" s="4"/>
      <c r="N68" s="10"/>
    </row>
    <row r="69">
      <c r="K69" s="3"/>
      <c r="M69" s="4"/>
      <c r="N69" s="10"/>
    </row>
    <row r="70">
      <c r="K70" s="3"/>
      <c r="M70" s="4"/>
      <c r="N70" s="10"/>
    </row>
    <row r="71">
      <c r="K71" s="3"/>
      <c r="M71" s="4"/>
      <c r="N71" s="10"/>
    </row>
    <row r="72">
      <c r="K72" s="3"/>
      <c r="M72" s="4"/>
      <c r="N72" s="10"/>
    </row>
    <row r="73">
      <c r="K73" s="3"/>
      <c r="M73" s="4"/>
      <c r="N73" s="10"/>
    </row>
    <row r="74">
      <c r="K74" s="3"/>
      <c r="M74" s="4"/>
      <c r="N74" s="10"/>
    </row>
    <row r="75">
      <c r="K75" s="3"/>
      <c r="M75" s="4"/>
      <c r="N75" s="10"/>
    </row>
    <row r="76">
      <c r="K76" s="3"/>
      <c r="M76" s="4"/>
      <c r="N76" s="10"/>
    </row>
    <row r="77">
      <c r="K77" s="3"/>
      <c r="M77" s="4"/>
      <c r="N77" s="10"/>
    </row>
    <row r="78">
      <c r="K78" s="3"/>
      <c r="M78" s="4"/>
      <c r="N78" s="10"/>
    </row>
    <row r="79">
      <c r="K79" s="3"/>
      <c r="M79" s="4"/>
      <c r="N79" s="10"/>
    </row>
    <row r="80">
      <c r="K80" s="3"/>
      <c r="M80" s="4"/>
      <c r="N80" s="10"/>
    </row>
    <row r="81">
      <c r="K81" s="3"/>
      <c r="M81" s="4"/>
      <c r="N81" s="10"/>
    </row>
    <row r="82">
      <c r="K82" s="3"/>
      <c r="M82" s="4"/>
      <c r="N82" s="10"/>
    </row>
    <row r="83">
      <c r="K83" s="3"/>
      <c r="M83" s="4"/>
      <c r="N83" s="10"/>
    </row>
    <row r="84">
      <c r="K84" s="3"/>
      <c r="M84" s="4"/>
      <c r="N84" s="10"/>
    </row>
    <row r="85">
      <c r="K85" s="3"/>
      <c r="M85" s="4"/>
      <c r="N85" s="10"/>
    </row>
    <row r="86">
      <c r="K86" s="3"/>
      <c r="M86" s="4"/>
      <c r="N86" s="10"/>
    </row>
    <row r="87">
      <c r="K87" s="3"/>
      <c r="M87" s="4"/>
      <c r="N87" s="10"/>
    </row>
    <row r="88">
      <c r="K88" s="3"/>
      <c r="M88" s="4"/>
      <c r="N88" s="10"/>
    </row>
    <row r="89">
      <c r="K89" s="3"/>
      <c r="M89" s="4"/>
      <c r="N89" s="10"/>
    </row>
    <row r="90">
      <c r="K90" s="3"/>
      <c r="M90" s="4"/>
      <c r="N90" s="10"/>
    </row>
    <row r="91">
      <c r="K91" s="3"/>
      <c r="M91" s="4"/>
      <c r="N91" s="10"/>
    </row>
    <row r="92">
      <c r="K92" s="3"/>
      <c r="M92" s="4"/>
      <c r="N92" s="10"/>
    </row>
    <row r="93">
      <c r="K93" s="3"/>
      <c r="M93" s="4"/>
      <c r="N93" s="10"/>
    </row>
    <row r="94">
      <c r="K94" s="3"/>
      <c r="M94" s="4"/>
      <c r="N94" s="10"/>
    </row>
    <row r="95">
      <c r="K95" s="3"/>
      <c r="M95" s="4"/>
      <c r="N95" s="10"/>
    </row>
    <row r="96">
      <c r="K96" s="3"/>
      <c r="M96" s="4"/>
      <c r="N96" s="10"/>
    </row>
    <row r="97">
      <c r="K97" s="3"/>
      <c r="M97" s="4"/>
      <c r="N97" s="10"/>
    </row>
    <row r="98">
      <c r="K98" s="3"/>
      <c r="M98" s="4"/>
      <c r="N98" s="10"/>
    </row>
    <row r="99">
      <c r="K99" s="3"/>
      <c r="M99" s="4"/>
      <c r="N99" s="10"/>
    </row>
    <row r="100">
      <c r="K100" s="3"/>
      <c r="M100" s="4"/>
      <c r="N100" s="10"/>
    </row>
    <row r="101">
      <c r="K101" s="3"/>
      <c r="M101" s="4"/>
      <c r="N101" s="10"/>
    </row>
    <row r="102">
      <c r="K102" s="3"/>
      <c r="M102" s="4"/>
      <c r="N102" s="10"/>
    </row>
    <row r="103">
      <c r="K103" s="3"/>
      <c r="M103" s="4"/>
      <c r="N103" s="10"/>
    </row>
    <row r="104">
      <c r="K104" s="3"/>
      <c r="M104" s="4"/>
      <c r="N104" s="10"/>
    </row>
    <row r="105">
      <c r="K105" s="3"/>
      <c r="M105" s="4"/>
      <c r="N105" s="10"/>
    </row>
    <row r="106">
      <c r="K106" s="3"/>
      <c r="M106" s="4"/>
      <c r="N106" s="10"/>
    </row>
    <row r="107">
      <c r="K107" s="3"/>
      <c r="M107" s="4"/>
      <c r="N107" s="10"/>
    </row>
    <row r="108">
      <c r="K108" s="3"/>
      <c r="M108" s="4"/>
      <c r="N108" s="10"/>
    </row>
    <row r="109">
      <c r="K109" s="3"/>
      <c r="M109" s="4"/>
      <c r="N109" s="10"/>
    </row>
    <row r="110">
      <c r="K110" s="3"/>
      <c r="M110" s="4"/>
      <c r="N110" s="10"/>
    </row>
    <row r="111">
      <c r="K111" s="3"/>
      <c r="M111" s="4"/>
      <c r="N111" s="10"/>
    </row>
    <row r="112">
      <c r="K112" s="3"/>
      <c r="M112" s="4"/>
      <c r="N112" s="10"/>
    </row>
    <row r="113">
      <c r="K113" s="3"/>
      <c r="M113" s="4"/>
      <c r="N113" s="10"/>
    </row>
    <row r="114">
      <c r="K114" s="3"/>
      <c r="M114" s="4"/>
      <c r="N114" s="10"/>
    </row>
    <row r="115">
      <c r="K115" s="3"/>
      <c r="M115" s="4"/>
      <c r="N115" s="10"/>
    </row>
    <row r="116">
      <c r="K116" s="3"/>
      <c r="M116" s="4"/>
      <c r="N116" s="10"/>
    </row>
    <row r="117">
      <c r="K117" s="3"/>
      <c r="M117" s="4"/>
      <c r="N117" s="10"/>
    </row>
    <row r="118">
      <c r="K118" s="3"/>
      <c r="M118" s="4"/>
      <c r="N118" s="10"/>
    </row>
    <row r="119">
      <c r="K119" s="3"/>
      <c r="M119" s="4"/>
      <c r="N119" s="10"/>
    </row>
    <row r="120">
      <c r="K120" s="3"/>
      <c r="M120" s="4"/>
      <c r="N120" s="10"/>
    </row>
    <row r="121">
      <c r="K121" s="3"/>
      <c r="M121" s="4"/>
      <c r="N121" s="10"/>
    </row>
    <row r="122">
      <c r="K122" s="3"/>
      <c r="M122" s="4"/>
      <c r="N122" s="10"/>
    </row>
    <row r="123">
      <c r="K123" s="3"/>
      <c r="M123" s="4"/>
      <c r="N123" s="10"/>
    </row>
    <row r="124">
      <c r="K124" s="3"/>
      <c r="M124" s="4"/>
      <c r="N124" s="10"/>
    </row>
    <row r="125">
      <c r="K125" s="3"/>
      <c r="M125" s="4"/>
      <c r="N125" s="10"/>
    </row>
    <row r="126">
      <c r="K126" s="3"/>
      <c r="M126" s="4"/>
      <c r="N126" s="10"/>
    </row>
    <row r="127">
      <c r="K127" s="3"/>
      <c r="M127" s="4"/>
      <c r="N127" s="10"/>
    </row>
    <row r="128">
      <c r="K128" s="3"/>
      <c r="M128" s="4"/>
      <c r="N128" s="10"/>
    </row>
    <row r="129">
      <c r="K129" s="3"/>
      <c r="M129" s="4"/>
      <c r="N129" s="10"/>
    </row>
    <row r="130">
      <c r="K130" s="3"/>
      <c r="M130" s="4"/>
      <c r="N130" s="10"/>
    </row>
    <row r="131">
      <c r="K131" s="3"/>
      <c r="M131" s="4"/>
      <c r="N131" s="10"/>
    </row>
    <row r="132">
      <c r="K132" s="3"/>
      <c r="M132" s="4"/>
      <c r="N132" s="10"/>
    </row>
    <row r="133">
      <c r="K133" s="3"/>
      <c r="M133" s="4"/>
      <c r="N133" s="10"/>
    </row>
    <row r="134">
      <c r="K134" s="3"/>
      <c r="M134" s="4"/>
      <c r="N134" s="10"/>
    </row>
    <row r="135">
      <c r="K135" s="3"/>
      <c r="M135" s="4"/>
      <c r="N135" s="10"/>
    </row>
    <row r="136">
      <c r="K136" s="3"/>
      <c r="M136" s="4"/>
      <c r="N136" s="10"/>
    </row>
    <row r="137">
      <c r="K137" s="3"/>
      <c r="M137" s="4"/>
      <c r="N137" s="10"/>
    </row>
    <row r="138">
      <c r="K138" s="3"/>
      <c r="M138" s="4"/>
      <c r="N138" s="10"/>
    </row>
    <row r="139">
      <c r="K139" s="3"/>
      <c r="M139" s="4"/>
      <c r="N139" s="10"/>
    </row>
    <row r="140">
      <c r="K140" s="3"/>
      <c r="M140" s="4"/>
      <c r="N140" s="10"/>
    </row>
    <row r="141">
      <c r="K141" s="3"/>
      <c r="M141" s="4"/>
      <c r="N141" s="10"/>
    </row>
    <row r="142">
      <c r="K142" s="3"/>
      <c r="M142" s="4"/>
      <c r="N142" s="10"/>
    </row>
    <row r="143">
      <c r="K143" s="3"/>
      <c r="M143" s="4"/>
      <c r="N143" s="10"/>
    </row>
    <row r="144">
      <c r="K144" s="3"/>
      <c r="M144" s="4"/>
      <c r="N144" s="10"/>
    </row>
    <row r="145">
      <c r="K145" s="3"/>
      <c r="M145" s="4"/>
      <c r="N145" s="10"/>
    </row>
    <row r="146">
      <c r="K146" s="3"/>
      <c r="M146" s="4"/>
      <c r="N146" s="10"/>
    </row>
    <row r="147">
      <c r="K147" s="3"/>
      <c r="M147" s="4"/>
      <c r="N147" s="10"/>
    </row>
    <row r="148">
      <c r="K148" s="3"/>
      <c r="M148" s="4"/>
      <c r="N148" s="10"/>
    </row>
    <row r="149">
      <c r="K149" s="3"/>
      <c r="M149" s="4"/>
      <c r="N149" s="10"/>
    </row>
    <row r="150">
      <c r="K150" s="3"/>
      <c r="M150" s="4"/>
      <c r="N150" s="10"/>
    </row>
    <row r="151">
      <c r="K151" s="3"/>
      <c r="M151" s="4"/>
      <c r="N151" s="10"/>
    </row>
    <row r="152">
      <c r="K152" s="3"/>
      <c r="M152" s="4"/>
      <c r="N152" s="10"/>
    </row>
    <row r="153">
      <c r="K153" s="3"/>
      <c r="M153" s="4"/>
      <c r="N153" s="10"/>
    </row>
    <row r="154">
      <c r="K154" s="3"/>
      <c r="M154" s="4"/>
      <c r="N154" s="10"/>
    </row>
    <row r="155">
      <c r="K155" s="3"/>
      <c r="M155" s="4"/>
      <c r="N155" s="10"/>
    </row>
    <row r="156">
      <c r="K156" s="3"/>
      <c r="M156" s="4"/>
      <c r="N156" s="10"/>
    </row>
    <row r="157">
      <c r="K157" s="3"/>
      <c r="M157" s="4"/>
      <c r="N157" s="10"/>
    </row>
    <row r="158">
      <c r="K158" s="3"/>
      <c r="M158" s="4"/>
      <c r="N158" s="10"/>
    </row>
    <row r="159">
      <c r="K159" s="3"/>
      <c r="M159" s="4"/>
      <c r="N159" s="10"/>
    </row>
    <row r="160">
      <c r="K160" s="3"/>
      <c r="M160" s="4"/>
      <c r="N160" s="10"/>
    </row>
    <row r="161">
      <c r="K161" s="3"/>
      <c r="M161" s="4"/>
      <c r="N161" s="10"/>
    </row>
    <row r="162">
      <c r="K162" s="3"/>
      <c r="M162" s="4"/>
      <c r="N162" s="10"/>
    </row>
    <row r="163">
      <c r="K163" s="3"/>
      <c r="M163" s="4"/>
      <c r="N163" s="10"/>
    </row>
    <row r="164">
      <c r="K164" s="3"/>
      <c r="M164" s="4"/>
      <c r="N164" s="10"/>
    </row>
    <row r="165">
      <c r="K165" s="3"/>
      <c r="M165" s="4"/>
      <c r="N165" s="10"/>
    </row>
    <row r="166">
      <c r="K166" s="3"/>
      <c r="M166" s="4"/>
      <c r="N166" s="10"/>
    </row>
    <row r="167">
      <c r="K167" s="3"/>
      <c r="M167" s="4"/>
      <c r="N167" s="10"/>
    </row>
    <row r="168">
      <c r="K168" s="3"/>
      <c r="M168" s="4"/>
      <c r="N168" s="10"/>
    </row>
    <row r="169">
      <c r="K169" s="3"/>
      <c r="M169" s="4"/>
      <c r="N169" s="10"/>
    </row>
    <row r="170">
      <c r="K170" s="3"/>
      <c r="M170" s="4"/>
      <c r="N170" s="10"/>
    </row>
    <row r="171">
      <c r="K171" s="3"/>
      <c r="M171" s="4"/>
      <c r="N171" s="10"/>
    </row>
    <row r="172">
      <c r="K172" s="3"/>
      <c r="M172" s="4"/>
      <c r="N172" s="10"/>
    </row>
    <row r="173">
      <c r="K173" s="3"/>
      <c r="M173" s="4"/>
      <c r="N173" s="10"/>
    </row>
    <row r="174">
      <c r="K174" s="3"/>
      <c r="M174" s="4"/>
      <c r="N174" s="10"/>
    </row>
    <row r="175">
      <c r="K175" s="3"/>
      <c r="M175" s="4"/>
      <c r="N175" s="10"/>
    </row>
    <row r="176">
      <c r="K176" s="3"/>
      <c r="M176" s="4"/>
      <c r="N176" s="10"/>
    </row>
    <row r="177">
      <c r="K177" s="3"/>
      <c r="M177" s="4"/>
      <c r="N177" s="10"/>
    </row>
    <row r="178">
      <c r="K178" s="3"/>
      <c r="M178" s="4"/>
      <c r="N178" s="10"/>
    </row>
    <row r="179">
      <c r="K179" s="3"/>
      <c r="M179" s="4"/>
      <c r="N179" s="10"/>
    </row>
    <row r="180">
      <c r="K180" s="3"/>
      <c r="M180" s="4"/>
      <c r="N180" s="10"/>
    </row>
    <row r="181">
      <c r="K181" s="3"/>
      <c r="M181" s="4"/>
      <c r="N181" s="10"/>
    </row>
    <row r="182">
      <c r="K182" s="3"/>
      <c r="M182" s="4"/>
      <c r="N182" s="10"/>
    </row>
    <row r="183">
      <c r="K183" s="3"/>
      <c r="M183" s="4"/>
      <c r="N183" s="10"/>
    </row>
    <row r="184">
      <c r="K184" s="3"/>
      <c r="M184" s="4"/>
      <c r="N184" s="10"/>
    </row>
    <row r="185">
      <c r="K185" s="3"/>
      <c r="M185" s="4"/>
      <c r="N185" s="10"/>
    </row>
    <row r="186">
      <c r="K186" s="3"/>
      <c r="M186" s="4"/>
      <c r="N186" s="10"/>
    </row>
    <row r="187">
      <c r="K187" s="3"/>
      <c r="M187" s="4"/>
      <c r="N187" s="10"/>
    </row>
    <row r="188">
      <c r="K188" s="3"/>
      <c r="M188" s="4"/>
      <c r="N188" s="10"/>
    </row>
    <row r="189">
      <c r="K189" s="3"/>
      <c r="M189" s="4"/>
      <c r="N189" s="10"/>
    </row>
    <row r="190">
      <c r="K190" s="3"/>
      <c r="M190" s="4"/>
      <c r="N190" s="10"/>
    </row>
    <row r="191">
      <c r="K191" s="3"/>
      <c r="M191" s="4"/>
      <c r="N191" s="10"/>
    </row>
    <row r="192">
      <c r="K192" s="3"/>
      <c r="M192" s="4"/>
      <c r="N192" s="10"/>
    </row>
    <row r="193">
      <c r="K193" s="3"/>
      <c r="M193" s="4"/>
      <c r="N193" s="10"/>
    </row>
    <row r="194">
      <c r="K194" s="3"/>
      <c r="M194" s="4"/>
      <c r="N194" s="10"/>
    </row>
    <row r="195">
      <c r="K195" s="3"/>
      <c r="M195" s="4"/>
      <c r="N195" s="10"/>
    </row>
    <row r="196">
      <c r="K196" s="3"/>
      <c r="M196" s="4"/>
      <c r="N196" s="10"/>
    </row>
    <row r="197">
      <c r="K197" s="3"/>
      <c r="M197" s="4"/>
      <c r="N197" s="10"/>
    </row>
    <row r="198">
      <c r="K198" s="3"/>
      <c r="M198" s="4"/>
      <c r="N198" s="10"/>
    </row>
    <row r="199">
      <c r="K199" s="3"/>
      <c r="M199" s="4"/>
      <c r="N199" s="10"/>
    </row>
    <row r="200">
      <c r="K200" s="3"/>
      <c r="M200" s="4"/>
      <c r="N200" s="10"/>
    </row>
    <row r="201">
      <c r="K201" s="3"/>
      <c r="M201" s="4"/>
      <c r="N201" s="10"/>
    </row>
    <row r="202">
      <c r="K202" s="3"/>
      <c r="M202" s="4"/>
      <c r="N202" s="10"/>
    </row>
    <row r="203">
      <c r="K203" s="3"/>
      <c r="M203" s="4"/>
      <c r="N203" s="10"/>
    </row>
    <row r="204">
      <c r="K204" s="3"/>
      <c r="M204" s="4"/>
      <c r="N204" s="10"/>
    </row>
    <row r="205">
      <c r="K205" s="3"/>
      <c r="M205" s="4"/>
      <c r="N205" s="10"/>
    </row>
    <row r="206">
      <c r="K206" s="3"/>
      <c r="M206" s="4"/>
      <c r="N206" s="10"/>
    </row>
    <row r="207">
      <c r="K207" s="3"/>
      <c r="M207" s="4"/>
      <c r="N207" s="10"/>
    </row>
    <row r="208">
      <c r="K208" s="3"/>
      <c r="M208" s="4"/>
      <c r="N208" s="10"/>
    </row>
    <row r="209">
      <c r="K209" s="3"/>
      <c r="M209" s="4"/>
      <c r="N209" s="10"/>
    </row>
    <row r="210">
      <c r="K210" s="3"/>
      <c r="M210" s="4"/>
      <c r="N210" s="10"/>
    </row>
    <row r="211">
      <c r="K211" s="3"/>
      <c r="M211" s="4"/>
      <c r="N211" s="10"/>
    </row>
    <row r="212">
      <c r="K212" s="3"/>
      <c r="M212" s="4"/>
      <c r="N212" s="10"/>
    </row>
    <row r="213">
      <c r="K213" s="3"/>
      <c r="M213" s="4"/>
      <c r="N213" s="10"/>
    </row>
    <row r="214">
      <c r="K214" s="3"/>
      <c r="M214" s="4"/>
      <c r="N214" s="10"/>
    </row>
    <row r="215">
      <c r="K215" s="3"/>
      <c r="M215" s="4"/>
      <c r="N215" s="10"/>
    </row>
    <row r="216">
      <c r="K216" s="3"/>
      <c r="M216" s="4"/>
      <c r="N216" s="10"/>
    </row>
    <row r="217">
      <c r="K217" s="3"/>
      <c r="M217" s="4"/>
      <c r="N217" s="10"/>
    </row>
    <row r="218">
      <c r="K218" s="3"/>
      <c r="M218" s="4"/>
      <c r="N218" s="10"/>
    </row>
    <row r="219">
      <c r="K219" s="3"/>
      <c r="M219" s="4"/>
      <c r="N219" s="10"/>
    </row>
    <row r="220">
      <c r="K220" s="3"/>
      <c r="M220" s="4"/>
      <c r="N220" s="10"/>
    </row>
    <row r="221">
      <c r="K221" s="3"/>
      <c r="M221" s="4"/>
      <c r="N221" s="10"/>
    </row>
    <row r="222">
      <c r="K222" s="3"/>
      <c r="M222" s="4"/>
      <c r="N222" s="10"/>
    </row>
    <row r="223">
      <c r="K223" s="3"/>
      <c r="M223" s="4"/>
      <c r="N223" s="10"/>
    </row>
    <row r="224">
      <c r="K224" s="3"/>
      <c r="M224" s="4"/>
      <c r="N224" s="10"/>
    </row>
    <row r="225">
      <c r="K225" s="3"/>
      <c r="M225" s="4"/>
      <c r="N225" s="10"/>
    </row>
    <row r="226">
      <c r="K226" s="3"/>
      <c r="M226" s="4"/>
      <c r="N226" s="10"/>
    </row>
    <row r="227">
      <c r="K227" s="3"/>
      <c r="M227" s="4"/>
      <c r="N227" s="10"/>
    </row>
    <row r="228">
      <c r="K228" s="3"/>
      <c r="M228" s="4"/>
      <c r="N228" s="10"/>
    </row>
    <row r="229">
      <c r="K229" s="3"/>
      <c r="M229" s="4"/>
      <c r="N229" s="10"/>
    </row>
    <row r="230">
      <c r="K230" s="3"/>
      <c r="M230" s="4"/>
      <c r="N230" s="10"/>
    </row>
    <row r="231">
      <c r="K231" s="3"/>
      <c r="M231" s="4"/>
      <c r="N231" s="10"/>
    </row>
    <row r="232">
      <c r="K232" s="3"/>
      <c r="M232" s="4"/>
      <c r="N232" s="10"/>
    </row>
    <row r="233">
      <c r="K233" s="3"/>
      <c r="M233" s="4"/>
      <c r="N233" s="10"/>
    </row>
    <row r="234">
      <c r="K234" s="3"/>
      <c r="M234" s="4"/>
      <c r="N234" s="10"/>
    </row>
    <row r="235">
      <c r="K235" s="3"/>
      <c r="M235" s="4"/>
      <c r="N235" s="10"/>
    </row>
    <row r="236">
      <c r="K236" s="3"/>
      <c r="M236" s="4"/>
      <c r="N236" s="10"/>
    </row>
    <row r="237">
      <c r="K237" s="3"/>
      <c r="M237" s="4"/>
      <c r="N237" s="10"/>
    </row>
    <row r="238">
      <c r="K238" s="3"/>
      <c r="M238" s="4"/>
      <c r="N238" s="10"/>
    </row>
    <row r="239">
      <c r="K239" s="3"/>
      <c r="M239" s="4"/>
      <c r="N239" s="10"/>
    </row>
    <row r="240">
      <c r="K240" s="3"/>
      <c r="M240" s="4"/>
      <c r="N240" s="10"/>
    </row>
    <row r="241">
      <c r="K241" s="3"/>
      <c r="M241" s="4"/>
      <c r="N241" s="10"/>
    </row>
    <row r="242">
      <c r="K242" s="3"/>
      <c r="M242" s="4"/>
      <c r="N242" s="10"/>
    </row>
    <row r="243">
      <c r="K243" s="3"/>
      <c r="M243" s="4"/>
      <c r="N243" s="10"/>
    </row>
    <row r="244">
      <c r="K244" s="3"/>
      <c r="M244" s="4"/>
      <c r="N244" s="10"/>
    </row>
    <row r="245">
      <c r="K245" s="3"/>
      <c r="M245" s="4"/>
      <c r="N245" s="10"/>
    </row>
    <row r="246">
      <c r="K246" s="3"/>
      <c r="M246" s="4"/>
      <c r="N246" s="10"/>
    </row>
    <row r="247">
      <c r="K247" s="3"/>
      <c r="M247" s="4"/>
      <c r="N247" s="10"/>
    </row>
    <row r="248">
      <c r="K248" s="3"/>
      <c r="M248" s="4"/>
      <c r="N248" s="10"/>
    </row>
    <row r="249">
      <c r="K249" s="3"/>
      <c r="M249" s="4"/>
      <c r="N249" s="10"/>
    </row>
    <row r="250">
      <c r="K250" s="3"/>
      <c r="M250" s="4"/>
      <c r="N250" s="10"/>
    </row>
    <row r="251">
      <c r="K251" s="3"/>
      <c r="M251" s="4"/>
      <c r="N251" s="10"/>
    </row>
    <row r="252">
      <c r="K252" s="3"/>
      <c r="M252" s="4"/>
      <c r="N252" s="10"/>
    </row>
    <row r="253">
      <c r="K253" s="3"/>
      <c r="M253" s="4"/>
      <c r="N253" s="10"/>
    </row>
    <row r="254">
      <c r="K254" s="3"/>
      <c r="M254" s="4"/>
      <c r="N254" s="10"/>
    </row>
    <row r="255">
      <c r="K255" s="3"/>
      <c r="M255" s="4"/>
      <c r="N255" s="10"/>
    </row>
    <row r="256">
      <c r="K256" s="3"/>
      <c r="M256" s="4"/>
      <c r="N256" s="10"/>
    </row>
    <row r="257">
      <c r="K257" s="3"/>
      <c r="M257" s="4"/>
      <c r="N257" s="10"/>
    </row>
    <row r="258">
      <c r="K258" s="3"/>
      <c r="M258" s="4"/>
      <c r="N258" s="10"/>
    </row>
    <row r="259">
      <c r="K259" s="3"/>
      <c r="M259" s="4"/>
      <c r="N259" s="10"/>
    </row>
    <row r="260">
      <c r="K260" s="3"/>
      <c r="M260" s="4"/>
      <c r="N260" s="10"/>
    </row>
    <row r="261">
      <c r="K261" s="3"/>
      <c r="M261" s="4"/>
      <c r="N261" s="10"/>
    </row>
    <row r="262">
      <c r="K262" s="3"/>
      <c r="M262" s="4"/>
      <c r="N262" s="10"/>
    </row>
    <row r="263">
      <c r="K263" s="3"/>
      <c r="M263" s="4"/>
      <c r="N263" s="10"/>
    </row>
    <row r="264">
      <c r="K264" s="3"/>
      <c r="M264" s="4"/>
      <c r="N264" s="10"/>
    </row>
    <row r="265">
      <c r="K265" s="3"/>
      <c r="M265" s="4"/>
      <c r="N265" s="10"/>
    </row>
    <row r="266">
      <c r="K266" s="3"/>
      <c r="M266" s="4"/>
      <c r="N266" s="10"/>
    </row>
    <row r="267">
      <c r="K267" s="3"/>
      <c r="M267" s="4"/>
      <c r="N267" s="10"/>
    </row>
    <row r="268">
      <c r="K268" s="3"/>
      <c r="M268" s="4"/>
      <c r="N268" s="10"/>
    </row>
    <row r="269">
      <c r="K269" s="3"/>
      <c r="M269" s="4"/>
      <c r="N269" s="10"/>
    </row>
    <row r="270">
      <c r="K270" s="3"/>
      <c r="M270" s="4"/>
      <c r="N270" s="10"/>
    </row>
    <row r="271">
      <c r="K271" s="3"/>
      <c r="M271" s="4"/>
      <c r="N271" s="10"/>
    </row>
    <row r="272">
      <c r="K272" s="3"/>
      <c r="M272" s="4"/>
      <c r="N272" s="10"/>
    </row>
    <row r="273">
      <c r="K273" s="3"/>
      <c r="M273" s="4"/>
      <c r="N273" s="10"/>
    </row>
    <row r="274">
      <c r="K274" s="3"/>
      <c r="M274" s="4"/>
      <c r="N274" s="10"/>
    </row>
    <row r="275">
      <c r="K275" s="3"/>
      <c r="M275" s="4"/>
      <c r="N275" s="10"/>
    </row>
    <row r="276">
      <c r="K276" s="3"/>
      <c r="M276" s="4"/>
      <c r="N276" s="10"/>
    </row>
    <row r="277">
      <c r="K277" s="3"/>
      <c r="M277" s="4"/>
      <c r="N277" s="10"/>
    </row>
    <row r="278">
      <c r="K278" s="3"/>
      <c r="M278" s="4"/>
      <c r="N278" s="10"/>
    </row>
    <row r="279">
      <c r="K279" s="3"/>
      <c r="M279" s="4"/>
      <c r="N279" s="10"/>
    </row>
    <row r="280">
      <c r="K280" s="3"/>
      <c r="M280" s="4"/>
      <c r="N280" s="10"/>
    </row>
    <row r="281">
      <c r="K281" s="3"/>
      <c r="M281" s="4"/>
      <c r="N281" s="10"/>
    </row>
    <row r="282">
      <c r="K282" s="3"/>
      <c r="M282" s="4"/>
      <c r="N282" s="10"/>
    </row>
    <row r="283">
      <c r="K283" s="3"/>
      <c r="M283" s="4"/>
      <c r="N283" s="10"/>
    </row>
    <row r="284">
      <c r="K284" s="3"/>
      <c r="M284" s="4"/>
      <c r="N284" s="10"/>
    </row>
    <row r="285">
      <c r="K285" s="3"/>
      <c r="M285" s="4"/>
      <c r="N285" s="10"/>
    </row>
    <row r="286">
      <c r="K286" s="3"/>
      <c r="M286" s="4"/>
      <c r="N286" s="10"/>
    </row>
    <row r="287">
      <c r="K287" s="3"/>
      <c r="M287" s="4"/>
      <c r="N287" s="10"/>
    </row>
    <row r="288">
      <c r="K288" s="3"/>
      <c r="M288" s="4"/>
      <c r="N288" s="10"/>
    </row>
    <row r="289">
      <c r="K289" s="3"/>
      <c r="M289" s="4"/>
      <c r="N289" s="10"/>
    </row>
    <row r="290">
      <c r="K290" s="3"/>
      <c r="M290" s="4"/>
      <c r="N290" s="10"/>
    </row>
    <row r="291">
      <c r="K291" s="3"/>
      <c r="M291" s="4"/>
      <c r="N291" s="10"/>
    </row>
    <row r="292">
      <c r="K292" s="3"/>
      <c r="M292" s="4"/>
      <c r="N292" s="10"/>
    </row>
    <row r="293">
      <c r="K293" s="3"/>
      <c r="M293" s="4"/>
      <c r="N293" s="10"/>
    </row>
    <row r="294">
      <c r="K294" s="3"/>
      <c r="M294" s="4"/>
      <c r="N294" s="10"/>
    </row>
    <row r="295">
      <c r="K295" s="3"/>
      <c r="M295" s="4"/>
      <c r="N295" s="10"/>
    </row>
    <row r="296">
      <c r="K296" s="3"/>
      <c r="M296" s="4"/>
      <c r="N296" s="10"/>
    </row>
    <row r="297">
      <c r="K297" s="3"/>
      <c r="M297" s="4"/>
      <c r="N297" s="10"/>
    </row>
    <row r="298">
      <c r="K298" s="3"/>
      <c r="M298" s="4"/>
      <c r="N298" s="10"/>
    </row>
    <row r="299">
      <c r="K299" s="3"/>
      <c r="M299" s="4"/>
      <c r="N299" s="10"/>
    </row>
    <row r="300">
      <c r="K300" s="3"/>
      <c r="M300" s="4"/>
      <c r="N300" s="10"/>
    </row>
    <row r="301">
      <c r="K301" s="3"/>
      <c r="M301" s="4"/>
      <c r="N301" s="10"/>
    </row>
    <row r="302">
      <c r="K302" s="3"/>
      <c r="M302" s="4"/>
      <c r="N302" s="10"/>
    </row>
    <row r="303">
      <c r="K303" s="3"/>
      <c r="M303" s="4"/>
      <c r="N303" s="10"/>
    </row>
    <row r="304">
      <c r="K304" s="3"/>
      <c r="M304" s="4"/>
      <c r="N304" s="10"/>
    </row>
    <row r="305">
      <c r="K305" s="3"/>
      <c r="M305" s="4"/>
      <c r="N305" s="10"/>
    </row>
    <row r="306">
      <c r="K306" s="3"/>
      <c r="M306" s="4"/>
      <c r="N306" s="10"/>
    </row>
    <row r="307">
      <c r="K307" s="3"/>
      <c r="M307" s="4"/>
      <c r="N307" s="10"/>
    </row>
    <row r="308">
      <c r="K308" s="3"/>
      <c r="M308" s="4"/>
      <c r="N308" s="10"/>
    </row>
    <row r="309">
      <c r="K309" s="3"/>
      <c r="M309" s="4"/>
      <c r="N309" s="10"/>
    </row>
    <row r="310">
      <c r="K310" s="3"/>
      <c r="M310" s="4"/>
      <c r="N310" s="10"/>
    </row>
    <row r="311">
      <c r="K311" s="3"/>
      <c r="M311" s="4"/>
      <c r="N311" s="10"/>
    </row>
    <row r="312">
      <c r="K312" s="3"/>
      <c r="M312" s="4"/>
      <c r="N312" s="10"/>
    </row>
    <row r="313">
      <c r="K313" s="3"/>
      <c r="M313" s="4"/>
      <c r="N313" s="10"/>
    </row>
    <row r="314">
      <c r="K314" s="3"/>
      <c r="M314" s="4"/>
      <c r="N314" s="10"/>
    </row>
    <row r="315">
      <c r="K315" s="3"/>
      <c r="M315" s="4"/>
      <c r="N315" s="10"/>
    </row>
    <row r="316">
      <c r="K316" s="3"/>
      <c r="M316" s="4"/>
      <c r="N316" s="10"/>
    </row>
    <row r="317">
      <c r="K317" s="3"/>
      <c r="M317" s="4"/>
      <c r="N317" s="10"/>
    </row>
    <row r="318">
      <c r="K318" s="3"/>
      <c r="M318" s="4"/>
      <c r="N318" s="10"/>
    </row>
    <row r="319">
      <c r="K319" s="3"/>
      <c r="M319" s="4"/>
      <c r="N319" s="10"/>
    </row>
    <row r="320">
      <c r="K320" s="3"/>
      <c r="M320" s="4"/>
      <c r="N320" s="10"/>
    </row>
    <row r="321">
      <c r="K321" s="3"/>
      <c r="M321" s="4"/>
      <c r="N321" s="10"/>
    </row>
    <row r="322">
      <c r="K322" s="3"/>
      <c r="M322" s="4"/>
      <c r="N322" s="10"/>
    </row>
    <row r="323">
      <c r="K323" s="3"/>
      <c r="M323" s="4"/>
      <c r="N323" s="10"/>
    </row>
    <row r="324">
      <c r="K324" s="3"/>
      <c r="M324" s="4"/>
      <c r="N324" s="10"/>
    </row>
    <row r="325">
      <c r="K325" s="3"/>
      <c r="M325" s="4"/>
      <c r="N325" s="10"/>
    </row>
    <row r="326">
      <c r="K326" s="3"/>
      <c r="M326" s="4"/>
      <c r="N326" s="10"/>
    </row>
    <row r="327">
      <c r="K327" s="3"/>
      <c r="M327" s="4"/>
      <c r="N327" s="10"/>
    </row>
    <row r="328">
      <c r="K328" s="3"/>
      <c r="M328" s="4"/>
      <c r="N328" s="10"/>
    </row>
    <row r="329">
      <c r="K329" s="3"/>
      <c r="M329" s="4"/>
      <c r="N329" s="10"/>
    </row>
    <row r="330">
      <c r="K330" s="3"/>
      <c r="M330" s="4"/>
      <c r="N330" s="10"/>
    </row>
    <row r="331">
      <c r="K331" s="3"/>
      <c r="M331" s="4"/>
      <c r="N331" s="10"/>
    </row>
    <row r="332">
      <c r="K332" s="3"/>
      <c r="M332" s="4"/>
      <c r="N332" s="10"/>
    </row>
    <row r="333">
      <c r="K333" s="3"/>
      <c r="M333" s="4"/>
      <c r="N333" s="10"/>
    </row>
    <row r="334">
      <c r="K334" s="3"/>
      <c r="M334" s="4"/>
      <c r="N334" s="10"/>
    </row>
    <row r="335">
      <c r="K335" s="3"/>
      <c r="M335" s="4"/>
      <c r="N335" s="10"/>
    </row>
    <row r="336">
      <c r="K336" s="3"/>
      <c r="M336" s="4"/>
      <c r="N336" s="10"/>
    </row>
    <row r="337">
      <c r="K337" s="3"/>
      <c r="M337" s="4"/>
      <c r="N337" s="10"/>
    </row>
    <row r="338">
      <c r="K338" s="3"/>
      <c r="M338" s="4"/>
      <c r="N338" s="10"/>
    </row>
    <row r="339">
      <c r="K339" s="3"/>
      <c r="M339" s="4"/>
      <c r="N339" s="10"/>
    </row>
    <row r="340">
      <c r="K340" s="3"/>
      <c r="M340" s="4"/>
      <c r="N340" s="10"/>
    </row>
    <row r="341">
      <c r="K341" s="3"/>
      <c r="M341" s="4"/>
      <c r="N341" s="10"/>
    </row>
    <row r="342">
      <c r="K342" s="3"/>
      <c r="M342" s="4"/>
      <c r="N342" s="10"/>
    </row>
    <row r="343">
      <c r="K343" s="3"/>
      <c r="M343" s="4"/>
      <c r="N343" s="10"/>
    </row>
    <row r="344">
      <c r="K344" s="3"/>
      <c r="M344" s="4"/>
      <c r="N344" s="10"/>
    </row>
    <row r="345">
      <c r="K345" s="3"/>
      <c r="M345" s="4"/>
      <c r="N345" s="10"/>
    </row>
    <row r="346">
      <c r="K346" s="3"/>
      <c r="M346" s="4"/>
      <c r="N346" s="10"/>
    </row>
    <row r="347">
      <c r="K347" s="3"/>
      <c r="M347" s="4"/>
      <c r="N347" s="10"/>
    </row>
    <row r="348">
      <c r="K348" s="3"/>
      <c r="M348" s="4"/>
      <c r="N348" s="10"/>
    </row>
    <row r="349">
      <c r="K349" s="3"/>
      <c r="M349" s="4"/>
      <c r="N349" s="10"/>
    </row>
    <row r="350">
      <c r="K350" s="3"/>
      <c r="M350" s="4"/>
      <c r="N350" s="10"/>
    </row>
    <row r="351">
      <c r="K351" s="3"/>
      <c r="M351" s="4"/>
      <c r="N351" s="10"/>
    </row>
    <row r="352">
      <c r="K352" s="3"/>
      <c r="M352" s="4"/>
      <c r="N352" s="10"/>
    </row>
    <row r="353">
      <c r="K353" s="3"/>
      <c r="M353" s="4"/>
      <c r="N353" s="10"/>
    </row>
    <row r="354">
      <c r="K354" s="3"/>
      <c r="M354" s="4"/>
      <c r="N354" s="10"/>
    </row>
    <row r="355">
      <c r="K355" s="3"/>
      <c r="M355" s="4"/>
      <c r="N355" s="10"/>
    </row>
    <row r="356">
      <c r="K356" s="3"/>
      <c r="M356" s="4"/>
      <c r="N356" s="10"/>
    </row>
    <row r="357">
      <c r="K357" s="3"/>
      <c r="M357" s="4"/>
      <c r="N357" s="10"/>
    </row>
    <row r="358">
      <c r="K358" s="3"/>
      <c r="M358" s="4"/>
      <c r="N358" s="10"/>
    </row>
    <row r="359">
      <c r="K359" s="3"/>
      <c r="M359" s="4"/>
      <c r="N359" s="10"/>
    </row>
    <row r="360">
      <c r="K360" s="3"/>
      <c r="M360" s="4"/>
      <c r="N360" s="10"/>
    </row>
    <row r="361">
      <c r="K361" s="3"/>
      <c r="M361" s="4"/>
      <c r="N361" s="10"/>
    </row>
    <row r="362">
      <c r="K362" s="3"/>
      <c r="M362" s="4"/>
      <c r="N362" s="10"/>
    </row>
    <row r="363">
      <c r="K363" s="3"/>
      <c r="M363" s="4"/>
      <c r="N363" s="10"/>
    </row>
    <row r="364">
      <c r="K364" s="3"/>
      <c r="M364" s="4"/>
      <c r="N364" s="10"/>
    </row>
    <row r="365">
      <c r="K365" s="3"/>
      <c r="M365" s="4"/>
      <c r="N365" s="10"/>
    </row>
    <row r="366">
      <c r="K366" s="3"/>
      <c r="M366" s="4"/>
      <c r="N366" s="10"/>
    </row>
    <row r="367">
      <c r="K367" s="3"/>
      <c r="M367" s="4"/>
      <c r="N367" s="10"/>
    </row>
    <row r="368">
      <c r="K368" s="3"/>
      <c r="M368" s="4"/>
      <c r="N368" s="10"/>
    </row>
    <row r="369">
      <c r="K369" s="3"/>
      <c r="M369" s="4"/>
      <c r="N369" s="10"/>
    </row>
    <row r="370">
      <c r="K370" s="3"/>
      <c r="M370" s="4"/>
      <c r="N370" s="10"/>
    </row>
    <row r="371">
      <c r="K371" s="3"/>
      <c r="M371" s="4"/>
      <c r="N371" s="10"/>
    </row>
    <row r="372">
      <c r="K372" s="3"/>
      <c r="M372" s="4"/>
      <c r="N372" s="10"/>
    </row>
    <row r="373">
      <c r="K373" s="3"/>
      <c r="M373" s="4"/>
      <c r="N373" s="10"/>
    </row>
    <row r="374">
      <c r="K374" s="3"/>
      <c r="M374" s="4"/>
      <c r="N374" s="10"/>
    </row>
    <row r="375">
      <c r="K375" s="3"/>
      <c r="M375" s="4"/>
      <c r="N375" s="10"/>
    </row>
    <row r="376">
      <c r="K376" s="3"/>
      <c r="M376" s="4"/>
      <c r="N376" s="10"/>
    </row>
    <row r="377">
      <c r="K377" s="3"/>
      <c r="M377" s="4"/>
      <c r="N377" s="10"/>
    </row>
    <row r="378">
      <c r="K378" s="3"/>
      <c r="M378" s="4"/>
      <c r="N378" s="10"/>
    </row>
    <row r="379">
      <c r="K379" s="3"/>
      <c r="M379" s="4"/>
      <c r="N379" s="10"/>
    </row>
    <row r="380">
      <c r="K380" s="3"/>
      <c r="M380" s="4"/>
      <c r="N380" s="10"/>
    </row>
    <row r="381">
      <c r="K381" s="3"/>
      <c r="M381" s="4"/>
      <c r="N381" s="10"/>
    </row>
    <row r="382">
      <c r="K382" s="3"/>
      <c r="M382" s="4"/>
      <c r="N382" s="10"/>
    </row>
    <row r="383">
      <c r="K383" s="3"/>
      <c r="M383" s="4"/>
      <c r="N383" s="10"/>
    </row>
    <row r="384">
      <c r="K384" s="3"/>
      <c r="M384" s="4"/>
      <c r="N384" s="10"/>
    </row>
    <row r="385">
      <c r="K385" s="3"/>
      <c r="M385" s="4"/>
      <c r="N385" s="10"/>
    </row>
    <row r="386">
      <c r="K386" s="3"/>
      <c r="M386" s="4"/>
      <c r="N386" s="10"/>
    </row>
    <row r="387">
      <c r="K387" s="3"/>
      <c r="M387" s="4"/>
      <c r="N387" s="10"/>
    </row>
    <row r="388">
      <c r="K388" s="3"/>
      <c r="M388" s="4"/>
      <c r="N388" s="10"/>
    </row>
    <row r="389">
      <c r="K389" s="3"/>
      <c r="M389" s="4"/>
      <c r="N389" s="10"/>
    </row>
    <row r="390">
      <c r="K390" s="3"/>
      <c r="M390" s="4"/>
      <c r="N390" s="10"/>
    </row>
    <row r="391">
      <c r="K391" s="3"/>
      <c r="M391" s="4"/>
      <c r="N391" s="10"/>
    </row>
    <row r="392">
      <c r="K392" s="3"/>
      <c r="M392" s="4"/>
      <c r="N392" s="10"/>
    </row>
    <row r="393">
      <c r="K393" s="3"/>
      <c r="M393" s="4"/>
      <c r="N393" s="10"/>
    </row>
    <row r="394">
      <c r="K394" s="3"/>
      <c r="M394" s="4"/>
      <c r="N394" s="10"/>
    </row>
    <row r="395">
      <c r="K395" s="3"/>
      <c r="M395" s="4"/>
      <c r="N395" s="10"/>
    </row>
    <row r="396">
      <c r="K396" s="3"/>
      <c r="M396" s="4"/>
      <c r="N396" s="10"/>
    </row>
    <row r="397">
      <c r="K397" s="3"/>
      <c r="M397" s="4"/>
      <c r="N397" s="10"/>
    </row>
    <row r="398">
      <c r="K398" s="3"/>
      <c r="M398" s="4"/>
      <c r="N398" s="10"/>
    </row>
    <row r="399">
      <c r="K399" s="3"/>
      <c r="M399" s="4"/>
      <c r="N399" s="10"/>
    </row>
    <row r="400">
      <c r="K400" s="3"/>
      <c r="M400" s="4"/>
      <c r="N400" s="10"/>
    </row>
    <row r="401">
      <c r="K401" s="3"/>
      <c r="M401" s="4"/>
      <c r="N401" s="10"/>
    </row>
    <row r="402">
      <c r="K402" s="3"/>
      <c r="M402" s="4"/>
      <c r="N402" s="10"/>
    </row>
    <row r="403">
      <c r="K403" s="3"/>
      <c r="M403" s="4"/>
      <c r="N403" s="10"/>
    </row>
    <row r="404">
      <c r="K404" s="3"/>
      <c r="M404" s="4"/>
      <c r="N404" s="10"/>
    </row>
    <row r="405">
      <c r="K405" s="3"/>
      <c r="M405" s="4"/>
      <c r="N405" s="10"/>
    </row>
    <row r="406">
      <c r="K406" s="3"/>
      <c r="M406" s="4"/>
      <c r="N406" s="10"/>
    </row>
    <row r="407">
      <c r="K407" s="3"/>
      <c r="M407" s="4"/>
      <c r="N407" s="10"/>
    </row>
    <row r="408">
      <c r="K408" s="3"/>
      <c r="M408" s="4"/>
      <c r="N408" s="10"/>
    </row>
    <row r="409">
      <c r="K409" s="3"/>
      <c r="M409" s="4"/>
      <c r="N409" s="10"/>
    </row>
    <row r="410">
      <c r="K410" s="3"/>
      <c r="M410" s="4"/>
      <c r="N410" s="10"/>
    </row>
    <row r="411">
      <c r="K411" s="3"/>
      <c r="M411" s="4"/>
      <c r="N411" s="10"/>
    </row>
    <row r="412">
      <c r="K412" s="3"/>
      <c r="M412" s="4"/>
      <c r="N412" s="10"/>
    </row>
    <row r="413">
      <c r="K413" s="3"/>
      <c r="M413" s="4"/>
      <c r="N413" s="10"/>
    </row>
    <row r="414">
      <c r="K414" s="3"/>
      <c r="M414" s="4"/>
      <c r="N414" s="10"/>
    </row>
    <row r="415">
      <c r="K415" s="3"/>
      <c r="M415" s="4"/>
      <c r="N415" s="10"/>
    </row>
    <row r="416">
      <c r="K416" s="3"/>
      <c r="M416" s="4"/>
      <c r="N416" s="10"/>
    </row>
    <row r="417">
      <c r="K417" s="3"/>
      <c r="M417" s="4"/>
      <c r="N417" s="10"/>
    </row>
    <row r="418">
      <c r="K418" s="3"/>
      <c r="M418" s="4"/>
      <c r="N418" s="10"/>
    </row>
    <row r="419">
      <c r="K419" s="3"/>
      <c r="M419" s="4"/>
      <c r="N419" s="10"/>
    </row>
    <row r="420">
      <c r="K420" s="3"/>
      <c r="M420" s="4"/>
      <c r="N420" s="10"/>
    </row>
    <row r="421">
      <c r="K421" s="3"/>
      <c r="M421" s="4"/>
      <c r="N421" s="10"/>
    </row>
    <row r="422">
      <c r="K422" s="3"/>
      <c r="M422" s="4"/>
      <c r="N422" s="10"/>
    </row>
    <row r="423">
      <c r="K423" s="3"/>
      <c r="M423" s="4"/>
      <c r="N423" s="10"/>
    </row>
    <row r="424">
      <c r="K424" s="3"/>
      <c r="M424" s="4"/>
      <c r="N424" s="10"/>
    </row>
    <row r="425">
      <c r="K425" s="3"/>
      <c r="M425" s="4"/>
      <c r="N425" s="10"/>
    </row>
    <row r="426">
      <c r="K426" s="3"/>
      <c r="M426" s="4"/>
      <c r="N426" s="10"/>
    </row>
    <row r="427">
      <c r="K427" s="3"/>
      <c r="M427" s="4"/>
      <c r="N427" s="10"/>
    </row>
    <row r="428">
      <c r="K428" s="3"/>
      <c r="M428" s="4"/>
      <c r="N428" s="10"/>
    </row>
    <row r="429">
      <c r="K429" s="3"/>
      <c r="M429" s="4"/>
      <c r="N429" s="10"/>
    </row>
    <row r="430">
      <c r="K430" s="3"/>
      <c r="M430" s="4"/>
      <c r="N430" s="10"/>
    </row>
    <row r="431">
      <c r="K431" s="3"/>
      <c r="M431" s="4"/>
      <c r="N431" s="10"/>
    </row>
    <row r="432">
      <c r="K432" s="3"/>
      <c r="M432" s="4"/>
      <c r="N432" s="10"/>
    </row>
    <row r="433">
      <c r="K433" s="3"/>
      <c r="M433" s="4"/>
      <c r="N433" s="10"/>
    </row>
    <row r="434">
      <c r="K434" s="3"/>
      <c r="M434" s="4"/>
      <c r="N434" s="10"/>
    </row>
    <row r="435">
      <c r="K435" s="3"/>
      <c r="M435" s="4"/>
      <c r="N435" s="10"/>
    </row>
    <row r="436">
      <c r="K436" s="3"/>
      <c r="M436" s="4"/>
      <c r="N436" s="10"/>
    </row>
    <row r="437">
      <c r="K437" s="3"/>
      <c r="M437" s="4"/>
      <c r="N437" s="10"/>
    </row>
    <row r="438">
      <c r="K438" s="3"/>
      <c r="M438" s="4"/>
      <c r="N438" s="10"/>
    </row>
    <row r="439">
      <c r="K439" s="3"/>
      <c r="M439" s="4"/>
      <c r="N439" s="10"/>
    </row>
    <row r="440">
      <c r="K440" s="3"/>
      <c r="M440" s="4"/>
      <c r="N440" s="10"/>
    </row>
    <row r="441">
      <c r="K441" s="3"/>
      <c r="M441" s="4"/>
      <c r="N441" s="10"/>
    </row>
    <row r="442">
      <c r="K442" s="3"/>
      <c r="M442" s="4"/>
      <c r="N442" s="10"/>
    </row>
    <row r="443">
      <c r="K443" s="3"/>
      <c r="M443" s="4"/>
      <c r="N443" s="10"/>
    </row>
    <row r="444">
      <c r="K444" s="3"/>
      <c r="M444" s="4"/>
      <c r="N444" s="10"/>
    </row>
    <row r="445">
      <c r="K445" s="3"/>
      <c r="M445" s="4"/>
      <c r="N445" s="10"/>
    </row>
    <row r="446">
      <c r="K446" s="3"/>
      <c r="M446" s="4"/>
      <c r="N446" s="10"/>
    </row>
    <row r="447">
      <c r="K447" s="3"/>
      <c r="M447" s="4"/>
      <c r="N447" s="10"/>
    </row>
    <row r="448">
      <c r="K448" s="3"/>
      <c r="M448" s="4"/>
      <c r="N448" s="10"/>
    </row>
    <row r="449">
      <c r="K449" s="3"/>
      <c r="M449" s="4"/>
      <c r="N449" s="10"/>
    </row>
    <row r="450">
      <c r="K450" s="3"/>
      <c r="M450" s="4"/>
      <c r="N450" s="10"/>
    </row>
    <row r="451">
      <c r="K451" s="3"/>
      <c r="M451" s="4"/>
      <c r="N451" s="10"/>
    </row>
    <row r="452">
      <c r="K452" s="3"/>
      <c r="M452" s="4"/>
      <c r="N452" s="10"/>
    </row>
    <row r="453">
      <c r="K453" s="3"/>
      <c r="M453" s="4"/>
      <c r="N453" s="10"/>
    </row>
    <row r="454">
      <c r="K454" s="3"/>
      <c r="M454" s="4"/>
      <c r="N454" s="10"/>
    </row>
    <row r="455">
      <c r="K455" s="3"/>
      <c r="M455" s="4"/>
      <c r="N455" s="10"/>
    </row>
    <row r="456">
      <c r="K456" s="3"/>
      <c r="M456" s="4"/>
      <c r="N456" s="10"/>
    </row>
    <row r="457">
      <c r="K457" s="3"/>
      <c r="M457" s="4"/>
      <c r="N457" s="10"/>
    </row>
    <row r="458">
      <c r="K458" s="3"/>
      <c r="M458" s="4"/>
      <c r="N458" s="10"/>
    </row>
    <row r="459">
      <c r="K459" s="3"/>
      <c r="M459" s="4"/>
      <c r="N459" s="10"/>
    </row>
    <row r="460">
      <c r="K460" s="3"/>
      <c r="M460" s="4"/>
      <c r="N460" s="10"/>
    </row>
    <row r="461">
      <c r="K461" s="3"/>
      <c r="M461" s="4"/>
      <c r="N461" s="10"/>
    </row>
    <row r="462">
      <c r="K462" s="3"/>
      <c r="M462" s="4"/>
      <c r="N462" s="10"/>
    </row>
    <row r="463">
      <c r="K463" s="3"/>
      <c r="M463" s="4"/>
      <c r="N463" s="10"/>
    </row>
    <row r="464">
      <c r="K464" s="3"/>
      <c r="M464" s="4"/>
      <c r="N464" s="10"/>
    </row>
    <row r="465">
      <c r="K465" s="3"/>
      <c r="M465" s="4"/>
      <c r="N465" s="10"/>
    </row>
    <row r="466">
      <c r="K466" s="3"/>
      <c r="M466" s="4"/>
      <c r="N466" s="10"/>
    </row>
    <row r="467">
      <c r="K467" s="3"/>
      <c r="M467" s="4"/>
      <c r="N467" s="10"/>
    </row>
    <row r="468">
      <c r="K468" s="3"/>
      <c r="M468" s="4"/>
      <c r="N468" s="10"/>
    </row>
    <row r="469">
      <c r="K469" s="3"/>
      <c r="M469" s="4"/>
      <c r="N469" s="10"/>
    </row>
    <row r="470">
      <c r="K470" s="3"/>
      <c r="M470" s="4"/>
      <c r="N470" s="10"/>
    </row>
    <row r="471">
      <c r="K471" s="3"/>
      <c r="M471" s="4"/>
      <c r="N471" s="10"/>
    </row>
    <row r="472">
      <c r="K472" s="3"/>
      <c r="M472" s="4"/>
      <c r="N472" s="10"/>
    </row>
    <row r="473">
      <c r="K473" s="3"/>
      <c r="M473" s="4"/>
      <c r="N473" s="10"/>
    </row>
    <row r="474">
      <c r="K474" s="3"/>
      <c r="M474" s="4"/>
      <c r="N474" s="10"/>
    </row>
    <row r="475">
      <c r="K475" s="3"/>
      <c r="M475" s="4"/>
      <c r="N475" s="10"/>
    </row>
    <row r="476">
      <c r="K476" s="3"/>
      <c r="M476" s="4"/>
      <c r="N476" s="10"/>
    </row>
    <row r="477">
      <c r="K477" s="3"/>
      <c r="M477" s="4"/>
      <c r="N477" s="10"/>
    </row>
    <row r="478">
      <c r="K478" s="3"/>
      <c r="M478" s="4"/>
      <c r="N478" s="10"/>
    </row>
    <row r="479">
      <c r="K479" s="3"/>
      <c r="M479" s="4"/>
      <c r="N479" s="10"/>
    </row>
    <row r="480">
      <c r="K480" s="3"/>
      <c r="M480" s="4"/>
      <c r="N480" s="10"/>
    </row>
    <row r="481">
      <c r="K481" s="3"/>
      <c r="M481" s="4"/>
      <c r="N481" s="10"/>
    </row>
    <row r="482">
      <c r="K482" s="3"/>
      <c r="M482" s="4"/>
      <c r="N482" s="10"/>
    </row>
    <row r="483">
      <c r="K483" s="3"/>
      <c r="M483" s="4"/>
      <c r="N483" s="10"/>
    </row>
    <row r="484">
      <c r="K484" s="3"/>
      <c r="M484" s="4"/>
      <c r="N484" s="10"/>
    </row>
    <row r="485">
      <c r="K485" s="3"/>
      <c r="M485" s="4"/>
      <c r="N485" s="10"/>
    </row>
    <row r="486">
      <c r="K486" s="3"/>
      <c r="M486" s="4"/>
      <c r="N486" s="10"/>
    </row>
    <row r="487">
      <c r="K487" s="3"/>
      <c r="M487" s="4"/>
      <c r="N487" s="10"/>
    </row>
    <row r="488">
      <c r="K488" s="3"/>
      <c r="M488" s="4"/>
      <c r="N488" s="10"/>
    </row>
    <row r="489">
      <c r="K489" s="3"/>
      <c r="M489" s="4"/>
      <c r="N489" s="10"/>
    </row>
    <row r="490">
      <c r="K490" s="3"/>
      <c r="M490" s="4"/>
      <c r="N490" s="10"/>
    </row>
    <row r="491">
      <c r="K491" s="3"/>
      <c r="M491" s="4"/>
      <c r="N491" s="10"/>
    </row>
    <row r="492">
      <c r="K492" s="3"/>
      <c r="M492" s="4"/>
      <c r="N492" s="10"/>
    </row>
    <row r="493">
      <c r="K493" s="3"/>
      <c r="M493" s="4"/>
      <c r="N493" s="10"/>
    </row>
    <row r="494">
      <c r="K494" s="3"/>
      <c r="M494" s="4"/>
      <c r="N494" s="10"/>
    </row>
    <row r="495">
      <c r="K495" s="3"/>
      <c r="M495" s="4"/>
      <c r="N495" s="10"/>
    </row>
    <row r="496">
      <c r="K496" s="3"/>
      <c r="M496" s="4"/>
      <c r="N496" s="10"/>
    </row>
    <row r="497">
      <c r="K497" s="3"/>
      <c r="M497" s="4"/>
      <c r="N497" s="10"/>
    </row>
    <row r="498">
      <c r="K498" s="3"/>
      <c r="M498" s="4"/>
      <c r="N498" s="10"/>
    </row>
    <row r="499">
      <c r="K499" s="3"/>
      <c r="M499" s="4"/>
      <c r="N499" s="10"/>
    </row>
    <row r="500">
      <c r="K500" s="3"/>
      <c r="M500" s="4"/>
      <c r="N500" s="10"/>
    </row>
    <row r="501">
      <c r="K501" s="3"/>
      <c r="M501" s="4"/>
      <c r="N501" s="10"/>
    </row>
    <row r="502">
      <c r="K502" s="3"/>
      <c r="M502" s="4"/>
      <c r="N502" s="10"/>
    </row>
    <row r="503">
      <c r="K503" s="3"/>
      <c r="M503" s="4"/>
      <c r="N503" s="10"/>
    </row>
    <row r="504">
      <c r="K504" s="3"/>
      <c r="M504" s="4"/>
      <c r="N504" s="10"/>
    </row>
    <row r="505">
      <c r="K505" s="3"/>
      <c r="M505" s="4"/>
      <c r="N505" s="10"/>
    </row>
    <row r="506">
      <c r="K506" s="3"/>
      <c r="M506" s="4"/>
      <c r="N506" s="10"/>
    </row>
    <row r="507">
      <c r="K507" s="3"/>
      <c r="M507" s="4"/>
      <c r="N507" s="10"/>
    </row>
    <row r="508">
      <c r="K508" s="3"/>
      <c r="M508" s="4"/>
      <c r="N508" s="10"/>
    </row>
    <row r="509">
      <c r="K509" s="3"/>
      <c r="M509" s="4"/>
      <c r="N509" s="10"/>
    </row>
    <row r="510">
      <c r="K510" s="3"/>
      <c r="M510" s="4"/>
      <c r="N510" s="10"/>
    </row>
    <row r="511">
      <c r="K511" s="3"/>
      <c r="M511" s="4"/>
      <c r="N511" s="10"/>
    </row>
    <row r="512">
      <c r="K512" s="3"/>
      <c r="M512" s="4"/>
      <c r="N512" s="10"/>
    </row>
    <row r="513">
      <c r="K513" s="3"/>
      <c r="M513" s="4"/>
      <c r="N513" s="10"/>
    </row>
    <row r="514">
      <c r="K514" s="3"/>
      <c r="M514" s="4"/>
      <c r="N514" s="10"/>
    </row>
    <row r="515">
      <c r="K515" s="3"/>
      <c r="M515" s="4"/>
      <c r="N515" s="10"/>
    </row>
    <row r="516">
      <c r="K516" s="3"/>
      <c r="M516" s="4"/>
      <c r="N516" s="10"/>
    </row>
    <row r="517">
      <c r="K517" s="3"/>
      <c r="M517" s="4"/>
      <c r="N517" s="10"/>
    </row>
    <row r="518">
      <c r="K518" s="3"/>
      <c r="M518" s="4"/>
      <c r="N518" s="10"/>
    </row>
    <row r="519">
      <c r="K519" s="3"/>
      <c r="M519" s="4"/>
      <c r="N519" s="10"/>
    </row>
    <row r="520">
      <c r="K520" s="3"/>
      <c r="M520" s="4"/>
      <c r="N520" s="10"/>
    </row>
    <row r="521">
      <c r="K521" s="3"/>
      <c r="M521" s="4"/>
      <c r="N521" s="10"/>
    </row>
    <row r="522">
      <c r="K522" s="3"/>
      <c r="M522" s="4"/>
      <c r="N522" s="10"/>
    </row>
    <row r="523">
      <c r="K523" s="3"/>
      <c r="M523" s="4"/>
      <c r="N523" s="10"/>
    </row>
    <row r="524">
      <c r="K524" s="3"/>
      <c r="M524" s="4"/>
      <c r="N524" s="10"/>
    </row>
    <row r="525">
      <c r="K525" s="3"/>
      <c r="M525" s="4"/>
      <c r="N525" s="10"/>
    </row>
    <row r="526">
      <c r="K526" s="3"/>
      <c r="M526" s="4"/>
      <c r="N526" s="10"/>
    </row>
    <row r="527">
      <c r="K527" s="3"/>
      <c r="M527" s="4"/>
      <c r="N527" s="10"/>
    </row>
    <row r="528">
      <c r="K528" s="3"/>
      <c r="M528" s="4"/>
      <c r="N528" s="10"/>
    </row>
    <row r="529">
      <c r="K529" s="3"/>
      <c r="M529" s="4"/>
      <c r="N529" s="10"/>
    </row>
    <row r="530">
      <c r="K530" s="3"/>
      <c r="M530" s="4"/>
      <c r="N530" s="10"/>
    </row>
    <row r="531">
      <c r="K531" s="3"/>
      <c r="M531" s="4"/>
      <c r="N531" s="10"/>
    </row>
    <row r="532">
      <c r="K532" s="3"/>
      <c r="M532" s="4"/>
      <c r="N532" s="10"/>
    </row>
    <row r="533">
      <c r="K533" s="3"/>
      <c r="M533" s="4"/>
      <c r="N533" s="10"/>
    </row>
    <row r="534">
      <c r="K534" s="3"/>
      <c r="M534" s="4"/>
      <c r="N534" s="10"/>
    </row>
    <row r="535">
      <c r="K535" s="3"/>
      <c r="M535" s="4"/>
      <c r="N535" s="10"/>
    </row>
    <row r="536">
      <c r="K536" s="3"/>
      <c r="M536" s="4"/>
      <c r="N536" s="10"/>
    </row>
    <row r="537">
      <c r="K537" s="3"/>
      <c r="M537" s="4"/>
      <c r="N537" s="10"/>
    </row>
    <row r="538">
      <c r="K538" s="3"/>
      <c r="M538" s="4"/>
      <c r="N538" s="10"/>
    </row>
    <row r="539">
      <c r="K539" s="3"/>
      <c r="M539" s="4"/>
      <c r="N539" s="10"/>
    </row>
    <row r="540">
      <c r="K540" s="3"/>
      <c r="M540" s="4"/>
      <c r="N540" s="10"/>
    </row>
    <row r="541">
      <c r="K541" s="3"/>
      <c r="M541" s="4"/>
      <c r="N541" s="10"/>
    </row>
    <row r="542">
      <c r="K542" s="3"/>
      <c r="M542" s="4"/>
      <c r="N542" s="10"/>
    </row>
    <row r="543">
      <c r="K543" s="3"/>
      <c r="M543" s="4"/>
      <c r="N543" s="10"/>
    </row>
    <row r="544">
      <c r="K544" s="3"/>
      <c r="M544" s="4"/>
      <c r="N544" s="10"/>
    </row>
    <row r="545">
      <c r="K545" s="3"/>
      <c r="M545" s="4"/>
      <c r="N545" s="10"/>
    </row>
    <row r="546">
      <c r="K546" s="3"/>
      <c r="M546" s="4"/>
      <c r="N546" s="10"/>
    </row>
    <row r="547">
      <c r="K547" s="3"/>
      <c r="M547" s="4"/>
      <c r="N547" s="10"/>
    </row>
    <row r="548">
      <c r="K548" s="3"/>
      <c r="M548" s="4"/>
      <c r="N548" s="10"/>
    </row>
    <row r="549">
      <c r="K549" s="3"/>
      <c r="M549" s="4"/>
      <c r="N549" s="10"/>
    </row>
    <row r="550">
      <c r="K550" s="3"/>
      <c r="M550" s="4"/>
      <c r="N550" s="10"/>
    </row>
    <row r="551">
      <c r="K551" s="3"/>
      <c r="M551" s="4"/>
      <c r="N551" s="10"/>
    </row>
    <row r="552">
      <c r="K552" s="3"/>
      <c r="M552" s="4"/>
      <c r="N552" s="10"/>
    </row>
    <row r="553">
      <c r="K553" s="3"/>
      <c r="M553" s="4"/>
      <c r="N553" s="10"/>
    </row>
    <row r="554">
      <c r="K554" s="3"/>
      <c r="M554" s="4"/>
      <c r="N554" s="10"/>
    </row>
    <row r="555">
      <c r="K555" s="3"/>
      <c r="M555" s="4"/>
      <c r="N555" s="10"/>
    </row>
    <row r="556">
      <c r="K556" s="3"/>
      <c r="M556" s="4"/>
      <c r="N556" s="10"/>
    </row>
    <row r="557">
      <c r="K557" s="3"/>
      <c r="M557" s="4"/>
      <c r="N557" s="10"/>
    </row>
    <row r="558">
      <c r="K558" s="3"/>
      <c r="M558" s="4"/>
      <c r="N558" s="10"/>
    </row>
    <row r="559">
      <c r="K559" s="3"/>
      <c r="M559" s="4"/>
      <c r="N559" s="10"/>
    </row>
    <row r="560">
      <c r="K560" s="3"/>
      <c r="M560" s="4"/>
      <c r="N560" s="10"/>
    </row>
    <row r="561">
      <c r="K561" s="3"/>
      <c r="M561" s="4"/>
      <c r="N561" s="10"/>
    </row>
    <row r="562">
      <c r="K562" s="3"/>
      <c r="M562" s="4"/>
      <c r="N562" s="10"/>
    </row>
    <row r="563">
      <c r="K563" s="3"/>
      <c r="M563" s="4"/>
      <c r="N563" s="10"/>
    </row>
    <row r="564">
      <c r="K564" s="3"/>
      <c r="M564" s="4"/>
      <c r="N564" s="10"/>
    </row>
    <row r="565">
      <c r="K565" s="3"/>
      <c r="M565" s="4"/>
      <c r="N565" s="10"/>
    </row>
    <row r="566">
      <c r="K566" s="3"/>
      <c r="M566" s="4"/>
      <c r="N566" s="10"/>
    </row>
    <row r="567">
      <c r="K567" s="3"/>
      <c r="M567" s="4"/>
      <c r="N567" s="10"/>
    </row>
    <row r="568">
      <c r="K568" s="3"/>
      <c r="M568" s="4"/>
      <c r="N568" s="10"/>
    </row>
    <row r="569">
      <c r="K569" s="3"/>
      <c r="M569" s="4"/>
      <c r="N569" s="10"/>
    </row>
    <row r="570">
      <c r="K570" s="3"/>
      <c r="M570" s="4"/>
      <c r="N570" s="10"/>
    </row>
    <row r="571">
      <c r="K571" s="3"/>
      <c r="M571" s="4"/>
      <c r="N571" s="10"/>
    </row>
    <row r="572">
      <c r="K572" s="3"/>
      <c r="M572" s="4"/>
      <c r="N572" s="10"/>
    </row>
    <row r="573">
      <c r="K573" s="3"/>
      <c r="M573" s="4"/>
      <c r="N573" s="10"/>
    </row>
    <row r="574">
      <c r="K574" s="3"/>
      <c r="M574" s="4"/>
      <c r="N574" s="10"/>
    </row>
    <row r="575">
      <c r="K575" s="3"/>
      <c r="M575" s="4"/>
      <c r="N575" s="10"/>
    </row>
    <row r="576">
      <c r="K576" s="3"/>
      <c r="M576" s="4"/>
      <c r="N576" s="10"/>
    </row>
    <row r="577">
      <c r="K577" s="3"/>
      <c r="M577" s="4"/>
      <c r="N577" s="10"/>
    </row>
    <row r="578">
      <c r="K578" s="3"/>
      <c r="M578" s="4"/>
      <c r="N578" s="10"/>
    </row>
    <row r="579">
      <c r="K579" s="3"/>
      <c r="M579" s="4"/>
      <c r="N579" s="10"/>
    </row>
    <row r="580">
      <c r="K580" s="3"/>
      <c r="M580" s="4"/>
      <c r="N580" s="10"/>
    </row>
    <row r="581">
      <c r="K581" s="3"/>
      <c r="M581" s="4"/>
      <c r="N581" s="10"/>
    </row>
    <row r="582">
      <c r="K582" s="3"/>
      <c r="M582" s="4"/>
      <c r="N582" s="10"/>
    </row>
    <row r="583">
      <c r="K583" s="3"/>
      <c r="M583" s="4"/>
      <c r="N583" s="10"/>
    </row>
    <row r="584">
      <c r="K584" s="3"/>
      <c r="M584" s="4"/>
      <c r="N584" s="10"/>
    </row>
    <row r="585">
      <c r="K585" s="3"/>
      <c r="M585" s="4"/>
      <c r="N585" s="10"/>
    </row>
    <row r="586">
      <c r="K586" s="3"/>
      <c r="M586" s="4"/>
      <c r="N586" s="10"/>
    </row>
    <row r="587">
      <c r="K587" s="3"/>
      <c r="M587" s="4"/>
      <c r="N587" s="10"/>
    </row>
    <row r="588">
      <c r="K588" s="3"/>
      <c r="M588" s="4"/>
      <c r="N588" s="10"/>
    </row>
    <row r="589">
      <c r="K589" s="3"/>
      <c r="M589" s="4"/>
      <c r="N589" s="10"/>
    </row>
    <row r="590">
      <c r="K590" s="3"/>
      <c r="M590" s="4"/>
      <c r="N590" s="10"/>
    </row>
    <row r="591">
      <c r="K591" s="3"/>
      <c r="M591" s="4"/>
      <c r="N591" s="10"/>
    </row>
    <row r="592">
      <c r="K592" s="3"/>
      <c r="M592" s="4"/>
      <c r="N592" s="10"/>
    </row>
    <row r="593">
      <c r="K593" s="3"/>
      <c r="M593" s="4"/>
      <c r="N593" s="10"/>
    </row>
    <row r="594">
      <c r="K594" s="3"/>
      <c r="M594" s="4"/>
      <c r="N594" s="10"/>
    </row>
    <row r="595">
      <c r="K595" s="3"/>
      <c r="M595" s="4"/>
      <c r="N595" s="10"/>
    </row>
    <row r="596">
      <c r="K596" s="3"/>
      <c r="M596" s="4"/>
      <c r="N596" s="10"/>
    </row>
    <row r="597">
      <c r="K597" s="3"/>
      <c r="M597" s="4"/>
      <c r="N597" s="10"/>
    </row>
    <row r="598">
      <c r="K598" s="3"/>
      <c r="M598" s="4"/>
      <c r="N598" s="10"/>
    </row>
    <row r="599">
      <c r="K599" s="3"/>
      <c r="M599" s="4"/>
      <c r="N599" s="10"/>
    </row>
    <row r="600">
      <c r="K600" s="3"/>
      <c r="M600" s="4"/>
      <c r="N600" s="10"/>
    </row>
    <row r="601">
      <c r="K601" s="3"/>
      <c r="M601" s="4"/>
      <c r="N601" s="10"/>
    </row>
    <row r="602">
      <c r="K602" s="3"/>
      <c r="M602" s="4"/>
      <c r="N602" s="10"/>
    </row>
    <row r="603">
      <c r="K603" s="3"/>
      <c r="M603" s="4"/>
      <c r="N603" s="10"/>
    </row>
    <row r="604">
      <c r="K604" s="3"/>
      <c r="M604" s="4"/>
      <c r="N604" s="10"/>
    </row>
    <row r="605">
      <c r="K605" s="3"/>
      <c r="M605" s="4"/>
      <c r="N605" s="10"/>
    </row>
    <row r="606">
      <c r="K606" s="3"/>
      <c r="M606" s="4"/>
      <c r="N606" s="10"/>
    </row>
    <row r="607">
      <c r="K607" s="3"/>
      <c r="M607" s="4"/>
      <c r="N607" s="10"/>
    </row>
    <row r="608">
      <c r="K608" s="3"/>
      <c r="M608" s="4"/>
      <c r="N608" s="10"/>
    </row>
    <row r="609">
      <c r="K609" s="3"/>
      <c r="M609" s="4"/>
      <c r="N609" s="10"/>
    </row>
    <row r="610">
      <c r="K610" s="3"/>
      <c r="M610" s="4"/>
      <c r="N610" s="10"/>
    </row>
    <row r="611">
      <c r="K611" s="3"/>
      <c r="M611" s="4"/>
      <c r="N611" s="10"/>
    </row>
    <row r="612">
      <c r="K612" s="3"/>
      <c r="M612" s="4"/>
      <c r="N612" s="10"/>
    </row>
    <row r="613">
      <c r="K613" s="3"/>
      <c r="M613" s="4"/>
      <c r="N613" s="10"/>
    </row>
    <row r="614">
      <c r="K614" s="3"/>
      <c r="M614" s="4"/>
      <c r="N614" s="10"/>
    </row>
    <row r="615">
      <c r="K615" s="3"/>
      <c r="M615" s="4"/>
      <c r="N615" s="10"/>
    </row>
    <row r="616">
      <c r="K616" s="3"/>
      <c r="M616" s="4"/>
      <c r="N616" s="10"/>
    </row>
    <row r="617">
      <c r="K617" s="3"/>
      <c r="M617" s="4"/>
      <c r="N617" s="10"/>
    </row>
    <row r="618">
      <c r="K618" s="3"/>
      <c r="M618" s="4"/>
      <c r="N618" s="10"/>
    </row>
    <row r="619">
      <c r="K619" s="3"/>
      <c r="M619" s="4"/>
      <c r="N619" s="10"/>
    </row>
    <row r="620">
      <c r="K620" s="3"/>
      <c r="M620" s="4"/>
      <c r="N620" s="10"/>
    </row>
    <row r="621">
      <c r="K621" s="3"/>
      <c r="M621" s="4"/>
      <c r="N621" s="10"/>
    </row>
    <row r="622">
      <c r="K622" s="3"/>
      <c r="M622" s="4"/>
      <c r="N622" s="10"/>
    </row>
    <row r="623">
      <c r="K623" s="3"/>
      <c r="M623" s="4"/>
      <c r="N623" s="10"/>
    </row>
    <row r="624">
      <c r="K624" s="3"/>
      <c r="M624" s="4"/>
      <c r="N624" s="10"/>
    </row>
    <row r="625">
      <c r="K625" s="3"/>
      <c r="M625" s="4"/>
      <c r="N625" s="10"/>
    </row>
    <row r="626">
      <c r="K626" s="3"/>
      <c r="M626" s="4"/>
      <c r="N626" s="10"/>
    </row>
    <row r="627">
      <c r="K627" s="3"/>
      <c r="M627" s="4"/>
      <c r="N627" s="10"/>
    </row>
    <row r="628">
      <c r="K628" s="3"/>
      <c r="M628" s="4"/>
      <c r="N628" s="10"/>
    </row>
    <row r="629">
      <c r="K629" s="3"/>
      <c r="M629" s="4"/>
      <c r="N629" s="10"/>
    </row>
    <row r="630">
      <c r="K630" s="3"/>
      <c r="M630" s="4"/>
      <c r="N630" s="10"/>
    </row>
    <row r="631">
      <c r="K631" s="3"/>
      <c r="M631" s="4"/>
      <c r="N631" s="10"/>
    </row>
    <row r="632">
      <c r="K632" s="3"/>
      <c r="M632" s="4"/>
      <c r="N632" s="10"/>
    </row>
    <row r="633">
      <c r="K633" s="3"/>
      <c r="M633" s="4"/>
      <c r="N633" s="10"/>
    </row>
    <row r="634">
      <c r="K634" s="3"/>
      <c r="M634" s="4"/>
      <c r="N634" s="10"/>
    </row>
    <row r="635">
      <c r="K635" s="3"/>
      <c r="M635" s="4"/>
      <c r="N635" s="10"/>
    </row>
    <row r="636">
      <c r="K636" s="3"/>
      <c r="M636" s="4"/>
      <c r="N636" s="10"/>
    </row>
    <row r="637">
      <c r="K637" s="3"/>
      <c r="M637" s="4"/>
      <c r="N637" s="10"/>
    </row>
    <row r="638">
      <c r="K638" s="3"/>
      <c r="M638" s="4"/>
      <c r="N638" s="10"/>
    </row>
    <row r="639">
      <c r="K639" s="3"/>
      <c r="M639" s="4"/>
      <c r="N639" s="10"/>
    </row>
    <row r="640">
      <c r="K640" s="3"/>
      <c r="M640" s="4"/>
      <c r="N640" s="10"/>
    </row>
    <row r="641">
      <c r="K641" s="3"/>
      <c r="M641" s="4"/>
      <c r="N641" s="10"/>
    </row>
    <row r="642">
      <c r="K642" s="3"/>
      <c r="M642" s="4"/>
      <c r="N642" s="10"/>
    </row>
    <row r="643">
      <c r="K643" s="3"/>
      <c r="M643" s="4"/>
      <c r="N643" s="10"/>
    </row>
    <row r="644">
      <c r="K644" s="3"/>
      <c r="M644" s="4"/>
      <c r="N644" s="10"/>
    </row>
    <row r="645">
      <c r="K645" s="3"/>
      <c r="M645" s="4"/>
      <c r="N645" s="10"/>
    </row>
    <row r="646">
      <c r="K646" s="3"/>
      <c r="M646" s="4"/>
      <c r="N646" s="10"/>
    </row>
    <row r="647">
      <c r="K647" s="3"/>
      <c r="M647" s="4"/>
      <c r="N647" s="10"/>
    </row>
    <row r="648">
      <c r="K648" s="3"/>
      <c r="M648" s="4"/>
      <c r="N648" s="10"/>
    </row>
    <row r="649">
      <c r="K649" s="3"/>
      <c r="M649" s="4"/>
      <c r="N649" s="10"/>
    </row>
    <row r="650">
      <c r="K650" s="3"/>
      <c r="M650" s="4"/>
      <c r="N650" s="10"/>
    </row>
    <row r="651">
      <c r="K651" s="3"/>
      <c r="M651" s="4"/>
      <c r="N651" s="10"/>
    </row>
    <row r="652">
      <c r="K652" s="3"/>
      <c r="M652" s="4"/>
      <c r="N652" s="10"/>
    </row>
    <row r="653">
      <c r="K653" s="3"/>
      <c r="M653" s="4"/>
      <c r="N653" s="10"/>
    </row>
    <row r="654">
      <c r="K654" s="3"/>
      <c r="M654" s="4"/>
      <c r="N654" s="10"/>
    </row>
    <row r="655">
      <c r="K655" s="3"/>
      <c r="M655" s="4"/>
      <c r="N655" s="10"/>
    </row>
    <row r="656">
      <c r="K656" s="3"/>
      <c r="M656" s="4"/>
      <c r="N656" s="10"/>
    </row>
    <row r="657">
      <c r="K657" s="3"/>
      <c r="M657" s="4"/>
      <c r="N657" s="10"/>
    </row>
    <row r="658">
      <c r="K658" s="3"/>
      <c r="M658" s="4"/>
      <c r="N658" s="10"/>
    </row>
    <row r="659">
      <c r="K659" s="3"/>
      <c r="M659" s="4"/>
      <c r="N659" s="10"/>
    </row>
    <row r="660">
      <c r="K660" s="3"/>
      <c r="M660" s="4"/>
      <c r="N660" s="10"/>
    </row>
    <row r="661">
      <c r="K661" s="3"/>
      <c r="M661" s="4"/>
      <c r="N661" s="10"/>
    </row>
    <row r="662">
      <c r="K662" s="3"/>
      <c r="M662" s="4"/>
      <c r="N662" s="10"/>
    </row>
    <row r="663">
      <c r="K663" s="3"/>
      <c r="M663" s="4"/>
      <c r="N663" s="10"/>
    </row>
    <row r="664">
      <c r="K664" s="3"/>
      <c r="M664" s="4"/>
      <c r="N664" s="10"/>
    </row>
    <row r="665">
      <c r="K665" s="3"/>
      <c r="M665" s="4"/>
      <c r="N665" s="10"/>
    </row>
    <row r="666">
      <c r="K666" s="3"/>
      <c r="M666" s="4"/>
      <c r="N666" s="10"/>
    </row>
    <row r="667">
      <c r="K667" s="3"/>
      <c r="M667" s="4"/>
      <c r="N667" s="10"/>
    </row>
    <row r="668">
      <c r="K668" s="3"/>
      <c r="M668" s="4"/>
      <c r="N668" s="10"/>
    </row>
    <row r="669">
      <c r="K669" s="3"/>
      <c r="M669" s="4"/>
      <c r="N669" s="10"/>
    </row>
    <row r="670">
      <c r="K670" s="3"/>
      <c r="M670" s="4"/>
      <c r="N670" s="10"/>
    </row>
    <row r="671">
      <c r="K671" s="3"/>
      <c r="M671" s="4"/>
      <c r="N671" s="10"/>
    </row>
    <row r="672">
      <c r="K672" s="3"/>
      <c r="M672" s="4"/>
      <c r="N672" s="10"/>
    </row>
    <row r="673">
      <c r="K673" s="3"/>
      <c r="M673" s="4"/>
      <c r="N673" s="10"/>
    </row>
    <row r="674">
      <c r="K674" s="3"/>
      <c r="M674" s="4"/>
      <c r="N674" s="10"/>
    </row>
    <row r="675">
      <c r="K675" s="3"/>
      <c r="M675" s="4"/>
      <c r="N675" s="10"/>
    </row>
    <row r="676">
      <c r="K676" s="3"/>
      <c r="M676" s="4"/>
      <c r="N676" s="10"/>
    </row>
    <row r="677">
      <c r="K677" s="3"/>
      <c r="M677" s="4"/>
      <c r="N677" s="10"/>
    </row>
    <row r="678">
      <c r="K678" s="3"/>
      <c r="M678" s="4"/>
      <c r="N678" s="10"/>
    </row>
    <row r="679">
      <c r="K679" s="3"/>
      <c r="M679" s="4"/>
      <c r="N679" s="10"/>
    </row>
    <row r="680">
      <c r="K680" s="3"/>
      <c r="M680" s="4"/>
      <c r="N680" s="10"/>
    </row>
    <row r="681">
      <c r="K681" s="3"/>
      <c r="M681" s="4"/>
      <c r="N681" s="10"/>
    </row>
    <row r="682">
      <c r="K682" s="3"/>
      <c r="M682" s="4"/>
      <c r="N682" s="10"/>
    </row>
    <row r="683">
      <c r="K683" s="3"/>
      <c r="M683" s="4"/>
      <c r="N683" s="10"/>
    </row>
    <row r="684">
      <c r="K684" s="3"/>
      <c r="M684" s="4"/>
      <c r="N684" s="10"/>
    </row>
    <row r="685">
      <c r="K685" s="3"/>
      <c r="M685" s="4"/>
      <c r="N685" s="10"/>
    </row>
    <row r="686">
      <c r="K686" s="3"/>
      <c r="M686" s="4"/>
      <c r="N686" s="10"/>
    </row>
    <row r="687">
      <c r="K687" s="3"/>
      <c r="M687" s="4"/>
      <c r="N687" s="10"/>
    </row>
    <row r="688">
      <c r="K688" s="3"/>
      <c r="M688" s="4"/>
      <c r="N688" s="10"/>
    </row>
    <row r="689">
      <c r="K689" s="3"/>
      <c r="M689" s="4"/>
      <c r="N689" s="10"/>
    </row>
    <row r="690">
      <c r="K690" s="3"/>
      <c r="M690" s="4"/>
      <c r="N690" s="10"/>
    </row>
    <row r="691">
      <c r="K691" s="3"/>
      <c r="M691" s="4"/>
      <c r="N691" s="10"/>
    </row>
    <row r="692">
      <c r="K692" s="3"/>
      <c r="M692" s="4"/>
      <c r="N692" s="10"/>
    </row>
    <row r="693">
      <c r="K693" s="3"/>
      <c r="M693" s="4"/>
      <c r="N693" s="10"/>
    </row>
    <row r="694">
      <c r="K694" s="3"/>
      <c r="M694" s="4"/>
      <c r="N694" s="10"/>
    </row>
    <row r="695">
      <c r="K695" s="3"/>
      <c r="M695" s="4"/>
      <c r="N695" s="10"/>
    </row>
    <row r="696">
      <c r="K696" s="3"/>
      <c r="M696" s="4"/>
      <c r="N696" s="10"/>
    </row>
    <row r="697">
      <c r="K697" s="3"/>
      <c r="M697" s="4"/>
      <c r="N697" s="10"/>
    </row>
    <row r="698">
      <c r="K698" s="3"/>
      <c r="M698" s="4"/>
      <c r="N698" s="10"/>
    </row>
    <row r="699">
      <c r="K699" s="3"/>
      <c r="M699" s="4"/>
      <c r="N699" s="10"/>
    </row>
    <row r="700">
      <c r="K700" s="3"/>
      <c r="M700" s="4"/>
      <c r="N700" s="10"/>
    </row>
    <row r="701">
      <c r="K701" s="3"/>
      <c r="M701" s="4"/>
      <c r="N701" s="10"/>
    </row>
    <row r="702">
      <c r="K702" s="3"/>
      <c r="M702" s="4"/>
      <c r="N702" s="10"/>
    </row>
    <row r="703">
      <c r="K703" s="3"/>
      <c r="M703" s="4"/>
      <c r="N703" s="10"/>
    </row>
    <row r="704">
      <c r="K704" s="3"/>
      <c r="M704" s="4"/>
      <c r="N704" s="10"/>
    </row>
    <row r="705">
      <c r="K705" s="3"/>
      <c r="M705" s="4"/>
      <c r="N705" s="10"/>
    </row>
    <row r="706">
      <c r="K706" s="3"/>
      <c r="M706" s="4"/>
      <c r="N706" s="10"/>
    </row>
    <row r="707">
      <c r="K707" s="3"/>
      <c r="M707" s="4"/>
      <c r="N707" s="10"/>
    </row>
    <row r="708">
      <c r="K708" s="3"/>
      <c r="M708" s="4"/>
      <c r="N708" s="10"/>
    </row>
    <row r="709">
      <c r="K709" s="3"/>
      <c r="M709" s="4"/>
      <c r="N709" s="10"/>
    </row>
    <row r="710">
      <c r="K710" s="3"/>
      <c r="M710" s="4"/>
      <c r="N710" s="10"/>
    </row>
    <row r="711">
      <c r="K711" s="3"/>
      <c r="M711" s="4"/>
      <c r="N711" s="10"/>
    </row>
    <row r="712">
      <c r="K712" s="3"/>
      <c r="M712" s="4"/>
      <c r="N712" s="10"/>
    </row>
    <row r="713">
      <c r="K713" s="3"/>
      <c r="M713" s="4"/>
      <c r="N713" s="10"/>
    </row>
    <row r="714">
      <c r="K714" s="3"/>
      <c r="M714" s="4"/>
      <c r="N714" s="10"/>
    </row>
    <row r="715">
      <c r="K715" s="3"/>
      <c r="M715" s="4"/>
      <c r="N715" s="10"/>
    </row>
    <row r="716">
      <c r="K716" s="3"/>
      <c r="M716" s="4"/>
      <c r="N716" s="10"/>
    </row>
    <row r="717">
      <c r="K717" s="3"/>
      <c r="M717" s="4"/>
      <c r="N717" s="10"/>
    </row>
    <row r="718">
      <c r="K718" s="3"/>
      <c r="M718" s="4"/>
      <c r="N718" s="10"/>
    </row>
    <row r="719">
      <c r="K719" s="3"/>
      <c r="M719" s="4"/>
      <c r="N719" s="10"/>
    </row>
    <row r="720">
      <c r="K720" s="3"/>
      <c r="M720" s="4"/>
      <c r="N720" s="10"/>
    </row>
    <row r="721">
      <c r="K721" s="3"/>
      <c r="M721" s="4"/>
      <c r="N721" s="10"/>
    </row>
    <row r="722">
      <c r="K722" s="3"/>
      <c r="M722" s="4"/>
      <c r="N722" s="10"/>
    </row>
    <row r="723">
      <c r="K723" s="3"/>
      <c r="M723" s="4"/>
      <c r="N723" s="10"/>
    </row>
    <row r="724">
      <c r="K724" s="3"/>
      <c r="M724" s="4"/>
      <c r="N724" s="10"/>
    </row>
    <row r="725">
      <c r="K725" s="3"/>
      <c r="M725" s="4"/>
      <c r="N725" s="10"/>
    </row>
    <row r="726">
      <c r="K726" s="3"/>
      <c r="M726" s="4"/>
      <c r="N726" s="10"/>
    </row>
    <row r="727">
      <c r="K727" s="3"/>
      <c r="M727" s="4"/>
      <c r="N727" s="10"/>
    </row>
    <row r="728">
      <c r="K728" s="3"/>
      <c r="M728" s="4"/>
      <c r="N728" s="10"/>
    </row>
    <row r="729">
      <c r="K729" s="3"/>
      <c r="M729" s="4"/>
      <c r="N729" s="10"/>
    </row>
    <row r="730">
      <c r="K730" s="3"/>
      <c r="M730" s="4"/>
      <c r="N730" s="10"/>
    </row>
    <row r="731">
      <c r="K731" s="3"/>
      <c r="M731" s="4"/>
      <c r="N731" s="10"/>
    </row>
    <row r="732">
      <c r="K732" s="3"/>
      <c r="M732" s="4"/>
      <c r="N732" s="10"/>
    </row>
    <row r="733">
      <c r="K733" s="3"/>
      <c r="M733" s="4"/>
      <c r="N733" s="10"/>
    </row>
    <row r="734">
      <c r="K734" s="3"/>
      <c r="M734" s="4"/>
      <c r="N734" s="10"/>
    </row>
    <row r="735">
      <c r="K735" s="3"/>
      <c r="M735" s="4"/>
      <c r="N735" s="10"/>
    </row>
    <row r="736">
      <c r="K736" s="3"/>
      <c r="M736" s="4"/>
      <c r="N736" s="10"/>
    </row>
    <row r="737">
      <c r="K737" s="3"/>
      <c r="M737" s="4"/>
      <c r="N737" s="10"/>
    </row>
    <row r="738">
      <c r="K738" s="3"/>
      <c r="M738" s="4"/>
      <c r="N738" s="10"/>
    </row>
    <row r="739">
      <c r="K739" s="3"/>
      <c r="M739" s="4"/>
      <c r="N739" s="10"/>
    </row>
    <row r="740">
      <c r="K740" s="3"/>
      <c r="M740" s="4"/>
      <c r="N740" s="10"/>
    </row>
    <row r="741">
      <c r="K741" s="3"/>
      <c r="M741" s="4"/>
      <c r="N741" s="10"/>
    </row>
    <row r="742">
      <c r="K742" s="3"/>
      <c r="M742" s="4"/>
      <c r="N742" s="10"/>
    </row>
    <row r="743">
      <c r="K743" s="3"/>
      <c r="M743" s="4"/>
      <c r="N743" s="10"/>
    </row>
    <row r="744">
      <c r="K744" s="3"/>
      <c r="M744" s="4"/>
      <c r="N744" s="10"/>
    </row>
    <row r="745">
      <c r="K745" s="3"/>
      <c r="M745" s="4"/>
      <c r="N745" s="10"/>
    </row>
    <row r="746">
      <c r="K746" s="3"/>
      <c r="M746" s="4"/>
      <c r="N746" s="10"/>
    </row>
    <row r="747">
      <c r="K747" s="3"/>
      <c r="M747" s="4"/>
      <c r="N747" s="10"/>
    </row>
    <row r="748">
      <c r="K748" s="3"/>
      <c r="M748" s="4"/>
      <c r="N748" s="10"/>
    </row>
    <row r="749">
      <c r="K749" s="3"/>
      <c r="M749" s="4"/>
      <c r="N749" s="10"/>
    </row>
    <row r="750">
      <c r="K750" s="3"/>
      <c r="M750" s="4"/>
      <c r="N750" s="10"/>
    </row>
    <row r="751">
      <c r="K751" s="3"/>
      <c r="M751" s="4"/>
      <c r="N751" s="10"/>
    </row>
    <row r="752">
      <c r="K752" s="3"/>
      <c r="M752" s="4"/>
      <c r="N752" s="10"/>
    </row>
    <row r="753">
      <c r="K753" s="3"/>
      <c r="M753" s="4"/>
      <c r="N753" s="10"/>
    </row>
    <row r="754">
      <c r="K754" s="3"/>
      <c r="M754" s="4"/>
      <c r="N754" s="10"/>
    </row>
    <row r="755">
      <c r="K755" s="3"/>
      <c r="M755" s="4"/>
      <c r="N755" s="10"/>
    </row>
    <row r="756">
      <c r="K756" s="3"/>
      <c r="M756" s="4"/>
      <c r="N756" s="10"/>
    </row>
    <row r="757">
      <c r="K757" s="3"/>
      <c r="M757" s="4"/>
      <c r="N757" s="10"/>
    </row>
    <row r="758">
      <c r="K758" s="3"/>
      <c r="M758" s="4"/>
      <c r="N758" s="10"/>
    </row>
    <row r="759">
      <c r="K759" s="3"/>
      <c r="M759" s="4"/>
      <c r="N759" s="10"/>
    </row>
    <row r="760">
      <c r="K760" s="3"/>
      <c r="M760" s="4"/>
      <c r="N760" s="10"/>
    </row>
    <row r="761">
      <c r="K761" s="3"/>
      <c r="M761" s="4"/>
      <c r="N761" s="10"/>
    </row>
    <row r="762">
      <c r="K762" s="3"/>
      <c r="M762" s="4"/>
      <c r="N762" s="10"/>
    </row>
    <row r="763">
      <c r="K763" s="3"/>
      <c r="M763" s="4"/>
      <c r="N763" s="10"/>
    </row>
    <row r="764">
      <c r="K764" s="3"/>
      <c r="M764" s="4"/>
      <c r="N764" s="10"/>
    </row>
    <row r="765">
      <c r="K765" s="3"/>
      <c r="M765" s="4"/>
      <c r="N765" s="10"/>
    </row>
    <row r="766">
      <c r="K766" s="3"/>
      <c r="M766" s="4"/>
      <c r="N766" s="10"/>
    </row>
    <row r="767">
      <c r="K767" s="3"/>
      <c r="M767" s="4"/>
      <c r="N767" s="10"/>
    </row>
    <row r="768">
      <c r="K768" s="3"/>
      <c r="M768" s="4"/>
      <c r="N768" s="10"/>
    </row>
    <row r="769">
      <c r="K769" s="3"/>
      <c r="M769" s="4"/>
      <c r="N769" s="10"/>
    </row>
    <row r="770">
      <c r="K770" s="3"/>
      <c r="M770" s="4"/>
      <c r="N770" s="10"/>
    </row>
    <row r="771">
      <c r="K771" s="3"/>
      <c r="M771" s="4"/>
      <c r="N771" s="10"/>
    </row>
    <row r="772">
      <c r="K772" s="3"/>
      <c r="M772" s="4"/>
      <c r="N772" s="10"/>
    </row>
    <row r="773">
      <c r="K773" s="3"/>
      <c r="M773" s="4"/>
      <c r="N773" s="10"/>
    </row>
    <row r="774">
      <c r="K774" s="3"/>
      <c r="M774" s="4"/>
      <c r="N774" s="10"/>
    </row>
    <row r="775">
      <c r="K775" s="3"/>
      <c r="M775" s="4"/>
      <c r="N775" s="10"/>
    </row>
    <row r="776">
      <c r="K776" s="3"/>
      <c r="M776" s="4"/>
      <c r="N776" s="10"/>
    </row>
    <row r="777">
      <c r="K777" s="3"/>
      <c r="M777" s="4"/>
      <c r="N777" s="10"/>
    </row>
    <row r="778">
      <c r="K778" s="3"/>
      <c r="M778" s="4"/>
      <c r="N778" s="10"/>
    </row>
    <row r="779">
      <c r="K779" s="3"/>
      <c r="M779" s="4"/>
      <c r="N779" s="10"/>
    </row>
    <row r="780">
      <c r="K780" s="3"/>
      <c r="M780" s="4"/>
      <c r="N780" s="10"/>
    </row>
    <row r="781">
      <c r="K781" s="3"/>
      <c r="M781" s="4"/>
      <c r="N781" s="10"/>
    </row>
    <row r="782">
      <c r="K782" s="3"/>
      <c r="M782" s="4"/>
      <c r="N782" s="10"/>
    </row>
    <row r="783">
      <c r="K783" s="3"/>
      <c r="M783" s="4"/>
      <c r="N783" s="10"/>
    </row>
    <row r="784">
      <c r="K784" s="3"/>
      <c r="M784" s="4"/>
      <c r="N784" s="10"/>
    </row>
    <row r="785">
      <c r="K785" s="3"/>
      <c r="M785" s="4"/>
      <c r="N785" s="10"/>
    </row>
    <row r="786">
      <c r="K786" s="3"/>
      <c r="M786" s="4"/>
      <c r="N786" s="10"/>
    </row>
    <row r="787">
      <c r="K787" s="3"/>
      <c r="M787" s="4"/>
      <c r="N787" s="10"/>
    </row>
    <row r="788">
      <c r="K788" s="3"/>
      <c r="M788" s="4"/>
      <c r="N788" s="10"/>
    </row>
    <row r="789">
      <c r="K789" s="3"/>
      <c r="M789" s="4"/>
      <c r="N789" s="10"/>
    </row>
    <row r="790">
      <c r="K790" s="3"/>
      <c r="M790" s="4"/>
      <c r="N790" s="10"/>
    </row>
    <row r="791">
      <c r="K791" s="3"/>
      <c r="M791" s="4"/>
      <c r="N791" s="10"/>
    </row>
    <row r="792">
      <c r="K792" s="3"/>
      <c r="M792" s="4"/>
      <c r="N792" s="10"/>
    </row>
    <row r="793">
      <c r="K793" s="3"/>
      <c r="M793" s="4"/>
      <c r="N793" s="10"/>
    </row>
    <row r="794">
      <c r="K794" s="3"/>
      <c r="M794" s="4"/>
      <c r="N794" s="10"/>
    </row>
    <row r="795">
      <c r="K795" s="3"/>
      <c r="M795" s="4"/>
      <c r="N795" s="10"/>
    </row>
    <row r="796">
      <c r="K796" s="3"/>
      <c r="M796" s="4"/>
      <c r="N796" s="10"/>
    </row>
    <row r="797">
      <c r="K797" s="3"/>
      <c r="M797" s="4"/>
      <c r="N797" s="10"/>
    </row>
    <row r="798">
      <c r="K798" s="3"/>
      <c r="M798" s="4"/>
      <c r="N798" s="10"/>
    </row>
    <row r="799">
      <c r="K799" s="3"/>
      <c r="M799" s="4"/>
      <c r="N799" s="10"/>
    </row>
    <row r="800">
      <c r="K800" s="3"/>
      <c r="M800" s="4"/>
      <c r="N800" s="10"/>
    </row>
    <row r="801">
      <c r="K801" s="3"/>
      <c r="M801" s="4"/>
      <c r="N801" s="10"/>
    </row>
    <row r="802">
      <c r="K802" s="3"/>
      <c r="M802" s="4"/>
      <c r="N802" s="10"/>
    </row>
    <row r="803">
      <c r="K803" s="3"/>
      <c r="M803" s="4"/>
      <c r="N803" s="10"/>
    </row>
    <row r="804">
      <c r="K804" s="3"/>
      <c r="M804" s="4"/>
      <c r="N804" s="10"/>
    </row>
    <row r="805">
      <c r="K805" s="3"/>
      <c r="M805" s="4"/>
      <c r="N805" s="10"/>
    </row>
    <row r="806">
      <c r="K806" s="3"/>
      <c r="M806" s="4"/>
      <c r="N806" s="10"/>
    </row>
    <row r="807">
      <c r="K807" s="3"/>
      <c r="M807" s="4"/>
      <c r="N807" s="10"/>
    </row>
    <row r="808">
      <c r="K808" s="3"/>
      <c r="M808" s="4"/>
      <c r="N808" s="10"/>
    </row>
    <row r="809">
      <c r="K809" s="3"/>
      <c r="M809" s="4"/>
      <c r="N809" s="10"/>
    </row>
    <row r="810">
      <c r="K810" s="3"/>
      <c r="M810" s="4"/>
      <c r="N810" s="10"/>
    </row>
    <row r="811">
      <c r="K811" s="3"/>
      <c r="M811" s="4"/>
      <c r="N811" s="10"/>
    </row>
    <row r="812">
      <c r="K812" s="3"/>
      <c r="M812" s="4"/>
      <c r="N812" s="10"/>
    </row>
    <row r="813">
      <c r="K813" s="3"/>
      <c r="M813" s="4"/>
      <c r="N813" s="10"/>
    </row>
    <row r="814">
      <c r="K814" s="3"/>
      <c r="M814" s="4"/>
      <c r="N814" s="10"/>
    </row>
    <row r="815">
      <c r="K815" s="3"/>
      <c r="M815" s="4"/>
      <c r="N815" s="10"/>
    </row>
    <row r="816">
      <c r="K816" s="3"/>
      <c r="M816" s="4"/>
      <c r="N816" s="10"/>
    </row>
    <row r="817">
      <c r="K817" s="3"/>
      <c r="M817" s="4"/>
      <c r="N817" s="10"/>
    </row>
    <row r="818">
      <c r="K818" s="3"/>
      <c r="M818" s="4"/>
      <c r="N818" s="10"/>
    </row>
    <row r="819">
      <c r="K819" s="3"/>
      <c r="M819" s="4"/>
      <c r="N819" s="10"/>
    </row>
    <row r="820">
      <c r="K820" s="3"/>
      <c r="M820" s="4"/>
      <c r="N820" s="10"/>
    </row>
    <row r="821">
      <c r="K821" s="3"/>
      <c r="M821" s="4"/>
      <c r="N821" s="10"/>
    </row>
    <row r="822">
      <c r="K822" s="3"/>
      <c r="M822" s="4"/>
      <c r="N822" s="10"/>
    </row>
    <row r="823">
      <c r="K823" s="3"/>
      <c r="M823" s="4"/>
      <c r="N823" s="10"/>
    </row>
    <row r="824">
      <c r="K824" s="3"/>
      <c r="M824" s="4"/>
      <c r="N824" s="10"/>
    </row>
    <row r="825">
      <c r="K825" s="3"/>
      <c r="M825" s="4"/>
      <c r="N825" s="10"/>
    </row>
    <row r="826">
      <c r="K826" s="3"/>
      <c r="M826" s="4"/>
      <c r="N826" s="10"/>
    </row>
    <row r="827">
      <c r="K827" s="3"/>
      <c r="M827" s="4"/>
      <c r="N827" s="10"/>
    </row>
    <row r="828">
      <c r="K828" s="3"/>
      <c r="M828" s="4"/>
      <c r="N828" s="10"/>
    </row>
    <row r="829">
      <c r="K829" s="3"/>
      <c r="M829" s="4"/>
      <c r="N829" s="10"/>
    </row>
    <row r="830">
      <c r="K830" s="3"/>
      <c r="M830" s="4"/>
      <c r="N830" s="10"/>
    </row>
    <row r="831">
      <c r="K831" s="3"/>
      <c r="M831" s="4"/>
      <c r="N831" s="10"/>
    </row>
    <row r="832">
      <c r="K832" s="3"/>
      <c r="M832" s="4"/>
      <c r="N832" s="10"/>
    </row>
    <row r="833">
      <c r="K833" s="3"/>
      <c r="M833" s="4"/>
      <c r="N833" s="10"/>
    </row>
    <row r="834">
      <c r="K834" s="3"/>
      <c r="M834" s="4"/>
      <c r="N834" s="10"/>
    </row>
    <row r="835">
      <c r="K835" s="3"/>
      <c r="M835" s="4"/>
      <c r="N835" s="10"/>
    </row>
    <row r="836">
      <c r="K836" s="3"/>
      <c r="M836" s="4"/>
      <c r="N836" s="10"/>
    </row>
    <row r="837">
      <c r="K837" s="3"/>
      <c r="M837" s="4"/>
      <c r="N837" s="10"/>
    </row>
    <row r="838">
      <c r="K838" s="3"/>
      <c r="M838" s="4"/>
      <c r="N838" s="10"/>
    </row>
    <row r="839">
      <c r="K839" s="3"/>
      <c r="M839" s="4"/>
      <c r="N839" s="10"/>
    </row>
    <row r="840">
      <c r="K840" s="3"/>
      <c r="M840" s="4"/>
      <c r="N840" s="10"/>
    </row>
    <row r="841">
      <c r="K841" s="3"/>
      <c r="M841" s="4"/>
      <c r="N841" s="10"/>
    </row>
    <row r="842">
      <c r="K842" s="3"/>
      <c r="M842" s="4"/>
      <c r="N842" s="10"/>
    </row>
    <row r="843">
      <c r="K843" s="3"/>
      <c r="M843" s="4"/>
      <c r="N843" s="10"/>
    </row>
    <row r="844">
      <c r="K844" s="3"/>
      <c r="M844" s="4"/>
      <c r="N844" s="10"/>
    </row>
    <row r="845">
      <c r="K845" s="3"/>
      <c r="M845" s="4"/>
      <c r="N845" s="10"/>
    </row>
    <row r="846">
      <c r="K846" s="3"/>
      <c r="M846" s="4"/>
      <c r="N846" s="10"/>
    </row>
    <row r="847">
      <c r="K847" s="3"/>
      <c r="M847" s="4"/>
      <c r="N847" s="10"/>
    </row>
    <row r="848">
      <c r="K848" s="3"/>
      <c r="M848" s="4"/>
      <c r="N848" s="10"/>
    </row>
    <row r="849">
      <c r="K849" s="3"/>
      <c r="M849" s="4"/>
      <c r="N849" s="10"/>
    </row>
    <row r="850">
      <c r="K850" s="3"/>
      <c r="M850" s="4"/>
      <c r="N850" s="10"/>
    </row>
    <row r="851">
      <c r="K851" s="3"/>
      <c r="M851" s="4"/>
      <c r="N851" s="10"/>
    </row>
    <row r="852">
      <c r="K852" s="3"/>
      <c r="M852" s="4"/>
      <c r="N852" s="10"/>
    </row>
    <row r="853">
      <c r="K853" s="3"/>
      <c r="M853" s="4"/>
      <c r="N853" s="10"/>
    </row>
    <row r="854">
      <c r="K854" s="3"/>
      <c r="M854" s="4"/>
      <c r="N854" s="10"/>
    </row>
    <row r="855">
      <c r="K855" s="3"/>
      <c r="M855" s="4"/>
      <c r="N855" s="10"/>
    </row>
    <row r="856">
      <c r="K856" s="3"/>
      <c r="M856" s="4"/>
      <c r="N856" s="10"/>
    </row>
    <row r="857">
      <c r="K857" s="3"/>
      <c r="M857" s="4"/>
      <c r="N857" s="10"/>
    </row>
    <row r="858">
      <c r="K858" s="3"/>
      <c r="M858" s="4"/>
      <c r="N858" s="10"/>
    </row>
    <row r="859">
      <c r="K859" s="3"/>
      <c r="M859" s="4"/>
      <c r="N859" s="10"/>
    </row>
    <row r="860">
      <c r="K860" s="3"/>
      <c r="M860" s="4"/>
      <c r="N860" s="10"/>
    </row>
    <row r="861">
      <c r="K861" s="3"/>
      <c r="M861" s="4"/>
      <c r="N861" s="10"/>
    </row>
    <row r="862">
      <c r="K862" s="3"/>
      <c r="M862" s="4"/>
      <c r="N862" s="10"/>
    </row>
    <row r="863">
      <c r="K863" s="3"/>
      <c r="M863" s="4"/>
      <c r="N863" s="10"/>
    </row>
    <row r="864">
      <c r="K864" s="3"/>
      <c r="M864" s="4"/>
      <c r="N864" s="10"/>
    </row>
    <row r="865">
      <c r="K865" s="3"/>
      <c r="M865" s="4"/>
      <c r="N865" s="10"/>
    </row>
    <row r="866">
      <c r="K866" s="3"/>
      <c r="M866" s="4"/>
      <c r="N866" s="10"/>
    </row>
    <row r="867">
      <c r="K867" s="3"/>
      <c r="M867" s="4"/>
      <c r="N867" s="10"/>
    </row>
    <row r="868">
      <c r="K868" s="3"/>
      <c r="M868" s="4"/>
      <c r="N868" s="10"/>
    </row>
    <row r="869">
      <c r="K869" s="3"/>
      <c r="M869" s="4"/>
      <c r="N869" s="10"/>
    </row>
    <row r="870">
      <c r="K870" s="3"/>
      <c r="M870" s="4"/>
      <c r="N870" s="10"/>
    </row>
    <row r="871">
      <c r="K871" s="3"/>
      <c r="M871" s="4"/>
      <c r="N871" s="10"/>
    </row>
    <row r="872">
      <c r="K872" s="3"/>
      <c r="M872" s="4"/>
      <c r="N872" s="10"/>
    </row>
    <row r="873">
      <c r="K873" s="3"/>
      <c r="M873" s="4"/>
      <c r="N873" s="10"/>
    </row>
    <row r="874">
      <c r="K874" s="3"/>
      <c r="M874" s="4"/>
      <c r="N874" s="10"/>
    </row>
    <row r="875">
      <c r="K875" s="3"/>
      <c r="M875" s="4"/>
      <c r="N875" s="10"/>
    </row>
    <row r="876">
      <c r="K876" s="3"/>
      <c r="M876" s="4"/>
      <c r="N876" s="10"/>
    </row>
    <row r="877">
      <c r="K877" s="3"/>
      <c r="M877" s="4"/>
      <c r="N877" s="10"/>
    </row>
    <row r="878">
      <c r="K878" s="3"/>
      <c r="M878" s="4"/>
      <c r="N878" s="10"/>
    </row>
    <row r="879">
      <c r="K879" s="3"/>
      <c r="M879" s="4"/>
      <c r="N879" s="10"/>
    </row>
    <row r="880">
      <c r="K880" s="3"/>
      <c r="M880" s="4"/>
      <c r="N880" s="10"/>
    </row>
    <row r="881">
      <c r="K881" s="3"/>
      <c r="M881" s="4"/>
      <c r="N881" s="10"/>
    </row>
    <row r="882">
      <c r="K882" s="3"/>
      <c r="M882" s="4"/>
      <c r="N882" s="10"/>
    </row>
    <row r="883">
      <c r="K883" s="3"/>
      <c r="M883" s="4"/>
      <c r="N883" s="10"/>
    </row>
    <row r="884">
      <c r="K884" s="3"/>
      <c r="M884" s="4"/>
      <c r="N884" s="10"/>
    </row>
    <row r="885">
      <c r="K885" s="3"/>
      <c r="M885" s="4"/>
      <c r="N885" s="10"/>
    </row>
    <row r="886">
      <c r="K886" s="3"/>
      <c r="M886" s="4"/>
      <c r="N886" s="10"/>
    </row>
    <row r="887">
      <c r="K887" s="3"/>
      <c r="M887" s="4"/>
      <c r="N887" s="10"/>
    </row>
    <row r="888">
      <c r="K888" s="3"/>
      <c r="M888" s="4"/>
      <c r="N888" s="10"/>
    </row>
    <row r="889">
      <c r="K889" s="3"/>
      <c r="M889" s="4"/>
      <c r="N889" s="10"/>
    </row>
    <row r="890">
      <c r="K890" s="3"/>
      <c r="M890" s="4"/>
      <c r="N890" s="10"/>
    </row>
    <row r="891">
      <c r="K891" s="3"/>
      <c r="M891" s="4"/>
      <c r="N891" s="10"/>
    </row>
    <row r="892">
      <c r="K892" s="3"/>
      <c r="M892" s="4"/>
      <c r="N892" s="10"/>
    </row>
    <row r="893">
      <c r="K893" s="3"/>
      <c r="M893" s="4"/>
      <c r="N893" s="10"/>
    </row>
    <row r="894">
      <c r="K894" s="3"/>
      <c r="M894" s="4"/>
      <c r="N894" s="10"/>
    </row>
    <row r="895">
      <c r="K895" s="3"/>
      <c r="M895" s="4"/>
      <c r="N895" s="10"/>
    </row>
    <row r="896">
      <c r="K896" s="3"/>
      <c r="M896" s="4"/>
      <c r="N896" s="10"/>
    </row>
    <row r="897">
      <c r="K897" s="3"/>
      <c r="M897" s="4"/>
      <c r="N897" s="10"/>
    </row>
    <row r="898">
      <c r="K898" s="3"/>
      <c r="M898" s="4"/>
      <c r="N898" s="10"/>
    </row>
    <row r="899">
      <c r="K899" s="3"/>
      <c r="M899" s="4"/>
      <c r="N899" s="10"/>
    </row>
    <row r="900">
      <c r="K900" s="3"/>
      <c r="M900" s="4"/>
      <c r="N900" s="10"/>
    </row>
    <row r="901">
      <c r="K901" s="3"/>
      <c r="M901" s="4"/>
      <c r="N901" s="10"/>
    </row>
    <row r="902">
      <c r="K902" s="3"/>
      <c r="M902" s="4"/>
      <c r="N902" s="10"/>
    </row>
    <row r="903">
      <c r="K903" s="3"/>
      <c r="M903" s="4"/>
      <c r="N903" s="10"/>
    </row>
    <row r="904">
      <c r="K904" s="3"/>
      <c r="M904" s="4"/>
      <c r="N904" s="10"/>
    </row>
    <row r="905">
      <c r="K905" s="3"/>
      <c r="M905" s="4"/>
      <c r="N905" s="10"/>
    </row>
    <row r="906">
      <c r="K906" s="3"/>
      <c r="M906" s="4"/>
      <c r="N906" s="10"/>
    </row>
    <row r="907">
      <c r="K907" s="3"/>
      <c r="M907" s="4"/>
      <c r="N907" s="10"/>
    </row>
    <row r="908">
      <c r="K908" s="3"/>
      <c r="M908" s="4"/>
      <c r="N908" s="10"/>
    </row>
    <row r="909">
      <c r="K909" s="3"/>
      <c r="M909" s="4"/>
      <c r="N909" s="10"/>
    </row>
    <row r="910">
      <c r="K910" s="3"/>
      <c r="M910" s="4"/>
      <c r="N910" s="10"/>
    </row>
    <row r="911">
      <c r="K911" s="3"/>
      <c r="M911" s="4"/>
      <c r="N911" s="10"/>
    </row>
    <row r="912">
      <c r="K912" s="3"/>
      <c r="M912" s="4"/>
      <c r="N912" s="10"/>
    </row>
    <row r="913">
      <c r="K913" s="3"/>
      <c r="M913" s="4"/>
      <c r="N913" s="10"/>
    </row>
    <row r="914">
      <c r="K914" s="3"/>
      <c r="M914" s="4"/>
      <c r="N914" s="10"/>
    </row>
    <row r="915">
      <c r="K915" s="3"/>
      <c r="M915" s="4"/>
      <c r="N915" s="10"/>
    </row>
    <row r="916">
      <c r="K916" s="3"/>
      <c r="M916" s="4"/>
      <c r="N916" s="10"/>
    </row>
    <row r="917">
      <c r="K917" s="3"/>
      <c r="M917" s="4"/>
      <c r="N917" s="10"/>
    </row>
    <row r="918">
      <c r="K918" s="3"/>
      <c r="M918" s="4"/>
      <c r="N918" s="10"/>
    </row>
    <row r="919">
      <c r="K919" s="3"/>
      <c r="M919" s="4"/>
      <c r="N919" s="10"/>
    </row>
    <row r="920">
      <c r="K920" s="3"/>
      <c r="M920" s="4"/>
      <c r="N920" s="10"/>
    </row>
    <row r="921">
      <c r="K921" s="3"/>
      <c r="M921" s="4"/>
      <c r="N921" s="10"/>
    </row>
    <row r="922">
      <c r="K922" s="3"/>
      <c r="M922" s="4"/>
      <c r="N922" s="10"/>
    </row>
    <row r="923">
      <c r="K923" s="3"/>
      <c r="M923" s="4"/>
      <c r="N923" s="10"/>
    </row>
    <row r="924">
      <c r="K924" s="3"/>
      <c r="M924" s="4"/>
      <c r="N924" s="10"/>
    </row>
    <row r="925">
      <c r="K925" s="3"/>
      <c r="M925" s="4"/>
      <c r="N925" s="10"/>
    </row>
    <row r="926">
      <c r="K926" s="3"/>
      <c r="M926" s="4"/>
      <c r="N926" s="10"/>
    </row>
    <row r="927">
      <c r="K927" s="3"/>
      <c r="M927" s="4"/>
      <c r="N927" s="10"/>
    </row>
    <row r="928">
      <c r="K928" s="3"/>
      <c r="M928" s="4"/>
      <c r="N928" s="10"/>
    </row>
    <row r="929">
      <c r="K929" s="3"/>
      <c r="M929" s="4"/>
      <c r="N929" s="10"/>
    </row>
    <row r="930">
      <c r="K930" s="3"/>
      <c r="M930" s="4"/>
      <c r="N930" s="10"/>
    </row>
    <row r="931">
      <c r="K931" s="3"/>
      <c r="M931" s="4"/>
      <c r="N931" s="10"/>
    </row>
    <row r="932">
      <c r="K932" s="3"/>
      <c r="M932" s="4"/>
      <c r="N932" s="10"/>
    </row>
    <row r="933">
      <c r="K933" s="3"/>
      <c r="M933" s="4"/>
      <c r="N933" s="10"/>
    </row>
    <row r="934">
      <c r="K934" s="3"/>
      <c r="M934" s="4"/>
      <c r="N934" s="10"/>
    </row>
    <row r="935">
      <c r="K935" s="3"/>
      <c r="M935" s="4"/>
      <c r="N935" s="10"/>
    </row>
    <row r="936">
      <c r="K936" s="3"/>
      <c r="M936" s="4"/>
      <c r="N936" s="10"/>
    </row>
    <row r="937">
      <c r="K937" s="3"/>
      <c r="M937" s="4"/>
      <c r="N937" s="10"/>
    </row>
    <row r="938">
      <c r="K938" s="3"/>
      <c r="M938" s="4"/>
      <c r="N938" s="10"/>
    </row>
    <row r="939">
      <c r="K939" s="3"/>
      <c r="M939" s="4"/>
      <c r="N939" s="10"/>
    </row>
    <row r="940">
      <c r="K940" s="3"/>
      <c r="M940" s="4"/>
      <c r="N940" s="10"/>
    </row>
    <row r="941">
      <c r="K941" s="3"/>
      <c r="M941" s="4"/>
      <c r="N941" s="10"/>
    </row>
    <row r="942">
      <c r="K942" s="3"/>
      <c r="M942" s="4"/>
      <c r="N942" s="10"/>
    </row>
    <row r="943">
      <c r="K943" s="3"/>
      <c r="M943" s="4"/>
      <c r="N943" s="10"/>
    </row>
    <row r="944">
      <c r="K944" s="3"/>
      <c r="M944" s="4"/>
      <c r="N944" s="10"/>
    </row>
    <row r="945">
      <c r="K945" s="3"/>
      <c r="M945" s="4"/>
      <c r="N945" s="10"/>
    </row>
    <row r="946">
      <c r="K946" s="3"/>
      <c r="M946" s="4"/>
      <c r="N946" s="10"/>
    </row>
    <row r="947">
      <c r="K947" s="3"/>
      <c r="M947" s="4"/>
      <c r="N947" s="10"/>
    </row>
    <row r="948">
      <c r="K948" s="3"/>
      <c r="M948" s="4"/>
      <c r="N948" s="10"/>
    </row>
    <row r="949">
      <c r="K949" s="3"/>
      <c r="M949" s="4"/>
      <c r="N949" s="10"/>
    </row>
    <row r="950">
      <c r="K950" s="3"/>
      <c r="M950" s="4"/>
      <c r="N950" s="10"/>
    </row>
    <row r="951">
      <c r="K951" s="3"/>
      <c r="M951" s="4"/>
      <c r="N951" s="10"/>
    </row>
    <row r="952">
      <c r="K952" s="3"/>
      <c r="M952" s="4"/>
      <c r="N952" s="10"/>
    </row>
    <row r="953">
      <c r="K953" s="3"/>
      <c r="M953" s="4"/>
      <c r="N953" s="10"/>
    </row>
    <row r="954">
      <c r="K954" s="3"/>
      <c r="M954" s="4"/>
      <c r="N954" s="10"/>
    </row>
    <row r="955">
      <c r="K955" s="3"/>
      <c r="M955" s="4"/>
      <c r="N955" s="10"/>
    </row>
    <row r="956">
      <c r="K956" s="3"/>
      <c r="M956" s="4"/>
      <c r="N956" s="10"/>
    </row>
    <row r="957">
      <c r="K957" s="3"/>
      <c r="M957" s="4"/>
      <c r="N957" s="10"/>
    </row>
    <row r="958">
      <c r="K958" s="3"/>
      <c r="M958" s="4"/>
      <c r="N958" s="10"/>
    </row>
    <row r="959">
      <c r="K959" s="3"/>
      <c r="M959" s="4"/>
      <c r="N959" s="10"/>
    </row>
    <row r="960">
      <c r="K960" s="3"/>
      <c r="M960" s="4"/>
      <c r="N960" s="10"/>
    </row>
    <row r="961">
      <c r="K961" s="3"/>
      <c r="M961" s="4"/>
      <c r="N961" s="10"/>
    </row>
    <row r="962">
      <c r="K962" s="3"/>
      <c r="M962" s="4"/>
      <c r="N962" s="10"/>
    </row>
    <row r="963">
      <c r="K963" s="3"/>
      <c r="M963" s="4"/>
      <c r="N963" s="10"/>
    </row>
    <row r="964">
      <c r="K964" s="3"/>
      <c r="M964" s="4"/>
      <c r="N964" s="10"/>
    </row>
    <row r="965">
      <c r="K965" s="3"/>
      <c r="M965" s="4"/>
      <c r="N965" s="10"/>
    </row>
    <row r="966">
      <c r="K966" s="3"/>
      <c r="M966" s="4"/>
      <c r="N966" s="10"/>
    </row>
    <row r="967">
      <c r="K967" s="3"/>
      <c r="M967" s="4"/>
      <c r="N967" s="10"/>
    </row>
    <row r="968">
      <c r="K968" s="3"/>
      <c r="M968" s="4"/>
      <c r="N968" s="10"/>
    </row>
    <row r="969">
      <c r="K969" s="3"/>
      <c r="M969" s="4"/>
      <c r="N969" s="10"/>
    </row>
    <row r="970">
      <c r="K970" s="3"/>
      <c r="M970" s="4"/>
      <c r="N970" s="10"/>
    </row>
    <row r="971">
      <c r="K971" s="3"/>
      <c r="M971" s="4"/>
      <c r="N971" s="10"/>
    </row>
    <row r="972">
      <c r="K972" s="3"/>
      <c r="M972" s="4"/>
      <c r="N972" s="10"/>
    </row>
    <row r="973">
      <c r="K973" s="3"/>
      <c r="M973" s="4"/>
      <c r="N973" s="10"/>
    </row>
    <row r="974">
      <c r="K974" s="3"/>
      <c r="M974" s="4"/>
      <c r="N974" s="10"/>
    </row>
    <row r="975">
      <c r="K975" s="3"/>
      <c r="M975" s="4"/>
      <c r="N975" s="10"/>
    </row>
    <row r="976">
      <c r="K976" s="3"/>
      <c r="M976" s="4"/>
      <c r="N976" s="10"/>
    </row>
    <row r="977">
      <c r="K977" s="3"/>
      <c r="M977" s="4"/>
      <c r="N977" s="10"/>
    </row>
    <row r="978">
      <c r="K978" s="3"/>
      <c r="M978" s="4"/>
      <c r="N978" s="10"/>
    </row>
    <row r="979">
      <c r="K979" s="3"/>
      <c r="M979" s="4"/>
      <c r="N979" s="10"/>
    </row>
    <row r="980">
      <c r="K980" s="3"/>
      <c r="M980" s="4"/>
      <c r="N980" s="10"/>
    </row>
    <row r="981">
      <c r="K981" s="3"/>
      <c r="M981" s="4"/>
      <c r="N981" s="10"/>
    </row>
    <row r="982">
      <c r="K982" s="3"/>
      <c r="M982" s="4"/>
      <c r="N982" s="10"/>
    </row>
    <row r="983">
      <c r="K983" s="3"/>
      <c r="M983" s="4"/>
      <c r="N983" s="10"/>
    </row>
    <row r="984">
      <c r="K984" s="3"/>
      <c r="M984" s="4"/>
      <c r="N984" s="10"/>
    </row>
    <row r="985">
      <c r="K985" s="3"/>
      <c r="M985" s="4"/>
      <c r="N985" s="10"/>
    </row>
    <row r="986">
      <c r="K986" s="3"/>
      <c r="M986" s="4"/>
      <c r="N986" s="10"/>
    </row>
    <row r="987">
      <c r="K987" s="3"/>
      <c r="M987" s="4"/>
      <c r="N987" s="10"/>
    </row>
    <row r="988">
      <c r="K988" s="3"/>
      <c r="M988" s="4"/>
      <c r="N988" s="10"/>
    </row>
    <row r="989">
      <c r="K989" s="3"/>
      <c r="M989" s="4"/>
      <c r="N989" s="10"/>
    </row>
    <row r="990">
      <c r="K990" s="3"/>
      <c r="M990" s="4"/>
      <c r="N990" s="10"/>
    </row>
    <row r="991">
      <c r="K991" s="3"/>
      <c r="M991" s="4"/>
      <c r="N991" s="10"/>
    </row>
    <row r="992">
      <c r="K992" s="3"/>
      <c r="M992" s="4"/>
      <c r="N992" s="10"/>
    </row>
    <row r="993">
      <c r="K993" s="3"/>
      <c r="M993" s="4"/>
      <c r="N993" s="10"/>
    </row>
    <row r="994">
      <c r="K994" s="3"/>
      <c r="M994" s="4"/>
      <c r="N994" s="10"/>
    </row>
    <row r="995">
      <c r="K995" s="3"/>
      <c r="M995" s="4"/>
      <c r="N995" s="10"/>
    </row>
    <row r="996">
      <c r="K996" s="3"/>
      <c r="M996" s="4"/>
      <c r="N996" s="10"/>
    </row>
    <row r="997">
      <c r="K997" s="3"/>
      <c r="M997" s="4"/>
      <c r="N997" s="10"/>
    </row>
    <row r="998">
      <c r="K998" s="3"/>
      <c r="M998" s="4"/>
      <c r="N998" s="10"/>
    </row>
    <row r="999">
      <c r="K999" s="3"/>
      <c r="M999" s="4"/>
      <c r="N999" s="10"/>
    </row>
    <row r="1000">
      <c r="K1000" s="3"/>
      <c r="M1000" s="4"/>
      <c r="N1000" s="10"/>
    </row>
    <row r="1001">
      <c r="K1001" s="3"/>
      <c r="M1001" s="4"/>
      <c r="N1001" s="10"/>
    </row>
    <row r="1002">
      <c r="K1002" s="3"/>
      <c r="M1002" s="4"/>
      <c r="N1002" s="10"/>
    </row>
    <row r="1003">
      <c r="K1003" s="3"/>
      <c r="M1003" s="4"/>
      <c r="N1003" s="10"/>
    </row>
    <row r="1004">
      <c r="K1004" s="3"/>
      <c r="M1004" s="4"/>
      <c r="N1004" s="10"/>
    </row>
  </sheetData>
  <autoFilter ref="$A$1:$K$25"/>
  <mergeCells count="2">
    <mergeCell ref="D27:K27"/>
    <mergeCell ref="D43:I43"/>
  </mergeCells>
  <conditionalFormatting sqref="D2:D26 D28:D41">
    <cfRule type="colorScale" priority="1">
      <colorScale>
        <cfvo type="formula" val="0"/>
        <cfvo type="formula" val="0.5"/>
        <cfvo type="formula" val="1"/>
        <color rgb="FFFFFFFF"/>
        <color rgb="FFF3BEB9"/>
        <color rgb="FFE67C73"/>
      </colorScale>
    </cfRule>
  </conditionalFormatting>
  <conditionalFormatting sqref="E2:J25 E28:J41">
    <cfRule type="colorScale" priority="2">
      <colorScale>
        <cfvo type="formula" val="1"/>
        <cfvo type="formula" val="3"/>
        <cfvo type="formula" val="5"/>
        <color rgb="FFEA9999"/>
        <color rgb="FFFFE599"/>
        <color rgb="FF9FC5E8"/>
      </colorScale>
    </cfRule>
  </conditionalFormatting>
  <conditionalFormatting sqref="E6:J25">
    <cfRule type="expression" dxfId="0" priority="3">
      <formula>E6=MAX(E$6:E$25)</formula>
    </cfRule>
  </conditionalFormatting>
  <conditionalFormatting sqref="E33:J37">
    <cfRule type="expression" dxfId="0" priority="4">
      <formula>E33=MAX(E$33:E$37)</formula>
    </cfRule>
  </conditionalFormatting>
  <conditionalFormatting sqref="E38:J41">
    <cfRule type="expression" dxfId="0" priority="5">
      <formula>E38=MAX(E$38:E$41)</formula>
    </cfRule>
  </conditionalFormatting>
  <conditionalFormatting sqref="N2:R13">
    <cfRule type="colorScale" priority="6">
      <colorScale>
        <cfvo type="formula" val="-1"/>
        <cfvo type="formula" val="0"/>
        <cfvo type="formula" val="1"/>
        <color rgb="FFE67C73"/>
        <color rgb="FFFFFFFF"/>
        <color rgb="FF57BB8A"/>
      </colorScale>
    </cfRule>
  </conditionalFormatting>
  <conditionalFormatting sqref="D44:D57">
    <cfRule type="colorScale" priority="7">
      <colorScale>
        <cfvo type="min"/>
        <cfvo type="max"/>
        <color rgb="FFFFFFFF"/>
        <color rgb="FFE67C73"/>
      </colorScale>
    </cfRule>
  </conditionalFormatting>
  <conditionalFormatting sqref="E44:I57">
    <cfRule type="colorScale" priority="8">
      <colorScale>
        <cfvo type="min"/>
        <cfvo type="percent" val="50"/>
        <cfvo type="max"/>
        <color rgb="FFFFFFFF"/>
        <color rgb="FFF3BEB9"/>
        <color rgb="FFE67C73"/>
      </colorScale>
    </cfRule>
  </conditionalFormatting>
  <conditionalFormatting sqref="E28:J32">
    <cfRule type="expression" dxfId="0" priority="9">
      <formula>E28=MAX(E$28:E$32)</formula>
    </cfRule>
  </conditionalFormatting>
  <dataValidations>
    <dataValidation type="list" allowBlank="1" showErrorMessage="1" sqref="C2:C25 C38:C41 C54:C57">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row r="1">
      <c r="A1" s="122" t="s">
        <v>193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2" t="s">
        <v>20</v>
      </c>
      <c r="B1" s="122">
        <v>1.0</v>
      </c>
    </row>
    <row r="2">
      <c r="A2" s="122" t="s">
        <v>24</v>
      </c>
      <c r="B2" s="122">
        <v>2.0</v>
      </c>
    </row>
    <row r="3">
      <c r="A3" s="122" t="s">
        <v>25</v>
      </c>
      <c r="B3" s="122">
        <v>3.0</v>
      </c>
    </row>
    <row r="4">
      <c r="A4" s="122" t="s">
        <v>26</v>
      </c>
      <c r="B4" s="122">
        <v>4.0</v>
      </c>
    </row>
    <row r="5">
      <c r="A5" s="122" t="s">
        <v>21</v>
      </c>
      <c r="B5" s="122">
        <v>10.0</v>
      </c>
    </row>
    <row r="6">
      <c r="A6" s="122" t="s">
        <v>22</v>
      </c>
      <c r="B6" s="122">
        <v>11.0</v>
      </c>
    </row>
    <row r="7">
      <c r="A7" s="122" t="s">
        <v>8</v>
      </c>
      <c r="B7" s="122">
        <v>12.0</v>
      </c>
    </row>
    <row r="8">
      <c r="A8" s="122" t="s">
        <v>23</v>
      </c>
      <c r="B8" s="122">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31</v>
      </c>
      <c r="D1" s="50"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34</v>
      </c>
      <c r="C2" s="7" t="s">
        <v>16</v>
      </c>
      <c r="D2" s="55" t="s">
        <v>35</v>
      </c>
      <c r="E2" s="56">
        <f>IFERROR(__xludf.DUMMYFUNCTION("COUNTA(SPLIT(D2,"" ""))/COUNTA(SPLIT($B$2,"" ""))"),0.20754716981132076)</f>
        <v>0.2075471698</v>
      </c>
      <c r="F2" s="7">
        <v>4.0</v>
      </c>
      <c r="G2" s="7">
        <v>4.0</v>
      </c>
      <c r="H2" s="7">
        <v>5.0</v>
      </c>
      <c r="I2" s="7">
        <v>5.0</v>
      </c>
      <c r="J2" s="7">
        <v>2.0</v>
      </c>
      <c r="K2" s="57"/>
      <c r="L2" s="57"/>
      <c r="M2" s="57"/>
      <c r="N2" s="57"/>
      <c r="O2" s="57"/>
      <c r="P2" s="57"/>
      <c r="Q2" s="57"/>
      <c r="R2" s="57"/>
      <c r="S2" s="57"/>
      <c r="T2" s="57"/>
      <c r="U2" s="57"/>
      <c r="V2" s="57"/>
      <c r="W2" s="57"/>
      <c r="X2" s="57"/>
      <c r="Y2" s="57"/>
      <c r="Z2" s="57"/>
      <c r="AA2" s="57"/>
      <c r="AB2" s="57"/>
    </row>
    <row r="3" ht="225.0" customHeight="1">
      <c r="C3" s="7" t="s">
        <v>17</v>
      </c>
      <c r="D3" s="55" t="s">
        <v>36</v>
      </c>
      <c r="E3" s="58">
        <f>IFERROR(__xludf.DUMMYFUNCTION("COUNTA(SPLIT(D3,"" ""))/COUNTA(SPLIT($B$2,"" ""))"),0.37735849056603776)</f>
        <v>0.3773584906</v>
      </c>
      <c r="F3" s="7">
        <v>4.0</v>
      </c>
      <c r="G3" s="7">
        <v>4.0</v>
      </c>
      <c r="H3" s="7">
        <v>5.0</v>
      </c>
      <c r="I3" s="7">
        <v>5.0</v>
      </c>
      <c r="J3" s="7">
        <v>4.0</v>
      </c>
      <c r="K3" s="57"/>
      <c r="L3" s="57"/>
      <c r="M3" s="57"/>
      <c r="N3" s="57"/>
      <c r="O3" s="57"/>
      <c r="P3" s="57"/>
      <c r="Q3" s="57"/>
      <c r="R3" s="57"/>
      <c r="S3" s="57"/>
      <c r="T3" s="57"/>
      <c r="U3" s="57"/>
      <c r="V3" s="57"/>
      <c r="W3" s="57"/>
      <c r="X3" s="57"/>
      <c r="Y3" s="57"/>
      <c r="Z3" s="57"/>
      <c r="AA3" s="57"/>
      <c r="AB3" s="57"/>
    </row>
    <row r="4" ht="225.0" customHeight="1">
      <c r="C4" s="7" t="s">
        <v>18</v>
      </c>
      <c r="D4" s="55" t="s">
        <v>37</v>
      </c>
      <c r="E4" s="58">
        <f>IFERROR(__xludf.DUMMYFUNCTION("COUNTA(SPLIT(D4,"" ""))/COUNTA(SPLIT($B$2,"" ""))"),0.7264150943396226)</f>
        <v>0.7264150943</v>
      </c>
      <c r="F4" s="7">
        <v>4.0</v>
      </c>
      <c r="G4" s="7">
        <v>5.0</v>
      </c>
      <c r="H4" s="7">
        <v>5.0</v>
      </c>
      <c r="I4" s="7">
        <v>5.0</v>
      </c>
      <c r="J4" s="7">
        <v>5.0</v>
      </c>
      <c r="K4" s="57"/>
      <c r="L4" s="57"/>
      <c r="M4" s="57"/>
      <c r="N4" s="57"/>
      <c r="O4" s="57"/>
      <c r="P4" s="57"/>
      <c r="Q4" s="57"/>
      <c r="R4" s="57"/>
      <c r="S4" s="57"/>
      <c r="T4" s="57"/>
      <c r="U4" s="57"/>
      <c r="V4" s="57"/>
      <c r="W4" s="57"/>
      <c r="X4" s="57"/>
      <c r="Y4" s="57"/>
      <c r="Z4" s="57"/>
      <c r="AA4" s="57"/>
      <c r="AB4" s="57"/>
    </row>
    <row r="5" ht="225.0" customHeight="1">
      <c r="C5" s="7" t="s">
        <v>19</v>
      </c>
      <c r="D5" s="55" t="s">
        <v>38</v>
      </c>
      <c r="E5" s="58">
        <f>IFERROR(__xludf.DUMMYFUNCTION("COUNTA(SPLIT(D5,"" ""))/COUNTA(SPLIT($B$2,"" ""))"),0.4811320754716981)</f>
        <v>0.4811320755</v>
      </c>
      <c r="F5" s="7"/>
      <c r="G5" s="7"/>
      <c r="H5" s="7"/>
      <c r="I5" s="7"/>
      <c r="J5" s="7"/>
      <c r="K5" s="57"/>
      <c r="L5" s="57"/>
      <c r="M5" s="57"/>
      <c r="N5" s="57"/>
      <c r="O5" s="57"/>
      <c r="P5" s="57"/>
      <c r="Q5" s="57"/>
      <c r="R5" s="57"/>
      <c r="S5" s="57"/>
      <c r="T5" s="57"/>
      <c r="U5" s="57"/>
      <c r="V5" s="57"/>
      <c r="W5" s="57"/>
      <c r="X5" s="57"/>
      <c r="Y5" s="57"/>
      <c r="Z5" s="57"/>
      <c r="AA5" s="57"/>
      <c r="AB5" s="57"/>
    </row>
    <row r="6">
      <c r="A6" s="57"/>
      <c r="B6" s="57"/>
      <c r="C6" s="59"/>
      <c r="D6" s="60"/>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39</v>
      </c>
      <c r="B7" s="63" t="s">
        <v>40</v>
      </c>
      <c r="C7" s="64" t="s">
        <v>16</v>
      </c>
      <c r="D7" s="65" t="s">
        <v>41</v>
      </c>
      <c r="E7" s="66">
        <f>IFERROR(__xludf.DUMMYFUNCTION("COUNTA(SPLIT(D7,"" ""))/COUNTA(SPLIT($B$7,"" ""))"),0.04036697247706422)</f>
        <v>0.04036697248</v>
      </c>
      <c r="F7" s="64">
        <v>4.0</v>
      </c>
      <c r="G7" s="64">
        <v>5.0</v>
      </c>
      <c r="H7" s="64">
        <v>4.0</v>
      </c>
      <c r="I7" s="64">
        <v>5.0</v>
      </c>
      <c r="J7" s="64">
        <v>3.0</v>
      </c>
      <c r="K7" s="67"/>
      <c r="L7" s="67"/>
      <c r="M7" s="67"/>
      <c r="N7" s="67"/>
      <c r="O7" s="67"/>
      <c r="P7" s="67"/>
      <c r="Q7" s="67"/>
      <c r="R7" s="67"/>
      <c r="S7" s="67"/>
      <c r="T7" s="67"/>
      <c r="U7" s="67"/>
      <c r="V7" s="67"/>
      <c r="W7" s="67"/>
      <c r="X7" s="67"/>
      <c r="Y7" s="67"/>
      <c r="Z7" s="67"/>
      <c r="AA7" s="67"/>
      <c r="AB7" s="67"/>
    </row>
    <row r="8" ht="225.0" customHeight="1">
      <c r="C8" s="7" t="s">
        <v>17</v>
      </c>
      <c r="D8" s="55" t="s">
        <v>42</v>
      </c>
      <c r="E8" s="68">
        <f>IFERROR(__xludf.DUMMYFUNCTION("COUNTA(SPLIT(D8,"" ""))/COUNTA(SPLIT($B$7,"" ""))"),0.10458715596330276)</f>
        <v>0.104587156</v>
      </c>
      <c r="F8" s="7">
        <v>5.0</v>
      </c>
      <c r="G8" s="7">
        <v>5.0</v>
      </c>
      <c r="H8" s="7">
        <v>5.0</v>
      </c>
      <c r="I8" s="7">
        <v>5.0</v>
      </c>
      <c r="J8" s="7">
        <v>4.0</v>
      </c>
      <c r="K8" s="57"/>
      <c r="L8" s="57"/>
      <c r="M8" s="57"/>
      <c r="N8" s="57"/>
      <c r="O8" s="57"/>
      <c r="P8" s="57"/>
      <c r="Q8" s="57"/>
      <c r="R8" s="57"/>
      <c r="S8" s="57"/>
      <c r="T8" s="57"/>
      <c r="U8" s="57"/>
      <c r="V8" s="57"/>
      <c r="W8" s="57"/>
      <c r="X8" s="57"/>
      <c r="Y8" s="57"/>
      <c r="Z8" s="57"/>
      <c r="AA8" s="57"/>
      <c r="AB8" s="57"/>
    </row>
    <row r="9" ht="225.0" customHeight="1">
      <c r="C9" s="7" t="s">
        <v>18</v>
      </c>
      <c r="D9" s="55" t="s">
        <v>43</v>
      </c>
      <c r="E9" s="68">
        <f>IFERROR(__xludf.DUMMYFUNCTION("COUNTA(SPLIT(D9,"" ""))/COUNTA(SPLIT($B$7,"" ""))"),0.28623853211009176)</f>
        <v>0.2862385321</v>
      </c>
      <c r="F9" s="7">
        <v>5.0</v>
      </c>
      <c r="G9" s="7">
        <v>5.0</v>
      </c>
      <c r="H9" s="7">
        <v>5.0</v>
      </c>
      <c r="I9" s="7">
        <v>4.0</v>
      </c>
      <c r="J9" s="7">
        <v>5.0</v>
      </c>
      <c r="K9" s="57"/>
      <c r="L9" s="57"/>
      <c r="M9" s="57"/>
      <c r="N9" s="57"/>
      <c r="O9" s="57"/>
      <c r="P9" s="57"/>
      <c r="Q9" s="57"/>
      <c r="R9" s="57"/>
      <c r="S9" s="57"/>
      <c r="T9" s="57"/>
      <c r="U9" s="57"/>
      <c r="V9" s="57"/>
      <c r="W9" s="57"/>
      <c r="X9" s="57"/>
      <c r="Y9" s="57"/>
      <c r="Z9" s="57"/>
      <c r="AA9" s="57"/>
      <c r="AB9" s="57"/>
    </row>
    <row r="10" ht="225.0" customHeight="1">
      <c r="C10" s="7" t="s">
        <v>19</v>
      </c>
      <c r="D10" s="55" t="s">
        <v>44</v>
      </c>
      <c r="E10" s="68">
        <f>IFERROR(__xludf.DUMMYFUNCTION("COUNTA(SPLIT(D10,"" ""))/COUNTA(SPLIT($B$7,"" ""))"),0.13211009174311927)</f>
        <v>0.1321100917</v>
      </c>
      <c r="F10" s="7"/>
      <c r="G10" s="7"/>
      <c r="H10" s="7"/>
      <c r="I10" s="7"/>
      <c r="J10" s="7"/>
      <c r="K10" s="57"/>
      <c r="L10" s="57"/>
      <c r="M10" s="57"/>
      <c r="N10" s="57"/>
      <c r="O10" s="57"/>
      <c r="P10" s="57"/>
      <c r="Q10" s="57"/>
      <c r="R10" s="57"/>
      <c r="S10" s="57"/>
      <c r="T10" s="57"/>
      <c r="U10" s="57"/>
      <c r="V10" s="57"/>
      <c r="W10" s="57"/>
      <c r="X10" s="57"/>
      <c r="Y10" s="57"/>
      <c r="Z10" s="57"/>
      <c r="AA10" s="57"/>
      <c r="AB10" s="57"/>
    </row>
    <row r="11">
      <c r="A11" s="57"/>
      <c r="B11" s="57"/>
      <c r="C11" s="59"/>
      <c r="D11" s="60"/>
      <c r="E11" s="69"/>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45</v>
      </c>
      <c r="B12" s="63" t="s">
        <v>46</v>
      </c>
      <c r="C12" s="64" t="s">
        <v>16</v>
      </c>
      <c r="D12" s="65" t="s">
        <v>47</v>
      </c>
      <c r="E12" s="70">
        <f>IFERROR(__xludf.DUMMYFUNCTION("COUNTA(SPLIT(D12,"" ""))/COUNTA(SPLIT($B$12,"" ""))"),0.06395348837209303)</f>
        <v>0.06395348837</v>
      </c>
      <c r="F12" s="64">
        <v>4.0</v>
      </c>
      <c r="G12" s="64">
        <v>5.0</v>
      </c>
      <c r="H12" s="64">
        <v>5.0</v>
      </c>
      <c r="I12" s="64">
        <v>5.0</v>
      </c>
      <c r="J12" s="64">
        <v>3.0</v>
      </c>
      <c r="K12" s="67"/>
      <c r="L12" s="67"/>
      <c r="M12" s="67"/>
      <c r="N12" s="67"/>
      <c r="O12" s="67"/>
      <c r="P12" s="67"/>
      <c r="Q12" s="67"/>
      <c r="R12" s="67"/>
      <c r="S12" s="67"/>
      <c r="T12" s="67"/>
      <c r="U12" s="67"/>
      <c r="V12" s="67"/>
      <c r="W12" s="67"/>
      <c r="X12" s="67"/>
      <c r="Y12" s="67"/>
      <c r="Z12" s="67"/>
      <c r="AA12" s="67"/>
      <c r="AB12" s="67"/>
    </row>
    <row r="13" ht="225.0" customHeight="1">
      <c r="C13" s="7" t="s">
        <v>17</v>
      </c>
      <c r="D13" s="55" t="s">
        <v>48</v>
      </c>
      <c r="E13" s="58">
        <f>IFERROR(__xludf.DUMMYFUNCTION("COUNTA(SPLIT(D13,"" ""))/COUNTA(SPLIT($B$12,"" ""))"),0.21511627906976744)</f>
        <v>0.2151162791</v>
      </c>
      <c r="F13" s="7">
        <v>5.0</v>
      </c>
      <c r="G13" s="7">
        <v>5.0</v>
      </c>
      <c r="H13" s="7">
        <v>5.0</v>
      </c>
      <c r="I13" s="7">
        <v>5.0</v>
      </c>
      <c r="J13" s="7">
        <v>5.0</v>
      </c>
      <c r="K13" s="57"/>
      <c r="L13" s="57"/>
      <c r="M13" s="57"/>
      <c r="N13" s="57"/>
      <c r="O13" s="57"/>
      <c r="P13" s="57"/>
      <c r="Q13" s="57"/>
      <c r="R13" s="57"/>
      <c r="S13" s="57"/>
      <c r="T13" s="57"/>
      <c r="U13" s="57"/>
      <c r="V13" s="57"/>
      <c r="W13" s="57"/>
      <c r="X13" s="57"/>
      <c r="Y13" s="57"/>
      <c r="Z13" s="57"/>
      <c r="AA13" s="57"/>
      <c r="AB13" s="57"/>
    </row>
    <row r="14" ht="225.0" customHeight="1">
      <c r="C14" s="7" t="s">
        <v>18</v>
      </c>
      <c r="D14" s="55" t="s">
        <v>49</v>
      </c>
      <c r="E14" s="58">
        <f>IFERROR(__xludf.DUMMYFUNCTION("COUNTA(SPLIT(D14,"" ""))/COUNTA(SPLIT($B$12,"" ""))"),0.4069767441860465)</f>
        <v>0.4069767442</v>
      </c>
      <c r="F14" s="7">
        <v>4.0</v>
      </c>
      <c r="G14" s="7">
        <v>5.0</v>
      </c>
      <c r="H14" s="7">
        <v>5.0</v>
      </c>
      <c r="I14" s="7">
        <v>5.0</v>
      </c>
      <c r="J14" s="7">
        <v>5.0</v>
      </c>
      <c r="K14" s="57"/>
      <c r="L14" s="57"/>
      <c r="M14" s="57"/>
      <c r="N14" s="57"/>
      <c r="O14" s="57"/>
      <c r="P14" s="57"/>
      <c r="Q14" s="57"/>
      <c r="R14" s="57"/>
      <c r="S14" s="57"/>
      <c r="T14" s="57"/>
      <c r="U14" s="57"/>
      <c r="V14" s="57"/>
      <c r="W14" s="57"/>
      <c r="X14" s="57"/>
      <c r="Y14" s="57"/>
      <c r="Z14" s="57"/>
      <c r="AA14" s="57"/>
      <c r="AB14" s="57"/>
    </row>
    <row r="15" ht="225.0" customHeight="1">
      <c r="C15" s="7" t="s">
        <v>19</v>
      </c>
      <c r="D15" s="55" t="s">
        <v>50</v>
      </c>
      <c r="E15" s="58">
        <f>IFERROR(__xludf.DUMMYFUNCTION("COUNTA(SPLIT(D15,"" ""))/COUNTA(SPLIT($B$12,"" ""))"),0.21220930232558138)</f>
        <v>0.2122093023</v>
      </c>
      <c r="F15" s="7"/>
      <c r="G15" s="7"/>
      <c r="H15" s="7"/>
      <c r="I15" s="7"/>
      <c r="J15" s="7"/>
      <c r="K15" s="57"/>
      <c r="L15" s="57"/>
      <c r="M15" s="57"/>
      <c r="N15" s="57"/>
      <c r="O15" s="57"/>
      <c r="P15" s="57"/>
      <c r="Q15" s="57"/>
      <c r="R15" s="57"/>
      <c r="S15" s="57"/>
      <c r="T15" s="57"/>
      <c r="U15" s="57"/>
      <c r="V15" s="57"/>
      <c r="W15" s="57"/>
      <c r="X15" s="57"/>
      <c r="Y15" s="57"/>
      <c r="Z15" s="57"/>
      <c r="AA15" s="57"/>
      <c r="AB15" s="57"/>
    </row>
    <row r="16">
      <c r="A16" s="57"/>
      <c r="B16" s="57"/>
      <c r="C16" s="59"/>
      <c r="D16" s="60"/>
      <c r="E16" s="69"/>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51</v>
      </c>
      <c r="B17" s="63" t="s">
        <v>52</v>
      </c>
      <c r="C17" s="64" t="s">
        <v>16</v>
      </c>
      <c r="D17" s="65" t="s">
        <v>53</v>
      </c>
      <c r="E17" s="71">
        <f>IFERROR(__xludf.DUMMYFUNCTION("COUNTA(SPLIT(D17,"" ""))/COUNTA(SPLIT($B$17,"" ""))"),0.18134715025906736)</f>
        <v>0.1813471503</v>
      </c>
      <c r="F17" s="64">
        <v>4.0</v>
      </c>
      <c r="G17" s="64">
        <v>4.0</v>
      </c>
      <c r="H17" s="64">
        <v>5.0</v>
      </c>
      <c r="I17" s="64">
        <v>5.0</v>
      </c>
      <c r="J17" s="64">
        <v>3.0</v>
      </c>
      <c r="K17" s="67"/>
      <c r="L17" s="67"/>
      <c r="M17" s="67"/>
      <c r="N17" s="67"/>
      <c r="O17" s="67"/>
      <c r="P17" s="67"/>
      <c r="Q17" s="67"/>
      <c r="R17" s="67"/>
      <c r="S17" s="67"/>
      <c r="T17" s="67"/>
      <c r="U17" s="67"/>
      <c r="V17" s="67"/>
      <c r="W17" s="67"/>
      <c r="X17" s="67"/>
      <c r="Y17" s="67"/>
      <c r="Z17" s="67"/>
      <c r="AA17" s="67"/>
      <c r="AB17" s="67"/>
    </row>
    <row r="18" ht="225.0" customHeight="1">
      <c r="C18" s="7" t="s">
        <v>17</v>
      </c>
      <c r="D18" s="55" t="s">
        <v>54</v>
      </c>
      <c r="E18" s="58">
        <f>IFERROR(__xludf.DUMMYFUNCTION("COUNTA(SPLIT(D18,"" ""))/COUNTA(SPLIT($B$17,"" ""))"),0.2849740932642487)</f>
        <v>0.2849740933</v>
      </c>
      <c r="F18" s="7">
        <v>5.0</v>
      </c>
      <c r="G18" s="7">
        <v>5.0</v>
      </c>
      <c r="H18" s="7">
        <v>5.0</v>
      </c>
      <c r="I18" s="7">
        <v>5.0</v>
      </c>
      <c r="J18" s="7">
        <v>4.0</v>
      </c>
      <c r="K18" s="57"/>
      <c r="L18" s="57"/>
      <c r="M18" s="57"/>
      <c r="N18" s="57"/>
      <c r="O18" s="57"/>
      <c r="P18" s="57"/>
      <c r="Q18" s="57"/>
      <c r="R18" s="57"/>
      <c r="S18" s="57"/>
      <c r="T18" s="57"/>
      <c r="U18" s="57"/>
      <c r="V18" s="57"/>
      <c r="W18" s="57"/>
      <c r="X18" s="57"/>
      <c r="Y18" s="57"/>
      <c r="Z18" s="57"/>
      <c r="AA18" s="57"/>
      <c r="AB18" s="57"/>
    </row>
    <row r="19" ht="225.0" customHeight="1">
      <c r="C19" s="7" t="s">
        <v>18</v>
      </c>
      <c r="D19" s="55" t="s">
        <v>55</v>
      </c>
      <c r="E19" s="58">
        <f>IFERROR(__xludf.DUMMYFUNCTION("COUNTA(SPLIT(D19,"" ""))/COUNTA(SPLIT($B$17,"" ""))"),0.6424870466321243)</f>
        <v>0.6424870466</v>
      </c>
      <c r="F19" s="7">
        <v>5.0</v>
      </c>
      <c r="G19" s="7">
        <v>5.0</v>
      </c>
      <c r="H19" s="7">
        <v>5.0</v>
      </c>
      <c r="I19" s="7">
        <v>4.0</v>
      </c>
      <c r="J19" s="7">
        <v>5.0</v>
      </c>
      <c r="K19" s="57"/>
      <c r="L19" s="57"/>
      <c r="M19" s="57"/>
      <c r="N19" s="57"/>
      <c r="O19" s="57"/>
      <c r="P19" s="57"/>
      <c r="Q19" s="57"/>
      <c r="R19" s="57"/>
      <c r="S19" s="57"/>
      <c r="T19" s="57"/>
      <c r="U19" s="57"/>
      <c r="V19" s="57"/>
      <c r="W19" s="57"/>
      <c r="X19" s="57"/>
      <c r="Y19" s="57"/>
      <c r="Z19" s="57"/>
      <c r="AA19" s="57"/>
      <c r="AB19" s="57"/>
    </row>
    <row r="20" ht="225.0" customHeight="1">
      <c r="C20" s="7" t="s">
        <v>19</v>
      </c>
      <c r="D20" s="55" t="s">
        <v>56</v>
      </c>
      <c r="E20" s="58">
        <f>IFERROR(__xludf.DUMMYFUNCTION("COUNTA(SPLIT(D20,"" ""))/COUNTA(SPLIT($B$17,"" ""))"),0.44559585492227977)</f>
        <v>0.4455958549</v>
      </c>
      <c r="F20" s="7"/>
      <c r="G20" s="7"/>
      <c r="H20" s="7"/>
      <c r="I20" s="7"/>
      <c r="J20" s="7"/>
      <c r="K20" s="57"/>
      <c r="L20" s="57"/>
      <c r="M20" s="57"/>
      <c r="N20" s="57"/>
      <c r="O20" s="57"/>
      <c r="P20" s="57"/>
      <c r="Q20" s="57"/>
      <c r="R20" s="57"/>
      <c r="S20" s="57"/>
      <c r="T20" s="57"/>
      <c r="U20" s="57"/>
      <c r="V20" s="57"/>
      <c r="W20" s="57"/>
      <c r="X20" s="57"/>
      <c r="Y20" s="57"/>
      <c r="Z20" s="57"/>
      <c r="AA20" s="57"/>
      <c r="AB20" s="57"/>
    </row>
    <row r="21">
      <c r="A21" s="57"/>
      <c r="B21" s="57"/>
      <c r="C21" s="59"/>
      <c r="D21" s="60"/>
      <c r="E21" s="69"/>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57</v>
      </c>
      <c r="B22" s="63" t="s">
        <v>58</v>
      </c>
      <c r="C22" s="64" t="s">
        <v>16</v>
      </c>
      <c r="D22" s="65" t="s">
        <v>59</v>
      </c>
      <c r="E22" s="72">
        <f>IFERROR(__xludf.DUMMYFUNCTION("COUNTA(SPLIT(D22,"" ""))/COUNTA(SPLIT($B$22,"" ""))"),0.03735144312393888)</f>
        <v>0.03735144312</v>
      </c>
      <c r="F22" s="64">
        <v>4.0</v>
      </c>
      <c r="G22" s="64">
        <v>5.0</v>
      </c>
      <c r="H22" s="64">
        <v>5.0</v>
      </c>
      <c r="I22" s="64">
        <v>5.0</v>
      </c>
      <c r="J22" s="64">
        <v>3.0</v>
      </c>
      <c r="K22" s="67"/>
      <c r="L22" s="67"/>
      <c r="M22" s="67"/>
      <c r="N22" s="67"/>
      <c r="O22" s="67"/>
      <c r="P22" s="67"/>
      <c r="Q22" s="67"/>
      <c r="R22" s="67"/>
      <c r="S22" s="67"/>
      <c r="T22" s="67"/>
      <c r="U22" s="67"/>
      <c r="V22" s="67"/>
      <c r="W22" s="67"/>
      <c r="X22" s="67"/>
      <c r="Y22" s="67"/>
      <c r="Z22" s="67"/>
      <c r="AA22" s="67"/>
      <c r="AB22" s="67"/>
    </row>
    <row r="23" ht="225.0" customHeight="1">
      <c r="C23" s="7" t="s">
        <v>17</v>
      </c>
      <c r="D23" s="55" t="s">
        <v>60</v>
      </c>
      <c r="E23" s="58">
        <f>IFERROR(__xludf.DUMMYFUNCTION("COUNTA(SPLIT(D23,"" ""))/COUNTA(SPLIT($B$22,"" ""))"),0.15619694397283532)</f>
        <v>0.156196944</v>
      </c>
      <c r="F23" s="7">
        <v>4.0</v>
      </c>
      <c r="G23" s="7">
        <v>5.0</v>
      </c>
      <c r="H23" s="7">
        <v>5.0</v>
      </c>
      <c r="I23" s="7">
        <v>5.0</v>
      </c>
      <c r="J23" s="7">
        <v>4.0</v>
      </c>
      <c r="K23" s="57"/>
      <c r="L23" s="57"/>
      <c r="M23" s="57"/>
      <c r="N23" s="57"/>
      <c r="O23" s="57"/>
      <c r="P23" s="57"/>
      <c r="Q23" s="57"/>
      <c r="R23" s="57"/>
      <c r="S23" s="57"/>
      <c r="T23" s="57"/>
      <c r="U23" s="57"/>
      <c r="V23" s="57"/>
      <c r="W23" s="57"/>
      <c r="X23" s="57"/>
      <c r="Y23" s="57"/>
      <c r="Z23" s="57"/>
      <c r="AA23" s="57"/>
      <c r="AB23" s="57"/>
    </row>
    <row r="24" ht="225.0" customHeight="1">
      <c r="C24" s="7" t="s">
        <v>18</v>
      </c>
      <c r="D24" s="55" t="s">
        <v>61</v>
      </c>
      <c r="E24" s="58">
        <f>IFERROR(__xludf.DUMMYFUNCTION("COUNTA(SPLIT(D24,"" ""))/COUNTA(SPLIT($B$22,"" ""))"),0.4634974533106961)</f>
        <v>0.4634974533</v>
      </c>
      <c r="F24" s="7">
        <v>4.0</v>
      </c>
      <c r="G24" s="7">
        <v>5.0</v>
      </c>
      <c r="H24" s="7">
        <v>5.0</v>
      </c>
      <c r="I24" s="7">
        <v>4.0</v>
      </c>
      <c r="J24" s="7">
        <v>5.0</v>
      </c>
      <c r="K24" s="57"/>
      <c r="L24" s="57"/>
      <c r="M24" s="57"/>
      <c r="N24" s="57"/>
      <c r="O24" s="57"/>
      <c r="P24" s="57"/>
      <c r="Q24" s="57"/>
      <c r="R24" s="57"/>
      <c r="S24" s="57"/>
      <c r="T24" s="57"/>
      <c r="U24" s="57"/>
      <c r="V24" s="57"/>
      <c r="W24" s="57"/>
      <c r="X24" s="57"/>
      <c r="Y24" s="57"/>
      <c r="Z24" s="57"/>
      <c r="AA24" s="57"/>
      <c r="AB24" s="57"/>
    </row>
    <row r="25" ht="225.0" customHeight="1">
      <c r="C25" s="7" t="s">
        <v>19</v>
      </c>
      <c r="D25" s="55" t="s">
        <v>62</v>
      </c>
      <c r="E25" s="58">
        <f>IFERROR(__xludf.DUMMYFUNCTION("COUNTA(SPLIT(D25,"" ""))/COUNTA(SPLIT($B$22,"" ""))"),0.2071307300509338)</f>
        <v>0.2071307301</v>
      </c>
      <c r="F25" s="7"/>
      <c r="G25" s="7"/>
      <c r="H25" s="7"/>
      <c r="I25" s="7"/>
      <c r="J25" s="7"/>
      <c r="K25" s="57"/>
      <c r="L25" s="57"/>
      <c r="M25" s="57"/>
      <c r="N25" s="57"/>
      <c r="O25" s="57"/>
      <c r="P25" s="57"/>
      <c r="Q25" s="57"/>
      <c r="R25" s="57"/>
      <c r="S25" s="57"/>
      <c r="T25" s="57"/>
      <c r="U25" s="57"/>
      <c r="V25" s="57"/>
      <c r="W25" s="57"/>
      <c r="X25" s="57"/>
      <c r="Y25" s="57"/>
      <c r="Z25" s="57"/>
      <c r="AA25" s="57"/>
      <c r="AB25" s="57"/>
    </row>
    <row r="26">
      <c r="A26" s="57"/>
      <c r="B26" s="57"/>
      <c r="C26" s="59"/>
      <c r="D26" s="60"/>
      <c r="E26" s="6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60"/>
      <c r="E27" s="6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60"/>
      <c r="E28" s="6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60"/>
      <c r="E29" s="6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60"/>
      <c r="E30" s="6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60"/>
      <c r="E31" s="6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60"/>
      <c r="E32" s="6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60"/>
      <c r="E33" s="6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60"/>
      <c r="E34" s="6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60"/>
      <c r="E35" s="6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60"/>
      <c r="E36" s="6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60"/>
      <c r="E37" s="6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60"/>
      <c r="E38" s="6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60"/>
      <c r="E39" s="6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60"/>
      <c r="E40" s="6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60"/>
      <c r="E41" s="6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60"/>
      <c r="E42" s="6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60"/>
      <c r="E43" s="6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60"/>
      <c r="E44" s="6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60"/>
      <c r="E45" s="6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60"/>
      <c r="E46" s="6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60"/>
      <c r="E47" s="6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60"/>
      <c r="E48" s="6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60"/>
      <c r="E49" s="6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60"/>
      <c r="E50" s="6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60"/>
      <c r="E51" s="6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60"/>
      <c r="E52" s="6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60"/>
      <c r="E53" s="6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60"/>
      <c r="E54" s="6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60"/>
      <c r="E55" s="6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60"/>
      <c r="E56" s="6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60"/>
      <c r="E57" s="6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60"/>
      <c r="E58" s="6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60"/>
      <c r="E59" s="6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60"/>
      <c r="E60" s="6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60"/>
      <c r="E61" s="6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60"/>
      <c r="E62" s="6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60"/>
      <c r="E63" s="6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60"/>
      <c r="E64" s="6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60"/>
      <c r="E65" s="6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60"/>
      <c r="E66" s="6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60"/>
      <c r="E67" s="6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60"/>
      <c r="E68" s="6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60"/>
      <c r="E69" s="6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60"/>
      <c r="E70" s="6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60"/>
      <c r="E71" s="6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60"/>
      <c r="E72" s="6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60"/>
      <c r="E73" s="6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60"/>
      <c r="E74" s="6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60"/>
      <c r="E75" s="6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60"/>
      <c r="E76" s="6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60"/>
      <c r="E77" s="6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60"/>
      <c r="E78" s="6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60"/>
      <c r="E79" s="6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60"/>
      <c r="E80" s="6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60"/>
      <c r="E81" s="6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60"/>
      <c r="E82" s="6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60"/>
      <c r="E83" s="6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60"/>
      <c r="E84" s="6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60"/>
      <c r="E85" s="6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60"/>
      <c r="E86" s="6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60"/>
      <c r="E87" s="6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60"/>
      <c r="E88" s="6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60"/>
      <c r="E89" s="6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60"/>
      <c r="E90" s="6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60"/>
      <c r="E91" s="6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60"/>
      <c r="E92" s="6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60"/>
      <c r="E93" s="6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60"/>
      <c r="E94" s="6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60"/>
      <c r="E95" s="6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60"/>
      <c r="E96" s="6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60"/>
      <c r="E97" s="6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60"/>
      <c r="E98" s="6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60"/>
      <c r="E99" s="6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60"/>
      <c r="E100" s="6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60"/>
      <c r="E101" s="6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60"/>
      <c r="E102" s="6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60"/>
      <c r="E103" s="6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60"/>
      <c r="E104" s="6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60"/>
      <c r="E105" s="6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60"/>
      <c r="E106" s="6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60"/>
      <c r="E107" s="6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60"/>
      <c r="E108" s="6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60"/>
      <c r="E109" s="6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60"/>
      <c r="E110" s="6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60"/>
      <c r="E111" s="6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60"/>
      <c r="E112" s="6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60"/>
      <c r="E113" s="6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60"/>
      <c r="E114" s="6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60"/>
      <c r="E115" s="6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60"/>
      <c r="E116" s="6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60"/>
      <c r="E117" s="6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60"/>
      <c r="E118" s="6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60"/>
      <c r="E119" s="6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60"/>
      <c r="E120" s="6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60"/>
      <c r="E121" s="6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60"/>
      <c r="E122" s="6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60"/>
      <c r="E123" s="6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60"/>
      <c r="E124" s="6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60"/>
      <c r="E125" s="6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60"/>
      <c r="E126" s="6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60"/>
      <c r="E127" s="6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60"/>
      <c r="E128" s="6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60"/>
      <c r="E129" s="6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60"/>
      <c r="E130" s="6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60"/>
      <c r="E131" s="6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60"/>
      <c r="E132" s="6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60"/>
      <c r="E133" s="6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60"/>
      <c r="E134" s="6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60"/>
      <c r="E135" s="6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60"/>
      <c r="E136" s="6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60"/>
      <c r="E137" s="6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60"/>
      <c r="E138" s="6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60"/>
      <c r="E139" s="6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60"/>
      <c r="E140" s="6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60"/>
      <c r="E141" s="6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60"/>
      <c r="E142" s="6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60"/>
      <c r="E143" s="6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60"/>
      <c r="E144" s="6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60"/>
      <c r="E145" s="6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60"/>
      <c r="E146" s="6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60"/>
      <c r="E147" s="6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60"/>
      <c r="E148" s="6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60"/>
      <c r="E149" s="6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60"/>
      <c r="E150" s="6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60"/>
      <c r="E151" s="6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60"/>
      <c r="E152" s="6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60"/>
      <c r="E153" s="6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60"/>
      <c r="E154" s="6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60"/>
      <c r="E155" s="6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60"/>
      <c r="E156" s="6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60"/>
      <c r="E157" s="6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60"/>
      <c r="E158" s="6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60"/>
      <c r="E159" s="6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60"/>
      <c r="E160" s="6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60"/>
      <c r="E161" s="6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60"/>
      <c r="E162" s="6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60"/>
      <c r="E163" s="6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60"/>
      <c r="E164" s="6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60"/>
      <c r="E165" s="6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60"/>
      <c r="E166" s="6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60"/>
      <c r="E167" s="6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60"/>
      <c r="E168" s="6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60"/>
      <c r="E169" s="6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60"/>
      <c r="E170" s="6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60"/>
      <c r="E171" s="6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60"/>
      <c r="E172" s="6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60"/>
      <c r="E173" s="6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60"/>
      <c r="E174" s="6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60"/>
      <c r="E175" s="6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60"/>
      <c r="E176" s="6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60"/>
      <c r="E177" s="6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60"/>
      <c r="E178" s="6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60"/>
      <c r="E179" s="6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60"/>
      <c r="E180" s="6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60"/>
      <c r="E181" s="6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60"/>
      <c r="E182" s="6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60"/>
      <c r="E183" s="6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60"/>
      <c r="E184" s="6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60"/>
      <c r="E185" s="6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60"/>
      <c r="E186" s="6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60"/>
      <c r="E187" s="6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60"/>
      <c r="E188" s="6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60"/>
      <c r="E189" s="6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60"/>
      <c r="E190" s="6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60"/>
      <c r="E191" s="6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60"/>
      <c r="E192" s="6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60"/>
      <c r="E193" s="6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60"/>
      <c r="E194" s="6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60"/>
      <c r="E195" s="6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60"/>
      <c r="E196" s="6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60"/>
      <c r="E197" s="6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60"/>
      <c r="E198" s="6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60"/>
      <c r="E199" s="6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60"/>
      <c r="E200" s="6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60"/>
      <c r="E201" s="6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60"/>
      <c r="E202" s="6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60"/>
      <c r="E203" s="6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60"/>
      <c r="E204" s="6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60"/>
      <c r="E205" s="6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60"/>
      <c r="E206" s="6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60"/>
      <c r="E207" s="6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60"/>
      <c r="E208" s="6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60"/>
      <c r="E209" s="6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60"/>
      <c r="E210" s="6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60"/>
      <c r="E211" s="6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60"/>
      <c r="E212" s="6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60"/>
      <c r="E213" s="6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60"/>
      <c r="E214" s="6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60"/>
      <c r="E215" s="6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60"/>
      <c r="E216" s="6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60"/>
      <c r="E217" s="6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60"/>
      <c r="E218" s="6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60"/>
      <c r="E219" s="6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60"/>
      <c r="E220" s="6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60"/>
      <c r="E221" s="6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60"/>
      <c r="E222" s="6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60"/>
      <c r="E223" s="6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60"/>
      <c r="E224" s="6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60"/>
      <c r="E225" s="6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60"/>
      <c r="E226" s="6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60"/>
      <c r="E227" s="6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60"/>
      <c r="E228" s="6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60"/>
      <c r="E229" s="6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60"/>
      <c r="E230" s="6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60"/>
      <c r="E231" s="6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60"/>
      <c r="E232" s="6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60"/>
      <c r="E233" s="6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60"/>
      <c r="E234" s="6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60"/>
      <c r="E235" s="6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60"/>
      <c r="E236" s="6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60"/>
      <c r="E237" s="6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60"/>
      <c r="E238" s="6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60"/>
      <c r="E239" s="6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60"/>
      <c r="E240" s="6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60"/>
      <c r="E241" s="6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60"/>
      <c r="E242" s="6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60"/>
      <c r="E243" s="6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60"/>
      <c r="E244" s="6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60"/>
      <c r="E245" s="6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60"/>
      <c r="E246" s="6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60"/>
      <c r="E247" s="6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60"/>
      <c r="E248" s="6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60"/>
      <c r="E249" s="6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60"/>
      <c r="E250" s="6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60"/>
      <c r="E251" s="6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60"/>
      <c r="E252" s="6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60"/>
      <c r="E253" s="6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60"/>
      <c r="E254" s="6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60"/>
      <c r="E255" s="6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60"/>
      <c r="E256" s="6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60"/>
      <c r="E257" s="6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60"/>
      <c r="E258" s="6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60"/>
      <c r="E259" s="6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60"/>
      <c r="E260" s="6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60"/>
      <c r="E261" s="6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60"/>
      <c r="E262" s="6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60"/>
      <c r="E263" s="6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60"/>
      <c r="E264" s="6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60"/>
      <c r="E265" s="6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60"/>
      <c r="E266" s="6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60"/>
      <c r="E267" s="6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60"/>
      <c r="E268" s="6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60"/>
      <c r="E269" s="6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60"/>
      <c r="E270" s="6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60"/>
      <c r="E271" s="6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60"/>
      <c r="E272" s="6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60"/>
      <c r="E273" s="6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60"/>
      <c r="E274" s="6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60"/>
      <c r="E275" s="6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60"/>
      <c r="E276" s="6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60"/>
      <c r="E277" s="6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60"/>
      <c r="E278" s="6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60"/>
      <c r="E279" s="6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60"/>
      <c r="E280" s="6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60"/>
      <c r="E281" s="6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60"/>
      <c r="E282" s="6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60"/>
      <c r="E283" s="6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60"/>
      <c r="E284" s="6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60"/>
      <c r="E285" s="6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60"/>
      <c r="E286" s="6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60"/>
      <c r="E287" s="6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60"/>
      <c r="E288" s="6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60"/>
      <c r="E289" s="6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60"/>
      <c r="E290" s="6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60"/>
      <c r="E291" s="6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60"/>
      <c r="E292" s="6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60"/>
      <c r="E293" s="6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60"/>
      <c r="E294" s="6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60"/>
      <c r="E295" s="6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60"/>
      <c r="E296" s="6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60"/>
      <c r="E297" s="6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60"/>
      <c r="E298" s="6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60"/>
      <c r="E299" s="6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60"/>
      <c r="E300" s="6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60"/>
      <c r="E301" s="6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60"/>
      <c r="E302" s="6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60"/>
      <c r="E303" s="6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60"/>
      <c r="E304" s="6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60"/>
      <c r="E305" s="6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60"/>
      <c r="E306" s="6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60"/>
      <c r="E307" s="6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60"/>
      <c r="E308" s="6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60"/>
      <c r="E309" s="6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60"/>
      <c r="E310" s="6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60"/>
      <c r="E311" s="6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60"/>
      <c r="E312" s="6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60"/>
      <c r="E313" s="6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60"/>
      <c r="E314" s="6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60"/>
      <c r="E315" s="6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60"/>
      <c r="E316" s="6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60"/>
      <c r="E317" s="6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60"/>
      <c r="E318" s="6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60"/>
      <c r="E319" s="6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60"/>
      <c r="E320" s="6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60"/>
      <c r="E321" s="6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60"/>
      <c r="E322" s="6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60"/>
      <c r="E323" s="6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60"/>
      <c r="E324" s="6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60"/>
      <c r="E325" s="6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60"/>
      <c r="E326" s="6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60"/>
      <c r="E327" s="6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60"/>
      <c r="E328" s="6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60"/>
      <c r="E329" s="6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60"/>
      <c r="E330" s="6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60"/>
      <c r="E331" s="6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60"/>
      <c r="E332" s="6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60"/>
      <c r="E333" s="6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60"/>
      <c r="E334" s="6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60"/>
      <c r="E335" s="6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60"/>
      <c r="E336" s="6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60"/>
      <c r="E337" s="6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60"/>
      <c r="E338" s="6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60"/>
      <c r="E339" s="6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60"/>
      <c r="E340" s="6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60"/>
      <c r="E341" s="6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60"/>
      <c r="E342" s="6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60"/>
      <c r="E343" s="6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60"/>
      <c r="E344" s="6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60"/>
      <c r="E345" s="6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60"/>
      <c r="E346" s="6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60"/>
      <c r="E347" s="6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60"/>
      <c r="E348" s="6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60"/>
      <c r="E349" s="6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60"/>
      <c r="E350" s="6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60"/>
      <c r="E351" s="6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60"/>
      <c r="E352" s="6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60"/>
      <c r="E353" s="6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60"/>
      <c r="E354" s="6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60"/>
      <c r="E355" s="6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60"/>
      <c r="E356" s="6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60"/>
      <c r="E357" s="6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60"/>
      <c r="E358" s="6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60"/>
      <c r="E359" s="6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60"/>
      <c r="E360" s="6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60"/>
      <c r="E361" s="6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60"/>
      <c r="E362" s="6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60"/>
      <c r="E363" s="6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60"/>
      <c r="E364" s="6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60"/>
      <c r="E365" s="6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60"/>
      <c r="E366" s="6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60"/>
      <c r="E367" s="6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60"/>
      <c r="E368" s="6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60"/>
      <c r="E369" s="6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60"/>
      <c r="E370" s="6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60"/>
      <c r="E371" s="6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60"/>
      <c r="E372" s="6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60"/>
      <c r="E373" s="6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60"/>
      <c r="E374" s="6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60"/>
      <c r="E375" s="6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60"/>
      <c r="E376" s="6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60"/>
      <c r="E377" s="6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60"/>
      <c r="E378" s="6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60"/>
      <c r="E379" s="6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60"/>
      <c r="E380" s="6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60"/>
      <c r="E381" s="6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60"/>
      <c r="E382" s="6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60"/>
      <c r="E383" s="6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60"/>
      <c r="E384" s="6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60"/>
      <c r="E385" s="6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60"/>
      <c r="E386" s="6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60"/>
      <c r="E387" s="6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60"/>
      <c r="E388" s="6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60"/>
      <c r="E389" s="6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60"/>
      <c r="E390" s="6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60"/>
      <c r="E391" s="6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60"/>
      <c r="E392" s="6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60"/>
      <c r="E393" s="6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60"/>
      <c r="E394" s="6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60"/>
      <c r="E395" s="6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60"/>
      <c r="E396" s="6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60"/>
      <c r="E397" s="6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60"/>
      <c r="E398" s="6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60"/>
      <c r="E399" s="6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60"/>
      <c r="E400" s="6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60"/>
      <c r="E401" s="6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60"/>
      <c r="E402" s="6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60"/>
      <c r="E403" s="6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60"/>
      <c r="E404" s="6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60"/>
      <c r="E405" s="6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60"/>
      <c r="E406" s="6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60"/>
      <c r="E407" s="6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60"/>
      <c r="E408" s="6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60"/>
      <c r="E409" s="6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60"/>
      <c r="E410" s="6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60"/>
      <c r="E411" s="6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60"/>
      <c r="E412" s="6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60"/>
      <c r="E413" s="6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60"/>
      <c r="E414" s="6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60"/>
      <c r="E415" s="6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60"/>
      <c r="E416" s="6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60"/>
      <c r="E417" s="6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60"/>
      <c r="E418" s="6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60"/>
      <c r="E419" s="6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60"/>
      <c r="E420" s="6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60"/>
      <c r="E421" s="6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60"/>
      <c r="E422" s="6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60"/>
      <c r="E423" s="6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60"/>
      <c r="E424" s="6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60"/>
      <c r="E425" s="6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60"/>
      <c r="E426" s="6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60"/>
      <c r="E427" s="6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60"/>
      <c r="E428" s="6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60"/>
      <c r="E429" s="6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60"/>
      <c r="E430" s="6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60"/>
      <c r="E431" s="6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60"/>
      <c r="E432" s="6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60"/>
      <c r="E433" s="6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60"/>
      <c r="E434" s="6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60"/>
      <c r="E435" s="6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60"/>
      <c r="E436" s="6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60"/>
      <c r="E437" s="6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60"/>
      <c r="E438" s="6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60"/>
      <c r="E439" s="6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60"/>
      <c r="E440" s="6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60"/>
      <c r="E441" s="6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60"/>
      <c r="E442" s="6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60"/>
      <c r="E443" s="6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60"/>
      <c r="E444" s="6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60"/>
      <c r="E445" s="6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60"/>
      <c r="E446" s="6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60"/>
      <c r="E447" s="6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60"/>
      <c r="E448" s="6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60"/>
      <c r="E449" s="6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60"/>
      <c r="E450" s="6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60"/>
      <c r="E451" s="6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60"/>
      <c r="E452" s="6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60"/>
      <c r="E453" s="6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60"/>
      <c r="E454" s="6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60"/>
      <c r="E455" s="6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60"/>
      <c r="E456" s="6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60"/>
      <c r="E457" s="6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60"/>
      <c r="E458" s="6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60"/>
      <c r="E459" s="6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60"/>
      <c r="E460" s="6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60"/>
      <c r="E461" s="6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60"/>
      <c r="E462" s="6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60"/>
      <c r="E463" s="6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60"/>
      <c r="E464" s="6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60"/>
      <c r="E465" s="6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60"/>
      <c r="E466" s="6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60"/>
      <c r="E467" s="6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60"/>
      <c r="E468" s="6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60"/>
      <c r="E469" s="6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60"/>
      <c r="E470" s="6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60"/>
      <c r="E471" s="6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60"/>
      <c r="E472" s="6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60"/>
      <c r="E473" s="6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60"/>
      <c r="E474" s="6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60"/>
      <c r="E475" s="6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60"/>
      <c r="E476" s="6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60"/>
      <c r="E477" s="6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60"/>
      <c r="E478" s="6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60"/>
      <c r="E479" s="6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60"/>
      <c r="E480" s="6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60"/>
      <c r="E481" s="6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60"/>
      <c r="E482" s="6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60"/>
      <c r="E483" s="6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60"/>
      <c r="E484" s="6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60"/>
      <c r="E485" s="6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60"/>
      <c r="E486" s="6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60"/>
      <c r="E487" s="6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60"/>
      <c r="E488" s="6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60"/>
      <c r="E489" s="6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60"/>
      <c r="E490" s="6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60"/>
      <c r="E491" s="6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60"/>
      <c r="E492" s="6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60"/>
      <c r="E493" s="6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60"/>
      <c r="E494" s="6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60"/>
      <c r="E495" s="6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60"/>
      <c r="E496" s="6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60"/>
      <c r="E497" s="6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60"/>
      <c r="E498" s="6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60"/>
      <c r="E499" s="6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60"/>
      <c r="E500" s="6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60"/>
      <c r="E501" s="6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60"/>
      <c r="E502" s="6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60"/>
      <c r="E503" s="6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60"/>
      <c r="E504" s="6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60"/>
      <c r="E505" s="6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60"/>
      <c r="E506" s="6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60"/>
      <c r="E507" s="6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60"/>
      <c r="E508" s="6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60"/>
      <c r="E509" s="6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60"/>
      <c r="E510" s="6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60"/>
      <c r="E511" s="6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60"/>
      <c r="E512" s="6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60"/>
      <c r="E513" s="6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60"/>
      <c r="E514" s="6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60"/>
      <c r="E515" s="6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60"/>
      <c r="E516" s="6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60"/>
      <c r="E517" s="6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60"/>
      <c r="E518" s="6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60"/>
      <c r="E519" s="6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60"/>
      <c r="E520" s="6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60"/>
      <c r="E521" s="6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60"/>
      <c r="E522" s="6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60"/>
      <c r="E523" s="6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60"/>
      <c r="E524" s="6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60"/>
      <c r="E525" s="6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60"/>
      <c r="E526" s="6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60"/>
      <c r="E527" s="6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60"/>
      <c r="E528" s="6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60"/>
      <c r="E529" s="6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60"/>
      <c r="E530" s="6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60"/>
      <c r="E531" s="6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60"/>
      <c r="E532" s="6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60"/>
      <c r="E533" s="6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60"/>
      <c r="E534" s="6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60"/>
      <c r="E535" s="6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60"/>
      <c r="E536" s="6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60"/>
      <c r="E537" s="6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60"/>
      <c r="E538" s="6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60"/>
      <c r="E539" s="6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60"/>
      <c r="E540" s="6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60"/>
      <c r="E541" s="6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60"/>
      <c r="E542" s="6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60"/>
      <c r="E543" s="6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60"/>
      <c r="E544" s="6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60"/>
      <c r="E545" s="6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60"/>
      <c r="E546" s="6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60"/>
      <c r="E547" s="6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60"/>
      <c r="E548" s="6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60"/>
      <c r="E549" s="6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60"/>
      <c r="E550" s="6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60"/>
      <c r="E551" s="6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60"/>
      <c r="E552" s="6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60"/>
      <c r="E553" s="6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60"/>
      <c r="E554" s="6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60"/>
      <c r="E555" s="6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60"/>
      <c r="E556" s="6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60"/>
      <c r="E557" s="6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60"/>
      <c r="E558" s="6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60"/>
      <c r="E559" s="6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60"/>
      <c r="E560" s="6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60"/>
      <c r="E561" s="6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60"/>
      <c r="E562" s="6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60"/>
      <c r="E563" s="6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60"/>
      <c r="E564" s="6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60"/>
      <c r="E565" s="6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60"/>
      <c r="E566" s="6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60"/>
      <c r="E567" s="6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60"/>
      <c r="E568" s="6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60"/>
      <c r="E569" s="6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60"/>
      <c r="E570" s="6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60"/>
      <c r="E571" s="6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60"/>
      <c r="E572" s="6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60"/>
      <c r="E573" s="6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60"/>
      <c r="E574" s="6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60"/>
      <c r="E575" s="6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60"/>
      <c r="E576" s="6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60"/>
      <c r="E577" s="6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60"/>
      <c r="E578" s="6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60"/>
      <c r="E579" s="6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60"/>
      <c r="E580" s="6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60"/>
      <c r="E581" s="6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60"/>
      <c r="E582" s="6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60"/>
      <c r="E583" s="6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60"/>
      <c r="E584" s="6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60"/>
      <c r="E585" s="6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60"/>
      <c r="E586" s="6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60"/>
      <c r="E587" s="6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60"/>
      <c r="E588" s="6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60"/>
      <c r="E589" s="6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60"/>
      <c r="E590" s="6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60"/>
      <c r="E591" s="6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60"/>
      <c r="E592" s="6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60"/>
      <c r="E593" s="6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60"/>
      <c r="E594" s="6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60"/>
      <c r="E595" s="6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60"/>
      <c r="E596" s="6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60"/>
      <c r="E597" s="6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60"/>
      <c r="E598" s="6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60"/>
      <c r="E599" s="6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60"/>
      <c r="E600" s="6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60"/>
      <c r="E601" s="6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60"/>
      <c r="E602" s="6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60"/>
      <c r="E603" s="6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60"/>
      <c r="E604" s="6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60"/>
      <c r="E605" s="6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60"/>
      <c r="E606" s="6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60"/>
      <c r="E607" s="6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60"/>
      <c r="E608" s="6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60"/>
      <c r="E609" s="6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60"/>
      <c r="E610" s="6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60"/>
      <c r="E611" s="6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60"/>
      <c r="E612" s="6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60"/>
      <c r="E613" s="6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60"/>
      <c r="E614" s="6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60"/>
      <c r="E615" s="6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60"/>
      <c r="E616" s="6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60"/>
      <c r="E617" s="6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60"/>
      <c r="E618" s="6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60"/>
      <c r="E619" s="6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60"/>
      <c r="E620" s="6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60"/>
      <c r="E621" s="6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60"/>
      <c r="E622" s="6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60"/>
      <c r="E623" s="6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60"/>
      <c r="E624" s="6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60"/>
      <c r="E625" s="6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60"/>
      <c r="E626" s="6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60"/>
      <c r="E627" s="6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60"/>
      <c r="E628" s="6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60"/>
      <c r="E629" s="6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60"/>
      <c r="E630" s="6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60"/>
      <c r="E631" s="6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60"/>
      <c r="E632" s="6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60"/>
      <c r="E633" s="6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60"/>
      <c r="E634" s="6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60"/>
      <c r="E635" s="6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60"/>
      <c r="E636" s="6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60"/>
      <c r="E637" s="6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60"/>
      <c r="E638" s="6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60"/>
      <c r="E639" s="6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60"/>
      <c r="E640" s="6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60"/>
      <c r="E641" s="6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60"/>
      <c r="E642" s="6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60"/>
      <c r="E643" s="6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60"/>
      <c r="E644" s="6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60"/>
      <c r="E645" s="6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60"/>
      <c r="E646" s="6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60"/>
      <c r="E647" s="6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60"/>
      <c r="E648" s="6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60"/>
      <c r="E649" s="6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60"/>
      <c r="E650" s="6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60"/>
      <c r="E651" s="6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60"/>
      <c r="E652" s="6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60"/>
      <c r="E653" s="6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60"/>
      <c r="E654" s="6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60"/>
      <c r="E655" s="6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60"/>
      <c r="E656" s="6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60"/>
      <c r="E657" s="6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60"/>
      <c r="E658" s="6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60"/>
      <c r="E659" s="6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60"/>
      <c r="E660" s="6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60"/>
      <c r="E661" s="6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60"/>
      <c r="E662" s="6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60"/>
      <c r="E663" s="6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60"/>
      <c r="E664" s="6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60"/>
      <c r="E665" s="6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60"/>
      <c r="E666" s="6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60"/>
      <c r="E667" s="6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60"/>
      <c r="E668" s="6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60"/>
      <c r="E669" s="6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60"/>
      <c r="E670" s="6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60"/>
      <c r="E671" s="6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60"/>
      <c r="E672" s="6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60"/>
      <c r="E673" s="6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60"/>
      <c r="E674" s="6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60"/>
      <c r="E675" s="6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60"/>
      <c r="E676" s="6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60"/>
      <c r="E677" s="6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60"/>
      <c r="E678" s="6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60"/>
      <c r="E679" s="6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60"/>
      <c r="E680" s="6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60"/>
      <c r="E681" s="6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60"/>
      <c r="E682" s="6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60"/>
      <c r="E683" s="6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60"/>
      <c r="E684" s="6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60"/>
      <c r="E685" s="6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60"/>
      <c r="E686" s="6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60"/>
      <c r="E687" s="6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60"/>
      <c r="E688" s="6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60"/>
      <c r="E689" s="6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60"/>
      <c r="E690" s="6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60"/>
      <c r="E691" s="6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60"/>
      <c r="E692" s="6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60"/>
      <c r="E693" s="6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60"/>
      <c r="E694" s="6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60"/>
      <c r="E695" s="6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60"/>
      <c r="E696" s="6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60"/>
      <c r="E697" s="6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60"/>
      <c r="E698" s="6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60"/>
      <c r="E699" s="6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60"/>
      <c r="E700" s="6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60"/>
      <c r="E701" s="6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60"/>
      <c r="E702" s="6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60"/>
      <c r="E703" s="6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60"/>
      <c r="E704" s="6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60"/>
      <c r="E705" s="6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60"/>
      <c r="E706" s="6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60"/>
      <c r="E707" s="6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60"/>
      <c r="E708" s="6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60"/>
      <c r="E709" s="6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60"/>
      <c r="E710" s="6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60"/>
      <c r="E711" s="6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60"/>
      <c r="E712" s="6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60"/>
      <c r="E713" s="6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60"/>
      <c r="E714" s="6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60"/>
      <c r="E715" s="6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60"/>
      <c r="E716" s="6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60"/>
      <c r="E717" s="6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60"/>
      <c r="E718" s="6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60"/>
      <c r="E719" s="6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60"/>
      <c r="E720" s="6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60"/>
      <c r="E721" s="6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60"/>
      <c r="E722" s="6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60"/>
      <c r="E723" s="6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60"/>
      <c r="E724" s="6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60"/>
      <c r="E725" s="6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60"/>
      <c r="E726" s="6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60"/>
      <c r="E727" s="6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60"/>
      <c r="E728" s="6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60"/>
      <c r="E729" s="6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60"/>
      <c r="E730" s="6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60"/>
      <c r="E731" s="6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60"/>
      <c r="E732" s="6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60"/>
      <c r="E733" s="6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60"/>
      <c r="E734" s="6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60"/>
      <c r="E735" s="6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60"/>
      <c r="E736" s="6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60"/>
      <c r="E737" s="6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60"/>
      <c r="E738" s="6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60"/>
      <c r="E739" s="6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60"/>
      <c r="E740" s="6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60"/>
      <c r="E741" s="6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60"/>
      <c r="E742" s="6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60"/>
      <c r="E743" s="6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60"/>
      <c r="E744" s="6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60"/>
      <c r="E745" s="6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60"/>
      <c r="E746" s="6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60"/>
      <c r="E747" s="6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60"/>
      <c r="E748" s="6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60"/>
      <c r="E749" s="6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60"/>
      <c r="E750" s="6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60"/>
      <c r="E751" s="6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60"/>
      <c r="E752" s="6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60"/>
      <c r="E753" s="6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60"/>
      <c r="E754" s="6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60"/>
      <c r="E755" s="6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60"/>
      <c r="E756" s="6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60"/>
      <c r="E757" s="6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60"/>
      <c r="E758" s="6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60"/>
      <c r="E759" s="6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60"/>
      <c r="E760" s="6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60"/>
      <c r="E761" s="6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60"/>
      <c r="E762" s="6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60"/>
      <c r="E763" s="6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60"/>
      <c r="E764" s="6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60"/>
      <c r="E765" s="6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60"/>
      <c r="E766" s="6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60"/>
      <c r="E767" s="6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60"/>
      <c r="E768" s="6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60"/>
      <c r="E769" s="6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60"/>
      <c r="E770" s="6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60"/>
      <c r="E771" s="6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60"/>
      <c r="E772" s="6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60"/>
      <c r="E773" s="6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60"/>
      <c r="E774" s="6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60"/>
      <c r="E775" s="6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60"/>
      <c r="E776" s="6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60"/>
      <c r="E777" s="6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60"/>
      <c r="E778" s="6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60"/>
      <c r="E779" s="6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60"/>
      <c r="E780" s="6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60"/>
      <c r="E781" s="6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60"/>
      <c r="E782" s="6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60"/>
      <c r="E783" s="6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60"/>
      <c r="E784" s="6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60"/>
      <c r="E785" s="6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60"/>
      <c r="E786" s="6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60"/>
      <c r="E787" s="6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60"/>
      <c r="E788" s="6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60"/>
      <c r="E789" s="6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60"/>
      <c r="E790" s="6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60"/>
      <c r="E791" s="6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60"/>
      <c r="E792" s="6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60"/>
      <c r="E793" s="6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60"/>
      <c r="E794" s="6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60"/>
      <c r="E795" s="6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60"/>
      <c r="E796" s="6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60"/>
      <c r="E797" s="6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60"/>
      <c r="E798" s="6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60"/>
      <c r="E799" s="6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60"/>
      <c r="E800" s="6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60"/>
      <c r="E801" s="6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60"/>
      <c r="E802" s="6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60"/>
      <c r="E803" s="6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60"/>
      <c r="E804" s="6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60"/>
      <c r="E805" s="6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60"/>
      <c r="E806" s="6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60"/>
      <c r="E807" s="6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60"/>
      <c r="E808" s="6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60"/>
      <c r="E809" s="6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60"/>
      <c r="E810" s="6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60"/>
      <c r="E811" s="6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60"/>
      <c r="E812" s="6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60"/>
      <c r="E813" s="6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60"/>
      <c r="E814" s="6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60"/>
      <c r="E815" s="6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60"/>
      <c r="E816" s="6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60"/>
      <c r="E817" s="6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60"/>
      <c r="E818" s="6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60"/>
      <c r="E819" s="6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60"/>
      <c r="E820" s="6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60"/>
      <c r="E821" s="6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60"/>
      <c r="E822" s="6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60"/>
      <c r="E823" s="6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60"/>
      <c r="E824" s="6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60"/>
      <c r="E825" s="6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60"/>
      <c r="E826" s="6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60"/>
      <c r="E827" s="6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60"/>
      <c r="E828" s="6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60"/>
      <c r="E829" s="6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60"/>
      <c r="E830" s="6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60"/>
      <c r="E831" s="6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60"/>
      <c r="E832" s="6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60"/>
      <c r="E833" s="6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60"/>
      <c r="E834" s="6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60"/>
      <c r="E835" s="6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60"/>
      <c r="E836" s="6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60"/>
      <c r="E837" s="6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60"/>
      <c r="E838" s="6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60"/>
      <c r="E839" s="6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60"/>
      <c r="E840" s="6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60"/>
      <c r="E841" s="6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60"/>
      <c r="E842" s="6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60"/>
      <c r="E843" s="6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60"/>
      <c r="E844" s="6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60"/>
      <c r="E845" s="6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60"/>
      <c r="E846" s="6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60"/>
      <c r="E847" s="6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60"/>
      <c r="E848" s="6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60"/>
      <c r="E849" s="6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60"/>
      <c r="E850" s="6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60"/>
      <c r="E851" s="6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60"/>
      <c r="E852" s="6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60"/>
      <c r="E853" s="6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60"/>
      <c r="E854" s="6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60"/>
      <c r="E855" s="6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60"/>
      <c r="E856" s="6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60"/>
      <c r="E857" s="6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60"/>
      <c r="E858" s="6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60"/>
      <c r="E859" s="6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60"/>
      <c r="E860" s="6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60"/>
      <c r="E861" s="6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60"/>
      <c r="E862" s="6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60"/>
      <c r="E863" s="6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60"/>
      <c r="E864" s="6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60"/>
      <c r="E865" s="6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60"/>
      <c r="E866" s="6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60"/>
      <c r="E867" s="6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60"/>
      <c r="E868" s="6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60"/>
      <c r="E869" s="6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60"/>
      <c r="E870" s="6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60"/>
      <c r="E871" s="6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60"/>
      <c r="E872" s="6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60"/>
      <c r="E873" s="6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60"/>
      <c r="E874" s="6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60"/>
      <c r="E875" s="6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60"/>
      <c r="E876" s="6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60"/>
      <c r="E877" s="6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60"/>
      <c r="E878" s="6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60"/>
      <c r="E879" s="6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60"/>
      <c r="E880" s="6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60"/>
      <c r="E881" s="6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60"/>
      <c r="E882" s="6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60"/>
      <c r="E883" s="6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60"/>
      <c r="E884" s="6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60"/>
      <c r="E885" s="6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60"/>
      <c r="E886" s="6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60"/>
      <c r="E887" s="6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60"/>
      <c r="E888" s="6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60"/>
      <c r="E889" s="6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60"/>
      <c r="E890" s="6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60"/>
      <c r="E891" s="6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60"/>
      <c r="E892" s="6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60"/>
      <c r="E893" s="6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60"/>
      <c r="E894" s="6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60"/>
      <c r="E895" s="6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60"/>
      <c r="E896" s="6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60"/>
      <c r="E897" s="6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60"/>
      <c r="E898" s="6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60"/>
      <c r="E899" s="6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60"/>
      <c r="E900" s="6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60"/>
      <c r="E901" s="6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60"/>
      <c r="E902" s="6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60"/>
      <c r="E903" s="6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60"/>
      <c r="E904" s="6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60"/>
      <c r="E905" s="6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60"/>
      <c r="E906" s="6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60"/>
      <c r="E907" s="6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60"/>
      <c r="E908" s="6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60"/>
      <c r="E909" s="6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60"/>
      <c r="E910" s="6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60"/>
      <c r="E911" s="6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60"/>
      <c r="E912" s="6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60"/>
      <c r="E913" s="6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60"/>
      <c r="E914" s="6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60"/>
      <c r="E915" s="6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60"/>
      <c r="E916" s="6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60"/>
      <c r="E917" s="6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60"/>
      <c r="E918" s="6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60"/>
      <c r="E919" s="6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60"/>
      <c r="E920" s="6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60"/>
      <c r="E921" s="6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60"/>
      <c r="E922" s="6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60"/>
      <c r="E923" s="6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60"/>
      <c r="E924" s="6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60"/>
      <c r="E925" s="6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60"/>
      <c r="E926" s="6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60"/>
      <c r="E927" s="6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60"/>
      <c r="E928" s="6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60"/>
      <c r="E929" s="6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60"/>
      <c r="E930" s="6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60"/>
      <c r="E931" s="6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60"/>
      <c r="E932" s="6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60"/>
      <c r="E933" s="6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60"/>
      <c r="E934" s="6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60"/>
      <c r="E935" s="6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60"/>
      <c r="E936" s="6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60"/>
      <c r="E937" s="6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60"/>
      <c r="E938" s="6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60"/>
      <c r="E939" s="6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60"/>
      <c r="E940" s="6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60"/>
      <c r="E941" s="6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60"/>
      <c r="E942" s="6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60"/>
      <c r="E943" s="6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60"/>
      <c r="E944" s="6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60"/>
      <c r="E945" s="6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60"/>
      <c r="E946" s="6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60"/>
      <c r="E947" s="6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60"/>
      <c r="E948" s="6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60"/>
      <c r="E949" s="6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60"/>
      <c r="E950" s="6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60"/>
      <c r="E951" s="6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60"/>
      <c r="E952" s="6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60"/>
      <c r="E953" s="6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60"/>
      <c r="E954" s="6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60"/>
      <c r="E955" s="6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60"/>
      <c r="E956" s="6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60"/>
      <c r="E957" s="6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60"/>
      <c r="E958" s="6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60"/>
      <c r="E959" s="6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60"/>
      <c r="E960" s="6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60"/>
      <c r="E961" s="6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60"/>
      <c r="E962" s="6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60"/>
      <c r="E963" s="6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60"/>
      <c r="E964" s="6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60"/>
      <c r="E965" s="61"/>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60"/>
      <c r="E966" s="61"/>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60"/>
      <c r="E967" s="61"/>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60"/>
      <c r="E968" s="61"/>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60"/>
      <c r="E969" s="61"/>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60"/>
      <c r="E970" s="61"/>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60"/>
      <c r="E971" s="61"/>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60"/>
      <c r="E972" s="61"/>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60"/>
      <c r="E973" s="61"/>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60"/>
      <c r="E974" s="61"/>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60"/>
      <c r="E975" s="61"/>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60"/>
      <c r="E976" s="61"/>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row r="977">
      <c r="A977" s="57"/>
      <c r="B977" s="57"/>
      <c r="C977" s="59"/>
      <c r="D977" s="60"/>
      <c r="E977" s="61"/>
      <c r="F977" s="59"/>
      <c r="G977" s="59"/>
      <c r="H977" s="59"/>
      <c r="I977" s="59"/>
      <c r="J977" s="59"/>
      <c r="K977" s="57"/>
      <c r="L977" s="57"/>
      <c r="M977" s="57"/>
      <c r="N977" s="57"/>
      <c r="O977" s="57"/>
      <c r="P977" s="57"/>
      <c r="Q977" s="57"/>
      <c r="R977" s="57"/>
      <c r="S977" s="57"/>
      <c r="T977" s="57"/>
      <c r="U977" s="57"/>
      <c r="V977" s="57"/>
      <c r="W977" s="57"/>
      <c r="X977" s="57"/>
      <c r="Y977" s="57"/>
      <c r="Z977" s="57"/>
      <c r="AA977" s="57"/>
      <c r="AB977" s="57"/>
    </row>
    <row r="978">
      <c r="A978" s="57"/>
      <c r="B978" s="57"/>
      <c r="C978" s="59"/>
      <c r="D978" s="60"/>
      <c r="E978" s="61"/>
      <c r="F978" s="59"/>
      <c r="G978" s="59"/>
      <c r="H978" s="59"/>
      <c r="I978" s="59"/>
      <c r="J978" s="59"/>
      <c r="K978" s="57"/>
      <c r="L978" s="57"/>
      <c r="M978" s="57"/>
      <c r="N978" s="57"/>
      <c r="O978" s="57"/>
      <c r="P978" s="57"/>
      <c r="Q978" s="57"/>
      <c r="R978" s="57"/>
      <c r="S978" s="57"/>
      <c r="T978" s="57"/>
      <c r="U978" s="57"/>
      <c r="V978" s="57"/>
      <c r="W978" s="57"/>
      <c r="X978" s="57"/>
      <c r="Y978" s="57"/>
      <c r="Z978" s="57"/>
      <c r="AA978" s="57"/>
      <c r="AB978" s="57"/>
    </row>
    <row r="979">
      <c r="A979" s="57"/>
      <c r="B979" s="57"/>
      <c r="C979" s="59"/>
      <c r="D979" s="60"/>
      <c r="E979" s="61"/>
      <c r="F979" s="59"/>
      <c r="G979" s="59"/>
      <c r="H979" s="59"/>
      <c r="I979" s="59"/>
      <c r="J979" s="59"/>
      <c r="K979" s="57"/>
      <c r="L979" s="57"/>
      <c r="M979" s="57"/>
      <c r="N979" s="57"/>
      <c r="O979" s="57"/>
      <c r="P979" s="57"/>
      <c r="Q979" s="57"/>
      <c r="R979" s="57"/>
      <c r="S979" s="57"/>
      <c r="T979" s="57"/>
      <c r="U979" s="57"/>
      <c r="V979" s="57"/>
      <c r="W979" s="57"/>
      <c r="X979" s="57"/>
      <c r="Y979" s="57"/>
      <c r="Z979" s="57"/>
      <c r="AA979" s="57"/>
      <c r="AB979" s="57"/>
    </row>
    <row r="980">
      <c r="A980" s="57"/>
      <c r="B980" s="57"/>
      <c r="C980" s="59"/>
      <c r="D980" s="60"/>
      <c r="E980" s="61"/>
      <c r="F980" s="59"/>
      <c r="G980" s="59"/>
      <c r="H980" s="59"/>
      <c r="I980" s="59"/>
      <c r="J980" s="59"/>
      <c r="K980" s="57"/>
      <c r="L980" s="57"/>
      <c r="M980" s="57"/>
      <c r="N980" s="57"/>
      <c r="O980" s="57"/>
      <c r="P980" s="57"/>
      <c r="Q980" s="57"/>
      <c r="R980" s="57"/>
      <c r="S980" s="57"/>
      <c r="T980" s="57"/>
      <c r="U980" s="57"/>
      <c r="V980" s="57"/>
      <c r="W980" s="57"/>
      <c r="X980" s="57"/>
      <c r="Y980" s="57"/>
      <c r="Z980" s="57"/>
      <c r="AA980" s="57"/>
      <c r="AB980" s="57"/>
    </row>
    <row r="981">
      <c r="A981" s="57"/>
      <c r="B981" s="57"/>
      <c r="C981" s="59"/>
      <c r="D981" s="60"/>
      <c r="E981" s="61"/>
      <c r="F981" s="59"/>
      <c r="G981" s="59"/>
      <c r="H981" s="59"/>
      <c r="I981" s="59"/>
      <c r="J981" s="59"/>
      <c r="K981" s="57"/>
      <c r="L981" s="57"/>
      <c r="M981" s="57"/>
      <c r="N981" s="57"/>
      <c r="O981" s="57"/>
      <c r="P981" s="57"/>
      <c r="Q981" s="57"/>
      <c r="R981" s="57"/>
      <c r="S981" s="57"/>
      <c r="T981" s="57"/>
      <c r="U981" s="57"/>
      <c r="V981" s="57"/>
      <c r="W981" s="57"/>
      <c r="X981" s="57"/>
      <c r="Y981" s="57"/>
      <c r="Z981" s="57"/>
      <c r="AA981" s="57"/>
      <c r="AB981" s="57"/>
    </row>
    <row r="982">
      <c r="A982" s="57"/>
      <c r="B982" s="57"/>
      <c r="C982" s="59"/>
      <c r="D982" s="60"/>
      <c r="E982" s="61"/>
      <c r="F982" s="59"/>
      <c r="G982" s="59"/>
      <c r="H982" s="59"/>
      <c r="I982" s="59"/>
      <c r="J982" s="59"/>
      <c r="K982" s="57"/>
      <c r="L982" s="57"/>
      <c r="M982" s="57"/>
      <c r="N982" s="57"/>
      <c r="O982" s="57"/>
      <c r="P982" s="57"/>
      <c r="Q982" s="57"/>
      <c r="R982" s="57"/>
      <c r="S982" s="57"/>
      <c r="T982" s="57"/>
      <c r="U982" s="57"/>
      <c r="V982" s="57"/>
      <c r="W982" s="57"/>
      <c r="X982" s="57"/>
      <c r="Y982" s="57"/>
      <c r="Z982" s="57"/>
      <c r="AA982" s="57"/>
      <c r="AB982" s="57"/>
    </row>
    <row r="983">
      <c r="A983" s="57"/>
      <c r="B983" s="57"/>
      <c r="C983" s="59"/>
      <c r="D983" s="60"/>
      <c r="E983" s="61"/>
      <c r="F983" s="59"/>
      <c r="G983" s="59"/>
      <c r="H983" s="59"/>
      <c r="I983" s="59"/>
      <c r="J983" s="59"/>
      <c r="K983" s="57"/>
      <c r="L983" s="57"/>
      <c r="M983" s="57"/>
      <c r="N983" s="57"/>
      <c r="O983" s="57"/>
      <c r="P983" s="57"/>
      <c r="Q983" s="57"/>
      <c r="R983" s="57"/>
      <c r="S983" s="57"/>
      <c r="T983" s="57"/>
      <c r="U983" s="57"/>
      <c r="V983" s="57"/>
      <c r="W983" s="57"/>
      <c r="X983" s="57"/>
      <c r="Y983" s="57"/>
      <c r="Z983" s="57"/>
      <c r="AA983" s="57"/>
      <c r="AB983" s="57"/>
    </row>
    <row r="984">
      <c r="A984" s="57"/>
      <c r="B984" s="57"/>
      <c r="C984" s="59"/>
      <c r="D984" s="60"/>
      <c r="E984" s="61"/>
      <c r="F984" s="59"/>
      <c r="G984" s="59"/>
      <c r="H984" s="59"/>
      <c r="I984" s="59"/>
      <c r="J984" s="59"/>
      <c r="K984" s="57"/>
      <c r="L984" s="57"/>
      <c r="M984" s="57"/>
      <c r="N984" s="57"/>
      <c r="O984" s="57"/>
      <c r="P984" s="57"/>
      <c r="Q984" s="57"/>
      <c r="R984" s="57"/>
      <c r="S984" s="57"/>
      <c r="T984" s="57"/>
      <c r="U984" s="57"/>
      <c r="V984" s="57"/>
      <c r="W984" s="57"/>
      <c r="X984" s="57"/>
      <c r="Y984" s="57"/>
      <c r="Z984" s="57"/>
      <c r="AA984" s="57"/>
      <c r="AB984" s="57"/>
    </row>
    <row r="985">
      <c r="A985" s="57"/>
      <c r="B985" s="57"/>
      <c r="C985" s="59"/>
      <c r="D985" s="60"/>
      <c r="E985" s="61"/>
      <c r="F985" s="59"/>
      <c r="G985" s="59"/>
      <c r="H985" s="59"/>
      <c r="I985" s="59"/>
      <c r="J985" s="59"/>
      <c r="K985" s="57"/>
      <c r="L985" s="57"/>
      <c r="M985" s="57"/>
      <c r="N985" s="57"/>
      <c r="O985" s="57"/>
      <c r="P985" s="57"/>
      <c r="Q985" s="57"/>
      <c r="R985" s="57"/>
      <c r="S985" s="57"/>
      <c r="T985" s="57"/>
      <c r="U985" s="57"/>
      <c r="V985" s="57"/>
      <c r="W985" s="57"/>
      <c r="X985" s="57"/>
      <c r="Y985" s="57"/>
      <c r="Z985" s="57"/>
      <c r="AA985" s="57"/>
      <c r="AB985" s="57"/>
    </row>
    <row r="986">
      <c r="A986" s="57"/>
      <c r="B986" s="57"/>
      <c r="C986" s="59"/>
      <c r="D986" s="60"/>
      <c r="E986" s="61"/>
      <c r="F986" s="59"/>
      <c r="G986" s="59"/>
      <c r="H986" s="59"/>
      <c r="I986" s="59"/>
      <c r="J986" s="59"/>
      <c r="K986" s="57"/>
      <c r="L986" s="57"/>
      <c r="M986" s="57"/>
      <c r="N986" s="57"/>
      <c r="O986" s="57"/>
      <c r="P986" s="57"/>
      <c r="Q986" s="57"/>
      <c r="R986" s="57"/>
      <c r="S986" s="57"/>
      <c r="T986" s="57"/>
      <c r="U986" s="57"/>
      <c r="V986" s="57"/>
      <c r="W986" s="57"/>
      <c r="X986" s="57"/>
      <c r="Y986" s="57"/>
      <c r="Z986" s="57"/>
      <c r="AA986" s="57"/>
      <c r="AB986" s="57"/>
    </row>
    <row r="987">
      <c r="A987" s="57"/>
      <c r="B987" s="57"/>
      <c r="C987" s="59"/>
      <c r="D987" s="60"/>
      <c r="E987" s="61"/>
      <c r="F987" s="59"/>
      <c r="G987" s="59"/>
      <c r="H987" s="59"/>
      <c r="I987" s="59"/>
      <c r="J987" s="59"/>
      <c r="K987" s="57"/>
      <c r="L987" s="57"/>
      <c r="M987" s="57"/>
      <c r="N987" s="57"/>
      <c r="O987" s="57"/>
      <c r="P987" s="57"/>
      <c r="Q987" s="57"/>
      <c r="R987" s="57"/>
      <c r="S987" s="57"/>
      <c r="T987" s="57"/>
      <c r="U987" s="57"/>
      <c r="V987" s="57"/>
      <c r="W987" s="57"/>
      <c r="X987" s="57"/>
      <c r="Y987" s="57"/>
      <c r="Z987" s="57"/>
      <c r="AA987" s="57"/>
      <c r="AB987" s="57"/>
    </row>
    <row r="988">
      <c r="A988" s="57"/>
      <c r="B988" s="57"/>
      <c r="C988" s="59"/>
      <c r="D988" s="60"/>
      <c r="E988" s="61"/>
      <c r="F988" s="59"/>
      <c r="G988" s="59"/>
      <c r="H988" s="59"/>
      <c r="I988" s="59"/>
      <c r="J988" s="59"/>
      <c r="K988" s="57"/>
      <c r="L988" s="57"/>
      <c r="M988" s="57"/>
      <c r="N988" s="57"/>
      <c r="O988" s="57"/>
      <c r="P988" s="57"/>
      <c r="Q988" s="57"/>
      <c r="R988" s="57"/>
      <c r="S988" s="57"/>
      <c r="T988" s="57"/>
      <c r="U988" s="57"/>
      <c r="V988" s="57"/>
      <c r="W988" s="57"/>
      <c r="X988" s="57"/>
      <c r="Y988" s="57"/>
      <c r="Z988" s="57"/>
      <c r="AA988" s="57"/>
      <c r="AB988" s="57"/>
    </row>
    <row r="989">
      <c r="A989" s="57"/>
      <c r="B989" s="57"/>
      <c r="C989" s="59"/>
      <c r="D989" s="60"/>
      <c r="E989" s="61"/>
      <c r="F989" s="59"/>
      <c r="G989" s="59"/>
      <c r="H989" s="59"/>
      <c r="I989" s="59"/>
      <c r="J989" s="59"/>
      <c r="K989" s="57"/>
      <c r="L989" s="57"/>
      <c r="M989" s="57"/>
      <c r="N989" s="57"/>
      <c r="O989" s="57"/>
      <c r="P989" s="57"/>
      <c r="Q989" s="57"/>
      <c r="R989" s="57"/>
      <c r="S989" s="57"/>
      <c r="T989" s="57"/>
      <c r="U989" s="57"/>
      <c r="V989" s="57"/>
      <c r="W989" s="57"/>
      <c r="X989" s="57"/>
      <c r="Y989" s="57"/>
      <c r="Z989" s="57"/>
      <c r="AA989" s="57"/>
      <c r="AB989" s="57"/>
    </row>
    <row r="990">
      <c r="A990" s="57"/>
      <c r="B990" s="57"/>
      <c r="C990" s="59"/>
      <c r="D990" s="60"/>
      <c r="E990" s="61"/>
      <c r="F990" s="59"/>
      <c r="G990" s="59"/>
      <c r="H990" s="59"/>
      <c r="I990" s="59"/>
      <c r="J990" s="59"/>
      <c r="K990" s="57"/>
      <c r="L990" s="57"/>
      <c r="M990" s="57"/>
      <c r="N990" s="57"/>
      <c r="O990" s="57"/>
      <c r="P990" s="57"/>
      <c r="Q990" s="57"/>
      <c r="R990" s="57"/>
      <c r="S990" s="57"/>
      <c r="T990" s="57"/>
      <c r="U990" s="57"/>
      <c r="V990" s="57"/>
      <c r="W990" s="57"/>
      <c r="X990" s="57"/>
      <c r="Y990" s="57"/>
      <c r="Z990" s="57"/>
      <c r="AA990" s="57"/>
      <c r="AB990" s="57"/>
    </row>
    <row r="991">
      <c r="A991" s="57"/>
      <c r="B991" s="57"/>
      <c r="C991" s="59"/>
      <c r="D991" s="60"/>
      <c r="E991" s="61"/>
      <c r="F991" s="59"/>
      <c r="G991" s="59"/>
      <c r="H991" s="59"/>
      <c r="I991" s="59"/>
      <c r="J991" s="59"/>
      <c r="K991" s="57"/>
      <c r="L991" s="57"/>
      <c r="M991" s="57"/>
      <c r="N991" s="57"/>
      <c r="O991" s="57"/>
      <c r="P991" s="57"/>
      <c r="Q991" s="57"/>
      <c r="R991" s="57"/>
      <c r="S991" s="57"/>
      <c r="T991" s="57"/>
      <c r="U991" s="57"/>
      <c r="V991" s="57"/>
      <c r="W991" s="57"/>
      <c r="X991" s="57"/>
      <c r="Y991" s="57"/>
      <c r="Z991" s="57"/>
      <c r="AA991" s="57"/>
      <c r="AB991" s="57"/>
    </row>
  </sheetData>
  <mergeCells count="10">
    <mergeCell ref="A17:A20"/>
    <mergeCell ref="A22:A25"/>
    <mergeCell ref="B22:B25"/>
    <mergeCell ref="A2:A5"/>
    <mergeCell ref="B2:B5"/>
    <mergeCell ref="A7:A10"/>
    <mergeCell ref="B7:B10"/>
    <mergeCell ref="A12:A15"/>
    <mergeCell ref="B12:B15"/>
    <mergeCell ref="B17:B20"/>
  </mergeCells>
  <conditionalFormatting sqref="E7:E10 E12:E15 E17:E20 E22:E25">
    <cfRule type="colorScale" priority="1">
      <colorScale>
        <cfvo type="formula" val="0"/>
        <cfvo type="formula" val="0.5"/>
        <cfvo type="formula" val="1"/>
        <color rgb="FFFFFFFF"/>
        <color rgb="FFF3BEB9"/>
        <color rgb="FFE67C73"/>
      </colorScale>
    </cfRule>
  </conditionalFormatting>
  <conditionalFormatting sqref="E2:E991">
    <cfRule type="colorScale" priority="2">
      <colorScale>
        <cfvo type="formula" val="0"/>
        <cfvo type="formula" val="1"/>
        <color rgb="FFFFFFFF"/>
        <color rgb="FFE67C73"/>
      </colorScale>
    </cfRule>
  </conditionalFormatting>
  <dataValidations>
    <dataValidation type="list" allowBlank="1" showErrorMessage="1" sqref="F2:J991">
      <formula1>"1,2,3,4,5"</formula1>
    </dataValidation>
    <dataValidation type="list" allowBlank="1" showErrorMessage="1" sqref="C2:C5 C7:C10 C12:C15 C17:C20 C22:C25">
      <formula1>"Heading,Jeremy,Naiara,Begoña,Alba"</formula1>
    </dataValidation>
  </dataValidations>
  <hyperlinks>
    <hyperlink r:id="rId2" ref="A2"/>
    <hyperlink r:id="rId3" ref="A7"/>
    <hyperlink r:id="rId4" ref="A12"/>
    <hyperlink r:id="rId5" ref="A17"/>
    <hyperlink r:id="rId6" ref="A22"/>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73"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34</v>
      </c>
      <c r="C2" s="7" t="s">
        <v>21</v>
      </c>
      <c r="D2" s="74" t="s">
        <v>63</v>
      </c>
      <c r="E2" s="75">
        <f>IFERROR(__xludf.DUMMYFUNCTION("COUNTA(SPLIT(D2,"" ""))/COUNTA(SPLIT($B$2,"" ""))"),1.0566037735849056)</f>
        <v>1.056603774</v>
      </c>
      <c r="F2" s="7">
        <v>2.0</v>
      </c>
      <c r="G2" s="7">
        <v>4.0</v>
      </c>
      <c r="H2" s="7">
        <v>5.0</v>
      </c>
      <c r="I2" s="7">
        <v>3.0</v>
      </c>
      <c r="J2" s="7">
        <v>5.0</v>
      </c>
      <c r="K2" s="57"/>
      <c r="L2" s="57"/>
      <c r="M2" s="57"/>
      <c r="N2" s="57"/>
      <c r="O2" s="57"/>
      <c r="P2" s="57"/>
      <c r="Q2" s="57"/>
      <c r="R2" s="57"/>
      <c r="S2" s="57"/>
      <c r="T2" s="57"/>
      <c r="U2" s="57"/>
      <c r="V2" s="57"/>
      <c r="W2" s="57"/>
      <c r="X2" s="57"/>
      <c r="Y2" s="57"/>
      <c r="Z2" s="57"/>
      <c r="AA2" s="57"/>
      <c r="AB2" s="57"/>
    </row>
    <row r="3" ht="225.0" customHeight="1">
      <c r="C3" s="7" t="s">
        <v>22</v>
      </c>
      <c r="D3" s="74" t="s">
        <v>64</v>
      </c>
      <c r="E3" s="76">
        <f>IFERROR(__xludf.DUMMYFUNCTION("COUNTA(SPLIT(D3,"" ""))/COUNTA(SPLIT($B$2,"" ""))"),0.5377358490566038)</f>
        <v>0.5377358491</v>
      </c>
      <c r="F3" s="7">
        <v>4.0</v>
      </c>
      <c r="G3" s="7">
        <v>4.0</v>
      </c>
      <c r="H3" s="7">
        <v>4.0</v>
      </c>
      <c r="I3" s="7">
        <v>3.0</v>
      </c>
      <c r="J3" s="7">
        <v>5.0</v>
      </c>
      <c r="K3" s="57"/>
      <c r="L3" s="57"/>
      <c r="M3" s="57"/>
      <c r="N3" s="57"/>
      <c r="O3" s="57"/>
      <c r="P3" s="57"/>
      <c r="Q3" s="57"/>
      <c r="R3" s="57"/>
      <c r="S3" s="57"/>
      <c r="T3" s="57"/>
      <c r="U3" s="57"/>
      <c r="V3" s="57"/>
      <c r="W3" s="57"/>
      <c r="X3" s="57"/>
      <c r="Y3" s="57"/>
      <c r="Z3" s="57"/>
      <c r="AA3" s="57"/>
      <c r="AB3" s="57"/>
    </row>
    <row r="4" ht="225.0" customHeight="1">
      <c r="C4" s="7" t="s">
        <v>8</v>
      </c>
      <c r="D4" s="74" t="s">
        <v>65</v>
      </c>
      <c r="E4" s="77">
        <f>IFERROR(__xludf.DUMMYFUNCTION("COUNTA(SPLIT(D4,"" ""))/COUNTA(SPLIT($B$2,"" ""))"),1.2358490566037736)</f>
        <v>1.235849057</v>
      </c>
      <c r="F4" s="7">
        <v>1.0</v>
      </c>
      <c r="G4" s="7">
        <v>4.0</v>
      </c>
      <c r="H4" s="7">
        <v>4.0</v>
      </c>
      <c r="I4" s="7">
        <v>3.0</v>
      </c>
      <c r="J4" s="7">
        <v>5.0</v>
      </c>
      <c r="K4" s="57"/>
      <c r="L4" s="57"/>
      <c r="M4" s="57"/>
      <c r="N4" s="57"/>
      <c r="O4" s="57"/>
      <c r="P4" s="57"/>
      <c r="Q4" s="57"/>
      <c r="R4" s="57"/>
      <c r="S4" s="57"/>
      <c r="T4" s="57"/>
      <c r="U4" s="57"/>
      <c r="V4" s="57"/>
      <c r="W4" s="57"/>
      <c r="X4" s="57"/>
      <c r="Y4" s="57"/>
      <c r="Z4" s="57"/>
      <c r="AA4" s="57"/>
      <c r="AB4" s="57"/>
    </row>
    <row r="5" ht="225.0" customHeight="1">
      <c r="C5" s="7" t="s">
        <v>23</v>
      </c>
      <c r="D5" s="74" t="s">
        <v>66</v>
      </c>
      <c r="E5" s="77">
        <f>IFERROR(__xludf.DUMMYFUNCTION("COUNTA(SPLIT(D5,"" ""))/COUNTA(SPLIT($B$2,"" ""))"),0.5754716981132075)</f>
        <v>0.5754716981</v>
      </c>
      <c r="F5" s="7">
        <v>3.0</v>
      </c>
      <c r="G5" s="7">
        <v>4.0</v>
      </c>
      <c r="H5" s="7">
        <v>4.0</v>
      </c>
      <c r="I5" s="7">
        <v>3.0</v>
      </c>
      <c r="J5" s="7">
        <v>5.0</v>
      </c>
      <c r="K5" s="57"/>
      <c r="L5" s="57"/>
      <c r="M5" s="57"/>
      <c r="N5" s="57"/>
      <c r="O5" s="57"/>
      <c r="P5" s="57"/>
      <c r="Q5" s="57"/>
      <c r="R5" s="57"/>
      <c r="S5" s="57"/>
      <c r="T5" s="57"/>
      <c r="U5" s="57"/>
      <c r="V5" s="57"/>
      <c r="W5" s="57"/>
      <c r="X5" s="57"/>
      <c r="Y5" s="57"/>
      <c r="Z5" s="57"/>
      <c r="AA5" s="57"/>
      <c r="AB5" s="57"/>
    </row>
    <row r="6">
      <c r="A6" s="57"/>
      <c r="B6" s="57"/>
      <c r="C6" s="59"/>
      <c r="D6" s="78"/>
      <c r="E6" s="69"/>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39</v>
      </c>
      <c r="B7" s="63" t="s">
        <v>40</v>
      </c>
      <c r="C7" s="64" t="s">
        <v>21</v>
      </c>
      <c r="D7" s="79" t="s">
        <v>67</v>
      </c>
      <c r="E7" s="80">
        <f>IFERROR(__xludf.DUMMYFUNCTION("COUNTA(SPLIT(D7,"" ""))/COUNTA(SPLIT($B$7,"" ""))"),0.28623853211009176)</f>
        <v>0.2862385321</v>
      </c>
      <c r="F7" s="7">
        <v>2.0</v>
      </c>
      <c r="G7" s="7">
        <v>5.0</v>
      </c>
      <c r="H7" s="7">
        <v>5.0</v>
      </c>
      <c r="I7" s="7">
        <v>2.0</v>
      </c>
      <c r="J7" s="7">
        <v>5.0</v>
      </c>
      <c r="K7" s="67"/>
      <c r="L7" s="67"/>
      <c r="M7" s="67"/>
      <c r="N7" s="67"/>
      <c r="O7" s="67"/>
      <c r="P7" s="67"/>
      <c r="Q7" s="67"/>
      <c r="R7" s="67"/>
      <c r="S7" s="67"/>
      <c r="T7" s="67"/>
      <c r="U7" s="67"/>
      <c r="V7" s="67"/>
      <c r="W7" s="67"/>
      <c r="X7" s="67"/>
      <c r="Y7" s="67"/>
      <c r="Z7" s="67"/>
      <c r="AA7" s="67"/>
      <c r="AB7" s="67"/>
    </row>
    <row r="8" ht="225.0" customHeight="1">
      <c r="C8" s="7" t="s">
        <v>22</v>
      </c>
      <c r="D8" s="74" t="s">
        <v>68</v>
      </c>
      <c r="E8" s="75">
        <f>IFERROR(__xludf.DUMMYFUNCTION("COUNTA(SPLIT(D8,"" ""))/COUNTA(SPLIT($B$7,"" ""))"),0.15412844036697249)</f>
        <v>0.1541284404</v>
      </c>
      <c r="F8" s="7">
        <v>4.0</v>
      </c>
      <c r="G8" s="7">
        <v>5.0</v>
      </c>
      <c r="H8" s="7">
        <v>4.0</v>
      </c>
      <c r="I8" s="7">
        <v>5.0</v>
      </c>
      <c r="J8" s="7">
        <v>4.0</v>
      </c>
      <c r="K8" s="57"/>
      <c r="L8" s="57"/>
      <c r="M8" s="57"/>
      <c r="N8" s="57"/>
      <c r="O8" s="57"/>
      <c r="P8" s="57"/>
      <c r="Q8" s="57"/>
      <c r="R8" s="57"/>
      <c r="S8" s="57"/>
      <c r="T8" s="57"/>
      <c r="U8" s="57"/>
      <c r="V8" s="57"/>
      <c r="W8" s="57"/>
      <c r="X8" s="57"/>
      <c r="Y8" s="57"/>
      <c r="Z8" s="57"/>
      <c r="AA8" s="57"/>
      <c r="AB8" s="57"/>
    </row>
    <row r="9" ht="225.0" customHeight="1">
      <c r="C9" s="7" t="s">
        <v>8</v>
      </c>
      <c r="D9" s="74" t="s">
        <v>69</v>
      </c>
      <c r="E9" s="81">
        <f>IFERROR(__xludf.DUMMYFUNCTION("COUNTA(SPLIT(D9,"" ""))/COUNTA(SPLIT($B$7,"" ""))"),0.27522935779816515)</f>
        <v>0.2752293578</v>
      </c>
      <c r="F9" s="7">
        <v>1.0</v>
      </c>
      <c r="G9" s="7">
        <v>4.0</v>
      </c>
      <c r="H9" s="7">
        <v>5.0</v>
      </c>
      <c r="I9" s="7">
        <v>2.0</v>
      </c>
      <c r="J9" s="7">
        <v>5.0</v>
      </c>
      <c r="K9" s="57"/>
      <c r="L9" s="57"/>
      <c r="M9" s="57"/>
      <c r="N9" s="57"/>
      <c r="O9" s="57"/>
      <c r="P9" s="57"/>
      <c r="Q9" s="57"/>
      <c r="R9" s="57"/>
      <c r="S9" s="57"/>
      <c r="T9" s="57"/>
      <c r="U9" s="57"/>
      <c r="V9" s="57"/>
      <c r="W9" s="57"/>
      <c r="X9" s="57"/>
      <c r="Y9" s="57"/>
      <c r="Z9" s="57"/>
      <c r="AA9" s="57"/>
      <c r="AB9" s="57"/>
    </row>
    <row r="10" ht="225.0" customHeight="1">
      <c r="C10" s="7" t="s">
        <v>23</v>
      </c>
      <c r="D10" s="74" t="s">
        <v>70</v>
      </c>
      <c r="E10" s="82">
        <f>IFERROR(__xludf.DUMMYFUNCTION("COUNTA(SPLIT(D10,"" ""))/COUNTA(SPLIT($B$7,"" ""))"),0.1853211009174312)</f>
        <v>0.1853211009</v>
      </c>
      <c r="F10" s="7">
        <v>3.0</v>
      </c>
      <c r="G10" s="7">
        <v>5.0</v>
      </c>
      <c r="H10" s="7">
        <v>5.0</v>
      </c>
      <c r="I10" s="7">
        <v>4.0</v>
      </c>
      <c r="J10" s="7">
        <v>5.0</v>
      </c>
      <c r="K10" s="57"/>
      <c r="L10" s="57"/>
      <c r="M10" s="57"/>
      <c r="N10" s="57"/>
      <c r="O10" s="57"/>
      <c r="P10" s="57"/>
      <c r="Q10" s="57"/>
      <c r="R10" s="57"/>
      <c r="S10" s="57"/>
      <c r="T10" s="57"/>
      <c r="U10" s="57"/>
      <c r="V10" s="57"/>
      <c r="W10" s="57"/>
      <c r="X10" s="57"/>
      <c r="Y10" s="57"/>
      <c r="Z10" s="57"/>
      <c r="AA10" s="57"/>
      <c r="AB10" s="57"/>
    </row>
    <row r="11">
      <c r="A11" s="57"/>
      <c r="B11" s="57"/>
      <c r="C11" s="59"/>
      <c r="D11" s="78"/>
      <c r="E11" s="69"/>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45</v>
      </c>
      <c r="B12" s="63" t="s">
        <v>46</v>
      </c>
      <c r="C12" s="64" t="s">
        <v>21</v>
      </c>
      <c r="D12" s="79" t="s">
        <v>71</v>
      </c>
      <c r="E12" s="83">
        <f>IFERROR(__xludf.DUMMYFUNCTION("COUNTA(SPLIT(D12,"" ""))/COUNTA(SPLIT($B$12,"" ""))"),0.4127906976744186)</f>
        <v>0.4127906977</v>
      </c>
      <c r="F12" s="7">
        <v>3.0</v>
      </c>
      <c r="G12" s="7">
        <v>5.0</v>
      </c>
      <c r="H12" s="7">
        <v>5.0</v>
      </c>
      <c r="I12" s="7">
        <v>3.0</v>
      </c>
      <c r="J12" s="7">
        <v>5.0</v>
      </c>
      <c r="K12" s="67"/>
      <c r="L12" s="67"/>
      <c r="M12" s="67"/>
      <c r="N12" s="67"/>
      <c r="O12" s="67"/>
      <c r="P12" s="67"/>
      <c r="Q12" s="67"/>
      <c r="R12" s="67"/>
      <c r="S12" s="67"/>
      <c r="T12" s="67"/>
      <c r="U12" s="67"/>
      <c r="V12" s="67"/>
      <c r="W12" s="67"/>
      <c r="X12" s="67"/>
      <c r="Y12" s="67"/>
      <c r="Z12" s="67"/>
      <c r="AA12" s="67"/>
      <c r="AB12" s="67"/>
    </row>
    <row r="13" ht="225.0" customHeight="1">
      <c r="C13" s="7" t="s">
        <v>22</v>
      </c>
      <c r="D13" s="74" t="s">
        <v>72</v>
      </c>
      <c r="E13" s="84">
        <f>IFERROR(__xludf.DUMMYFUNCTION("COUNTA(SPLIT(D13,"" ""))/COUNTA(SPLIT($B$12,"" ""))"),0.19186046511627908)</f>
        <v>0.1918604651</v>
      </c>
      <c r="F13" s="7">
        <v>4.0</v>
      </c>
      <c r="G13" s="7">
        <v>5.0</v>
      </c>
      <c r="H13" s="7">
        <v>5.0</v>
      </c>
      <c r="I13" s="7">
        <v>5.0</v>
      </c>
      <c r="J13" s="7">
        <v>5.0</v>
      </c>
      <c r="K13" s="57"/>
      <c r="L13" s="57"/>
      <c r="M13" s="57"/>
      <c r="N13" s="57"/>
      <c r="O13" s="57"/>
      <c r="P13" s="57"/>
      <c r="Q13" s="57"/>
      <c r="R13" s="57"/>
      <c r="S13" s="57"/>
      <c r="T13" s="57"/>
      <c r="U13" s="57"/>
      <c r="V13" s="57"/>
      <c r="W13" s="57"/>
      <c r="X13" s="57"/>
      <c r="Y13" s="57"/>
      <c r="Z13" s="57"/>
      <c r="AA13" s="57"/>
      <c r="AB13" s="57"/>
    </row>
    <row r="14" ht="225.0" customHeight="1">
      <c r="C14" s="7" t="s">
        <v>8</v>
      </c>
      <c r="D14" s="74" t="s">
        <v>73</v>
      </c>
      <c r="E14" s="85">
        <f>IFERROR(__xludf.DUMMYFUNCTION("COUNTA(SPLIT(D14,"" ""))/COUNTA(SPLIT($B$12,"" ""))"),0.4186046511627907)</f>
        <v>0.4186046512</v>
      </c>
      <c r="F14" s="7">
        <v>3.0</v>
      </c>
      <c r="G14" s="7">
        <v>5.0</v>
      </c>
      <c r="H14" s="7">
        <v>5.0</v>
      </c>
      <c r="I14" s="7">
        <v>3.0</v>
      </c>
      <c r="J14" s="7">
        <v>4.0</v>
      </c>
      <c r="K14" s="57"/>
      <c r="L14" s="57"/>
      <c r="M14" s="57"/>
      <c r="N14" s="57"/>
      <c r="O14" s="57"/>
      <c r="P14" s="57"/>
      <c r="Q14" s="57"/>
      <c r="R14" s="57"/>
      <c r="S14" s="57"/>
      <c r="T14" s="57"/>
      <c r="U14" s="57"/>
      <c r="V14" s="57"/>
      <c r="W14" s="57"/>
      <c r="X14" s="57"/>
      <c r="Y14" s="57"/>
      <c r="Z14" s="57"/>
      <c r="AA14" s="57"/>
      <c r="AB14" s="57"/>
    </row>
    <row r="15" ht="225.0" customHeight="1">
      <c r="C15" s="7" t="s">
        <v>23</v>
      </c>
      <c r="D15" s="74" t="s">
        <v>74</v>
      </c>
      <c r="E15" s="86">
        <f>IFERROR(__xludf.DUMMYFUNCTION("COUNTA(SPLIT(D15,"" ""))/COUNTA(SPLIT($B$12,"" ""))"),0.3023255813953488)</f>
        <v>0.3023255814</v>
      </c>
      <c r="F15" s="7">
        <v>3.0</v>
      </c>
      <c r="G15" s="7">
        <v>5.0</v>
      </c>
      <c r="H15" s="7">
        <v>5.0</v>
      </c>
      <c r="I15" s="7">
        <v>4.0</v>
      </c>
      <c r="J15" s="7">
        <v>5.0</v>
      </c>
      <c r="K15" s="57"/>
      <c r="L15" s="57"/>
      <c r="M15" s="57"/>
      <c r="N15" s="57"/>
      <c r="O15" s="57"/>
      <c r="P15" s="57"/>
      <c r="Q15" s="57"/>
      <c r="R15" s="57"/>
      <c r="S15" s="57"/>
      <c r="T15" s="57"/>
      <c r="U15" s="57"/>
      <c r="V15" s="57"/>
      <c r="W15" s="57"/>
      <c r="X15" s="57"/>
      <c r="Y15" s="57"/>
      <c r="Z15" s="57"/>
      <c r="AA15" s="57"/>
      <c r="AB15" s="57"/>
    </row>
    <row r="16">
      <c r="A16" s="57"/>
      <c r="B16" s="57"/>
      <c r="C16" s="59"/>
      <c r="D16" s="78"/>
      <c r="E16" s="69"/>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51</v>
      </c>
      <c r="B17" s="63" t="s">
        <v>52</v>
      </c>
      <c r="C17" s="64" t="s">
        <v>21</v>
      </c>
      <c r="D17" s="79" t="s">
        <v>75</v>
      </c>
      <c r="E17" s="87">
        <f>IFERROR(__xludf.DUMMYFUNCTION("COUNTA(SPLIT(D17,"" ""))/COUNTA(SPLIT($B$17,"" ""))"),0.6683937823834197)</f>
        <v>0.6683937824</v>
      </c>
      <c r="F17" s="7">
        <v>4.0</v>
      </c>
      <c r="G17" s="7">
        <v>5.0</v>
      </c>
      <c r="H17" s="7">
        <v>5.0</v>
      </c>
      <c r="I17" s="7">
        <v>3.0</v>
      </c>
      <c r="J17" s="7">
        <v>5.0</v>
      </c>
      <c r="K17" s="67"/>
      <c r="L17" s="67"/>
      <c r="M17" s="67"/>
      <c r="N17" s="67"/>
      <c r="O17" s="67"/>
      <c r="P17" s="67"/>
      <c r="Q17" s="67"/>
      <c r="R17" s="67"/>
      <c r="S17" s="67"/>
      <c r="T17" s="67"/>
      <c r="U17" s="67"/>
      <c r="V17" s="67"/>
      <c r="W17" s="67"/>
      <c r="X17" s="67"/>
      <c r="Y17" s="67"/>
      <c r="Z17" s="67"/>
      <c r="AA17" s="67"/>
      <c r="AB17" s="67"/>
    </row>
    <row r="18" ht="225.0" customHeight="1">
      <c r="C18" s="7" t="s">
        <v>22</v>
      </c>
      <c r="D18" s="74" t="s">
        <v>76</v>
      </c>
      <c r="E18" s="82">
        <f>IFERROR(__xludf.DUMMYFUNCTION("COUNTA(SPLIT(D18,"" ""))/COUNTA(SPLIT($B$17,"" ""))"),0.45077720207253885)</f>
        <v>0.4507772021</v>
      </c>
      <c r="F18" s="7">
        <v>4.0</v>
      </c>
      <c r="G18" s="7">
        <v>5.0</v>
      </c>
      <c r="H18" s="7">
        <v>4.0</v>
      </c>
      <c r="I18" s="7">
        <v>4.0</v>
      </c>
      <c r="J18" s="7">
        <v>4.0</v>
      </c>
      <c r="K18" s="57"/>
      <c r="L18" s="57"/>
      <c r="M18" s="57"/>
      <c r="N18" s="57"/>
      <c r="O18" s="57"/>
      <c r="P18" s="57"/>
      <c r="Q18" s="57"/>
      <c r="R18" s="57"/>
      <c r="S18" s="57"/>
      <c r="T18" s="57"/>
      <c r="U18" s="57"/>
      <c r="V18" s="57"/>
      <c r="W18" s="57"/>
      <c r="X18" s="57"/>
      <c r="Y18" s="57"/>
      <c r="Z18" s="57"/>
      <c r="AA18" s="57"/>
      <c r="AB18" s="57"/>
    </row>
    <row r="19" ht="225.0" customHeight="1">
      <c r="C19" s="7" t="s">
        <v>8</v>
      </c>
      <c r="D19" s="74" t="s">
        <v>77</v>
      </c>
      <c r="E19" s="88">
        <f>IFERROR(__xludf.DUMMYFUNCTION("COUNTA(SPLIT(D19,"" ""))/COUNTA(SPLIT($B$17,"" ""))"),0.8601036269430051)</f>
        <v>0.8601036269</v>
      </c>
      <c r="F19" s="7">
        <v>2.0</v>
      </c>
      <c r="G19" s="7">
        <v>5.0</v>
      </c>
      <c r="H19" s="7">
        <v>5.0</v>
      </c>
      <c r="I19" s="7">
        <v>3.0</v>
      </c>
      <c r="J19" s="7">
        <v>4.0</v>
      </c>
      <c r="K19" s="57"/>
      <c r="L19" s="57"/>
      <c r="M19" s="57"/>
      <c r="N19" s="57"/>
      <c r="O19" s="57"/>
      <c r="P19" s="57"/>
      <c r="Q19" s="57"/>
      <c r="R19" s="57"/>
      <c r="S19" s="57"/>
      <c r="T19" s="57"/>
      <c r="U19" s="57"/>
      <c r="V19" s="57"/>
      <c r="W19" s="57"/>
      <c r="X19" s="57"/>
      <c r="Y19" s="57"/>
      <c r="Z19" s="57"/>
      <c r="AA19" s="57"/>
      <c r="AB19" s="57"/>
    </row>
    <row r="20" ht="225.0" customHeight="1">
      <c r="C20" s="7" t="s">
        <v>23</v>
      </c>
      <c r="D20" s="74" t="s">
        <v>78</v>
      </c>
      <c r="E20" s="89">
        <f>IFERROR(__xludf.DUMMYFUNCTION("COUNTA(SPLIT(D20,"" ""))/COUNTA(SPLIT($B$17,"" ""))"),0.47668393782383417)</f>
        <v>0.4766839378</v>
      </c>
      <c r="F20" s="7">
        <v>3.0</v>
      </c>
      <c r="G20" s="7">
        <v>5.0</v>
      </c>
      <c r="H20" s="7">
        <v>5.0</v>
      </c>
      <c r="I20" s="7">
        <v>3.0</v>
      </c>
      <c r="J20" s="7">
        <v>5.0</v>
      </c>
      <c r="K20" s="57"/>
      <c r="L20" s="57"/>
      <c r="M20" s="57"/>
      <c r="N20" s="57"/>
      <c r="O20" s="57"/>
      <c r="P20" s="57"/>
      <c r="Q20" s="57"/>
      <c r="R20" s="57"/>
      <c r="S20" s="57"/>
      <c r="T20" s="57"/>
      <c r="U20" s="57"/>
      <c r="V20" s="57"/>
      <c r="W20" s="57"/>
      <c r="X20" s="57"/>
      <c r="Y20" s="57"/>
      <c r="Z20" s="57"/>
      <c r="AA20" s="57"/>
      <c r="AB20" s="57"/>
    </row>
    <row r="21">
      <c r="A21" s="57"/>
      <c r="B21" s="57"/>
      <c r="C21" s="59"/>
      <c r="D21" s="78"/>
      <c r="E21" s="69"/>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57</v>
      </c>
      <c r="B22" s="63" t="s">
        <v>58</v>
      </c>
      <c r="C22" s="64" t="s">
        <v>21</v>
      </c>
      <c r="D22" s="79" t="s">
        <v>79</v>
      </c>
      <c r="E22" s="90">
        <f>IFERROR(__xludf.DUMMYFUNCTION("COUNTA(SPLIT(D22,"" ""))/COUNTA(SPLIT($B$22,"" ""))"),0.2733446519524618)</f>
        <v>0.273344652</v>
      </c>
      <c r="F22" s="7">
        <v>3.0</v>
      </c>
      <c r="G22" s="7">
        <v>5.0</v>
      </c>
      <c r="H22" s="7">
        <v>5.0</v>
      </c>
      <c r="I22" s="7">
        <v>3.0</v>
      </c>
      <c r="J22" s="7">
        <v>4.0</v>
      </c>
      <c r="K22" s="67"/>
      <c r="L22" s="67"/>
      <c r="M22" s="67"/>
      <c r="N22" s="67"/>
      <c r="O22" s="67"/>
      <c r="P22" s="67"/>
      <c r="Q22" s="67"/>
      <c r="R22" s="67"/>
      <c r="S22" s="67"/>
      <c r="T22" s="67"/>
      <c r="U22" s="67"/>
      <c r="V22" s="67"/>
      <c r="W22" s="67"/>
      <c r="X22" s="67"/>
      <c r="Y22" s="67"/>
      <c r="Z22" s="67"/>
      <c r="AA22" s="67"/>
      <c r="AB22" s="67"/>
    </row>
    <row r="23" ht="225.0" customHeight="1">
      <c r="C23" s="7" t="s">
        <v>22</v>
      </c>
      <c r="D23" s="74" t="s">
        <v>80</v>
      </c>
      <c r="E23" s="84">
        <f>IFERROR(__xludf.DUMMYFUNCTION("COUNTA(SPLIT(D23,"" ""))/COUNTA(SPLIT($B$22,"" ""))"),0.22410865874363328)</f>
        <v>0.2241086587</v>
      </c>
      <c r="F23" s="7">
        <v>4.0</v>
      </c>
      <c r="G23" s="7">
        <v>5.0</v>
      </c>
      <c r="H23" s="7">
        <v>5.0</v>
      </c>
      <c r="I23" s="7">
        <v>3.0</v>
      </c>
      <c r="J23" s="7">
        <v>4.0</v>
      </c>
      <c r="K23" s="57"/>
      <c r="L23" s="57"/>
      <c r="M23" s="57"/>
      <c r="N23" s="57"/>
      <c r="O23" s="57"/>
      <c r="P23" s="57"/>
      <c r="Q23" s="57"/>
      <c r="R23" s="57"/>
      <c r="S23" s="57"/>
      <c r="T23" s="57"/>
      <c r="U23" s="57"/>
      <c r="V23" s="57"/>
      <c r="W23" s="57"/>
      <c r="X23" s="57"/>
      <c r="Y23" s="57"/>
      <c r="Z23" s="57"/>
      <c r="AA23" s="57"/>
      <c r="AB23" s="57"/>
    </row>
    <row r="24" ht="225.0" customHeight="1">
      <c r="C24" s="7" t="s">
        <v>8</v>
      </c>
      <c r="D24" s="74" t="s">
        <v>81</v>
      </c>
      <c r="E24" s="91">
        <f>IFERROR(__xludf.DUMMYFUNCTION("COUNTA(SPLIT(D24,"" ""))/COUNTA(SPLIT($B$22,"" ""))"),0.3157894736842105)</f>
        <v>0.3157894737</v>
      </c>
      <c r="F24" s="7">
        <v>3.0</v>
      </c>
      <c r="G24" s="7">
        <v>5.0</v>
      </c>
      <c r="H24" s="7">
        <v>4.0</v>
      </c>
      <c r="I24" s="7">
        <v>3.0</v>
      </c>
      <c r="J24" s="7">
        <v>5.0</v>
      </c>
      <c r="K24" s="57"/>
      <c r="L24" s="57"/>
      <c r="M24" s="57"/>
      <c r="N24" s="57"/>
      <c r="O24" s="57"/>
      <c r="P24" s="57"/>
      <c r="Q24" s="57"/>
      <c r="R24" s="57"/>
      <c r="S24" s="57"/>
      <c r="T24" s="57"/>
      <c r="U24" s="57"/>
      <c r="V24" s="57"/>
      <c r="W24" s="57"/>
      <c r="X24" s="57"/>
      <c r="Y24" s="57"/>
      <c r="Z24" s="57"/>
      <c r="AA24" s="57"/>
      <c r="AB24" s="57"/>
    </row>
    <row r="25" ht="225.0" customHeight="1">
      <c r="C25" s="7" t="s">
        <v>23</v>
      </c>
      <c r="D25" s="74" t="s">
        <v>82</v>
      </c>
      <c r="E25" s="92">
        <f>IFERROR(__xludf.DUMMYFUNCTION("COUNTA(SPLIT(D25,"" ""))/COUNTA(SPLIT($B$22,"" ""))"),0.22580645161290322)</f>
        <v>0.2258064516</v>
      </c>
      <c r="F25" s="7">
        <v>3.0</v>
      </c>
      <c r="G25" s="7">
        <v>5.0</v>
      </c>
      <c r="H25" s="7">
        <v>5.0</v>
      </c>
      <c r="I25" s="7">
        <v>3.0</v>
      </c>
      <c r="J25" s="7">
        <v>4.0</v>
      </c>
      <c r="K25" s="57"/>
      <c r="L25" s="57"/>
      <c r="M25" s="57"/>
      <c r="N25" s="57"/>
      <c r="O25" s="57"/>
      <c r="P25" s="57"/>
      <c r="Q25" s="57"/>
      <c r="R25" s="57"/>
      <c r="S25" s="57"/>
      <c r="T25" s="57"/>
      <c r="U25" s="57"/>
      <c r="V25" s="57"/>
      <c r="W25" s="57"/>
      <c r="X25" s="57"/>
      <c r="Y25" s="57"/>
      <c r="Z25" s="57"/>
      <c r="AA25" s="57"/>
      <c r="AB25" s="57"/>
    </row>
    <row r="26">
      <c r="A26" s="57"/>
      <c r="B26" s="57"/>
      <c r="C26" s="59"/>
      <c r="D26" s="78"/>
      <c r="E26" s="69"/>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8"/>
      <c r="E27" s="6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8"/>
      <c r="E28" s="6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8"/>
      <c r="E29" s="6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8"/>
      <c r="E30" s="6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8"/>
      <c r="E31" s="6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8"/>
      <c r="E32" s="6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8"/>
      <c r="E33" s="6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8"/>
      <c r="E34" s="6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8"/>
      <c r="E35" s="6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8"/>
      <c r="E36" s="6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8"/>
      <c r="E37" s="6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8"/>
      <c r="E38" s="6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8"/>
      <c r="E39" s="6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8"/>
      <c r="E40" s="6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8"/>
      <c r="E41" s="6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8"/>
      <c r="E42" s="6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8"/>
      <c r="E43" s="6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8"/>
      <c r="E44" s="6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8"/>
      <c r="E45" s="6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8"/>
      <c r="E46" s="6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8"/>
      <c r="E47" s="6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8"/>
      <c r="E48" s="6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8"/>
      <c r="E49" s="6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8"/>
      <c r="E50" s="6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8"/>
      <c r="E51" s="6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8"/>
      <c r="E52" s="6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8"/>
      <c r="E53" s="6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8"/>
      <c r="E54" s="6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8"/>
      <c r="E55" s="6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8"/>
      <c r="E56" s="6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8"/>
      <c r="E57" s="6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8"/>
      <c r="E58" s="6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8"/>
      <c r="E59" s="6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8"/>
      <c r="E60" s="6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8"/>
      <c r="E61" s="6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8"/>
      <c r="E62" s="6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8"/>
      <c r="E63" s="6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8"/>
      <c r="E64" s="6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8"/>
      <c r="E65" s="6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8"/>
      <c r="E66" s="6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8"/>
      <c r="E67" s="6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8"/>
      <c r="E68" s="6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8"/>
      <c r="E69" s="6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8"/>
      <c r="E70" s="6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8"/>
      <c r="E71" s="6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8"/>
      <c r="E72" s="6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8"/>
      <c r="E73" s="6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8"/>
      <c r="E74" s="6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8"/>
      <c r="E75" s="6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8"/>
      <c r="E76" s="6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8"/>
      <c r="E77" s="6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8"/>
      <c r="E78" s="6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8"/>
      <c r="E79" s="6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8"/>
      <c r="E80" s="6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8"/>
      <c r="E81" s="6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8"/>
      <c r="E82" s="6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8"/>
      <c r="E83" s="6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8"/>
      <c r="E84" s="6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8"/>
      <c r="E85" s="6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8"/>
      <c r="E86" s="6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8"/>
      <c r="E87" s="6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8"/>
      <c r="E88" s="6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8"/>
      <c r="E89" s="6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8"/>
      <c r="E90" s="6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8"/>
      <c r="E91" s="6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8"/>
      <c r="E92" s="6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8"/>
      <c r="E93" s="6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8"/>
      <c r="E94" s="6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8"/>
      <c r="E95" s="6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8"/>
      <c r="E96" s="6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8"/>
      <c r="E97" s="6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8"/>
      <c r="E98" s="6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8"/>
      <c r="E99" s="6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8"/>
      <c r="E100" s="6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8"/>
      <c r="E101" s="6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8"/>
      <c r="E102" s="6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8"/>
      <c r="E103" s="6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8"/>
      <c r="E104" s="6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8"/>
      <c r="E105" s="6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8"/>
      <c r="E106" s="6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8"/>
      <c r="E107" s="6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8"/>
      <c r="E108" s="6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8"/>
      <c r="E109" s="6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8"/>
      <c r="E110" s="6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8"/>
      <c r="E111" s="6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8"/>
      <c r="E112" s="6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8"/>
      <c r="E113" s="6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8"/>
      <c r="E114" s="6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8"/>
      <c r="E115" s="6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8"/>
      <c r="E116" s="6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8"/>
      <c r="E117" s="6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8"/>
      <c r="E118" s="6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8"/>
      <c r="E119" s="6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8"/>
      <c r="E120" s="6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8"/>
      <c r="E121" s="6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8"/>
      <c r="E122" s="6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8"/>
      <c r="E123" s="6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8"/>
      <c r="E124" s="6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8"/>
      <c r="E125" s="6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8"/>
      <c r="E126" s="6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8"/>
      <c r="E127" s="6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8"/>
      <c r="E128" s="6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8"/>
      <c r="E129" s="6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8"/>
      <c r="E130" s="6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8"/>
      <c r="E131" s="6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8"/>
      <c r="E132" s="6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8"/>
      <c r="E133" s="6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8"/>
      <c r="E134" s="6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8"/>
      <c r="E135" s="6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8"/>
      <c r="E136" s="6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8"/>
      <c r="E137" s="6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8"/>
      <c r="E138" s="6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8"/>
      <c r="E139" s="6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8"/>
      <c r="E140" s="6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8"/>
      <c r="E141" s="6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8"/>
      <c r="E142" s="6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8"/>
      <c r="E143" s="6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8"/>
      <c r="E144" s="6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8"/>
      <c r="E145" s="6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8"/>
      <c r="E146" s="6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8"/>
      <c r="E147" s="6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8"/>
      <c r="E148" s="6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8"/>
      <c r="E149" s="6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8"/>
      <c r="E150" s="6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8"/>
      <c r="E151" s="6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8"/>
      <c r="E152" s="6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8"/>
      <c r="E153" s="6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8"/>
      <c r="E154" s="6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8"/>
      <c r="E155" s="6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8"/>
      <c r="E156" s="6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8"/>
      <c r="E157" s="6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8"/>
      <c r="E158" s="6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8"/>
      <c r="E159" s="6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8"/>
      <c r="E160" s="6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8"/>
      <c r="E161" s="6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8"/>
      <c r="E162" s="6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8"/>
      <c r="E163" s="6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8"/>
      <c r="E164" s="6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8"/>
      <c r="E165" s="6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8"/>
      <c r="E166" s="6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8"/>
      <c r="E167" s="6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8"/>
      <c r="E168" s="6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8"/>
      <c r="E169" s="6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8"/>
      <c r="E170" s="6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8"/>
      <c r="E171" s="6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8"/>
      <c r="E172" s="6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8"/>
      <c r="E173" s="6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8"/>
      <c r="E174" s="6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8"/>
      <c r="E175" s="6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8"/>
      <c r="E176" s="6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8"/>
      <c r="E177" s="6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8"/>
      <c r="E178" s="6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8"/>
      <c r="E179" s="6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8"/>
      <c r="E180" s="6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8"/>
      <c r="E181" s="6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8"/>
      <c r="E182" s="6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8"/>
      <c r="E183" s="6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8"/>
      <c r="E184" s="6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8"/>
      <c r="E185" s="6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8"/>
      <c r="E186" s="6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8"/>
      <c r="E187" s="6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8"/>
      <c r="E188" s="6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8"/>
      <c r="E189" s="6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8"/>
      <c r="E190" s="6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8"/>
      <c r="E191" s="6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8"/>
      <c r="E192" s="6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8"/>
      <c r="E193" s="6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8"/>
      <c r="E194" s="6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8"/>
      <c r="E195" s="6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8"/>
      <c r="E196" s="6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8"/>
      <c r="E197" s="6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8"/>
      <c r="E198" s="6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8"/>
      <c r="E199" s="6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8"/>
      <c r="E200" s="6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8"/>
      <c r="E201" s="6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8"/>
      <c r="E202" s="6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8"/>
      <c r="E203" s="6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8"/>
      <c r="E204" s="6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8"/>
      <c r="E205" s="6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8"/>
      <c r="E206" s="6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8"/>
      <c r="E207" s="6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8"/>
      <c r="E208" s="6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8"/>
      <c r="E209" s="6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8"/>
      <c r="E210" s="6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8"/>
      <c r="E211" s="6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8"/>
      <c r="E212" s="6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8"/>
      <c r="E213" s="6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8"/>
      <c r="E214" s="6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8"/>
      <c r="E215" s="6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8"/>
      <c r="E216" s="6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8"/>
      <c r="E217" s="6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8"/>
      <c r="E218" s="6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8"/>
      <c r="E219" s="6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8"/>
      <c r="E220" s="6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8"/>
      <c r="E221" s="6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8"/>
      <c r="E222" s="6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8"/>
      <c r="E223" s="6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8"/>
      <c r="E224" s="6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8"/>
      <c r="E225" s="6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8"/>
      <c r="E226" s="6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8"/>
      <c r="E227" s="6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8"/>
      <c r="E228" s="6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8"/>
      <c r="E229" s="6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8"/>
      <c r="E230" s="6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8"/>
      <c r="E231" s="6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8"/>
      <c r="E232" s="6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8"/>
      <c r="E233" s="6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8"/>
      <c r="E234" s="6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8"/>
      <c r="E235" s="6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8"/>
      <c r="E236" s="6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8"/>
      <c r="E237" s="6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8"/>
      <c r="E238" s="6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8"/>
      <c r="E239" s="6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8"/>
      <c r="E240" s="6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8"/>
      <c r="E241" s="6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8"/>
      <c r="E242" s="6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8"/>
      <c r="E243" s="6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8"/>
      <c r="E244" s="6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8"/>
      <c r="E245" s="6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8"/>
      <c r="E246" s="6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8"/>
      <c r="E247" s="6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8"/>
      <c r="E248" s="6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8"/>
      <c r="E249" s="6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8"/>
      <c r="E250" s="6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8"/>
      <c r="E251" s="6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8"/>
      <c r="E252" s="6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8"/>
      <c r="E253" s="6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8"/>
      <c r="E254" s="6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8"/>
      <c r="E255" s="6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8"/>
      <c r="E256" s="6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8"/>
      <c r="E257" s="6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8"/>
      <c r="E258" s="6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8"/>
      <c r="E259" s="6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8"/>
      <c r="E260" s="6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8"/>
      <c r="E261" s="6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8"/>
      <c r="E262" s="6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8"/>
      <c r="E263" s="6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8"/>
      <c r="E264" s="6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8"/>
      <c r="E265" s="6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8"/>
      <c r="E266" s="6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8"/>
      <c r="E267" s="6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8"/>
      <c r="E268" s="6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8"/>
      <c r="E269" s="6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8"/>
      <c r="E270" s="6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8"/>
      <c r="E271" s="6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8"/>
      <c r="E272" s="6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8"/>
      <c r="E273" s="6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8"/>
      <c r="E274" s="6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8"/>
      <c r="E275" s="6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8"/>
      <c r="E276" s="6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8"/>
      <c r="E277" s="6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8"/>
      <c r="E278" s="6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8"/>
      <c r="E279" s="6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8"/>
      <c r="E280" s="6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8"/>
      <c r="E281" s="6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8"/>
      <c r="E282" s="6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8"/>
      <c r="E283" s="6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8"/>
      <c r="E284" s="6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8"/>
      <c r="E285" s="6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8"/>
      <c r="E286" s="6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8"/>
      <c r="E287" s="6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8"/>
      <c r="E288" s="6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8"/>
      <c r="E289" s="6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8"/>
      <c r="E290" s="6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8"/>
      <c r="E291" s="6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8"/>
      <c r="E292" s="6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8"/>
      <c r="E293" s="6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8"/>
      <c r="E294" s="6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8"/>
      <c r="E295" s="6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8"/>
      <c r="E296" s="6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8"/>
      <c r="E297" s="6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8"/>
      <c r="E298" s="6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8"/>
      <c r="E299" s="6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8"/>
      <c r="E300" s="6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8"/>
      <c r="E301" s="6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8"/>
      <c r="E302" s="6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8"/>
      <c r="E303" s="6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8"/>
      <c r="E304" s="6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8"/>
      <c r="E305" s="6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8"/>
      <c r="E306" s="6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8"/>
      <c r="E307" s="6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8"/>
      <c r="E308" s="6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8"/>
      <c r="E309" s="6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8"/>
      <c r="E310" s="6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8"/>
      <c r="E311" s="6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8"/>
      <c r="E312" s="6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8"/>
      <c r="E313" s="6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8"/>
      <c r="E314" s="6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8"/>
      <c r="E315" s="6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8"/>
      <c r="E316" s="6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8"/>
      <c r="E317" s="6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8"/>
      <c r="E318" s="6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8"/>
      <c r="E319" s="6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8"/>
      <c r="E320" s="6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8"/>
      <c r="E321" s="6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8"/>
      <c r="E322" s="6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8"/>
      <c r="E323" s="6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8"/>
      <c r="E324" s="6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8"/>
      <c r="E325" s="6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8"/>
      <c r="E326" s="6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8"/>
      <c r="E327" s="6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8"/>
      <c r="E328" s="6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8"/>
      <c r="E329" s="6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8"/>
      <c r="E330" s="6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8"/>
      <c r="E331" s="6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8"/>
      <c r="E332" s="6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8"/>
      <c r="E333" s="6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8"/>
      <c r="E334" s="6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8"/>
      <c r="E335" s="6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8"/>
      <c r="E336" s="6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8"/>
      <c r="E337" s="6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8"/>
      <c r="E338" s="6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8"/>
      <c r="E339" s="6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8"/>
      <c r="E340" s="6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8"/>
      <c r="E341" s="6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8"/>
      <c r="E342" s="6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8"/>
      <c r="E343" s="6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8"/>
      <c r="E344" s="6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8"/>
      <c r="E345" s="6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8"/>
      <c r="E346" s="6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8"/>
      <c r="E347" s="6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8"/>
      <c r="E348" s="6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8"/>
      <c r="E349" s="6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8"/>
      <c r="E350" s="6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8"/>
      <c r="E351" s="6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8"/>
      <c r="E352" s="6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8"/>
      <c r="E353" s="6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8"/>
      <c r="E354" s="6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8"/>
      <c r="E355" s="6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8"/>
      <c r="E356" s="6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8"/>
      <c r="E357" s="6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8"/>
      <c r="E358" s="6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8"/>
      <c r="E359" s="6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8"/>
      <c r="E360" s="6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8"/>
      <c r="E361" s="6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8"/>
      <c r="E362" s="6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8"/>
      <c r="E363" s="6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8"/>
      <c r="E364" s="6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8"/>
      <c r="E365" s="6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8"/>
      <c r="E366" s="6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8"/>
      <c r="E367" s="6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8"/>
      <c r="E368" s="6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8"/>
      <c r="E369" s="6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8"/>
      <c r="E370" s="6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8"/>
      <c r="E371" s="6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8"/>
      <c r="E372" s="6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8"/>
      <c r="E373" s="6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8"/>
      <c r="E374" s="6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8"/>
      <c r="E375" s="6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8"/>
      <c r="E376" s="6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8"/>
      <c r="E377" s="6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8"/>
      <c r="E378" s="6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8"/>
      <c r="E379" s="6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8"/>
      <c r="E380" s="6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8"/>
      <c r="E381" s="6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8"/>
      <c r="E382" s="6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8"/>
      <c r="E383" s="6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8"/>
      <c r="E384" s="6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8"/>
      <c r="E385" s="6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8"/>
      <c r="E386" s="6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8"/>
      <c r="E387" s="6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8"/>
      <c r="E388" s="6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8"/>
      <c r="E389" s="6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8"/>
      <c r="E390" s="6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8"/>
      <c r="E391" s="6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8"/>
      <c r="E392" s="6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8"/>
      <c r="E393" s="6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8"/>
      <c r="E394" s="6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8"/>
      <c r="E395" s="6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8"/>
      <c r="E396" s="6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8"/>
      <c r="E397" s="6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8"/>
      <c r="E398" s="6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8"/>
      <c r="E399" s="6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8"/>
      <c r="E400" s="6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8"/>
      <c r="E401" s="6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8"/>
      <c r="E402" s="6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8"/>
      <c r="E403" s="6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8"/>
      <c r="E404" s="6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8"/>
      <c r="E405" s="6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8"/>
      <c r="E406" s="6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8"/>
      <c r="E407" s="6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8"/>
      <c r="E408" s="6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8"/>
      <c r="E409" s="6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8"/>
      <c r="E410" s="6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8"/>
      <c r="E411" s="6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8"/>
      <c r="E412" s="6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8"/>
      <c r="E413" s="6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8"/>
      <c r="E414" s="6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8"/>
      <c r="E415" s="6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8"/>
      <c r="E416" s="6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8"/>
      <c r="E417" s="6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8"/>
      <c r="E418" s="6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8"/>
      <c r="E419" s="6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8"/>
      <c r="E420" s="6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8"/>
      <c r="E421" s="6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8"/>
      <c r="E422" s="6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8"/>
      <c r="E423" s="6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8"/>
      <c r="E424" s="6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8"/>
      <c r="E425" s="6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8"/>
      <c r="E426" s="6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8"/>
      <c r="E427" s="6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8"/>
      <c r="E428" s="6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8"/>
      <c r="E429" s="6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8"/>
      <c r="E430" s="6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8"/>
      <c r="E431" s="6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8"/>
      <c r="E432" s="6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8"/>
      <c r="E433" s="6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8"/>
      <c r="E434" s="6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8"/>
      <c r="E435" s="6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8"/>
      <c r="E436" s="6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8"/>
      <c r="E437" s="6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8"/>
      <c r="E438" s="6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8"/>
      <c r="E439" s="6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8"/>
      <c r="E440" s="6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8"/>
      <c r="E441" s="6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8"/>
      <c r="E442" s="6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8"/>
      <c r="E443" s="6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8"/>
      <c r="E444" s="6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8"/>
      <c r="E445" s="6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8"/>
      <c r="E446" s="6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8"/>
      <c r="E447" s="6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8"/>
      <c r="E448" s="6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8"/>
      <c r="E449" s="6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8"/>
      <c r="E450" s="6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8"/>
      <c r="E451" s="6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8"/>
      <c r="E452" s="6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8"/>
      <c r="E453" s="6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8"/>
      <c r="E454" s="6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8"/>
      <c r="E455" s="6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8"/>
      <c r="E456" s="6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8"/>
      <c r="E457" s="6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8"/>
      <c r="E458" s="6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8"/>
      <c r="E459" s="6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8"/>
      <c r="E460" s="6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8"/>
      <c r="E461" s="6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8"/>
      <c r="E462" s="6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8"/>
      <c r="E463" s="6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8"/>
      <c r="E464" s="6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8"/>
      <c r="E465" s="6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8"/>
      <c r="E466" s="6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8"/>
      <c r="E467" s="6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8"/>
      <c r="E468" s="6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8"/>
      <c r="E469" s="6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8"/>
      <c r="E470" s="6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8"/>
      <c r="E471" s="6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8"/>
      <c r="E472" s="6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8"/>
      <c r="E473" s="6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8"/>
      <c r="E474" s="6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8"/>
      <c r="E475" s="6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8"/>
      <c r="E476" s="6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8"/>
      <c r="E477" s="6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8"/>
      <c r="E478" s="6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8"/>
      <c r="E479" s="6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8"/>
      <c r="E480" s="6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8"/>
      <c r="E481" s="6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8"/>
      <c r="E482" s="6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8"/>
      <c r="E483" s="6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8"/>
      <c r="E484" s="6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8"/>
      <c r="E485" s="6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8"/>
      <c r="E486" s="6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8"/>
      <c r="E487" s="6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8"/>
      <c r="E488" s="6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8"/>
      <c r="E489" s="6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8"/>
      <c r="E490" s="6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8"/>
      <c r="E491" s="6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8"/>
      <c r="E492" s="6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8"/>
      <c r="E493" s="6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8"/>
      <c r="E494" s="6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8"/>
      <c r="E495" s="6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8"/>
      <c r="E496" s="6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8"/>
      <c r="E497" s="6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8"/>
      <c r="E498" s="6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8"/>
      <c r="E499" s="6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8"/>
      <c r="E500" s="6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8"/>
      <c r="E501" s="6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8"/>
      <c r="E502" s="6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8"/>
      <c r="E503" s="6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8"/>
      <c r="E504" s="6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8"/>
      <c r="E505" s="6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8"/>
      <c r="E506" s="6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8"/>
      <c r="E507" s="6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8"/>
      <c r="E508" s="6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8"/>
      <c r="E509" s="6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8"/>
      <c r="E510" s="6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8"/>
      <c r="E511" s="6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8"/>
      <c r="E512" s="6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8"/>
      <c r="E513" s="6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8"/>
      <c r="E514" s="6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8"/>
      <c r="E515" s="6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8"/>
      <c r="E516" s="6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8"/>
      <c r="E517" s="6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8"/>
      <c r="E518" s="6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8"/>
      <c r="E519" s="6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8"/>
      <c r="E520" s="6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8"/>
      <c r="E521" s="6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8"/>
      <c r="E522" s="6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8"/>
      <c r="E523" s="6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8"/>
      <c r="E524" s="6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8"/>
      <c r="E525" s="6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8"/>
      <c r="E526" s="6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8"/>
      <c r="E527" s="6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8"/>
      <c r="E528" s="6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8"/>
      <c r="E529" s="6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8"/>
      <c r="E530" s="6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8"/>
      <c r="E531" s="6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8"/>
      <c r="E532" s="6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8"/>
      <c r="E533" s="6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8"/>
      <c r="E534" s="6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8"/>
      <c r="E535" s="6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8"/>
      <c r="E536" s="6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8"/>
      <c r="E537" s="6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8"/>
      <c r="E538" s="6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8"/>
      <c r="E539" s="6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8"/>
      <c r="E540" s="6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8"/>
      <c r="E541" s="6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8"/>
      <c r="E542" s="6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8"/>
      <c r="E543" s="6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8"/>
      <c r="E544" s="6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8"/>
      <c r="E545" s="6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8"/>
      <c r="E546" s="6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8"/>
      <c r="E547" s="6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8"/>
      <c r="E548" s="6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8"/>
      <c r="E549" s="6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8"/>
      <c r="E550" s="6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8"/>
      <c r="E551" s="6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8"/>
      <c r="E552" s="6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8"/>
      <c r="E553" s="6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8"/>
      <c r="E554" s="6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8"/>
      <c r="E555" s="6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8"/>
      <c r="E556" s="6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8"/>
      <c r="E557" s="6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8"/>
      <c r="E558" s="6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8"/>
      <c r="E559" s="6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8"/>
      <c r="E560" s="6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8"/>
      <c r="E561" s="6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8"/>
      <c r="E562" s="6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8"/>
      <c r="E563" s="6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8"/>
      <c r="E564" s="6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8"/>
      <c r="E565" s="6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8"/>
      <c r="E566" s="6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8"/>
      <c r="E567" s="6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8"/>
      <c r="E568" s="6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8"/>
      <c r="E569" s="6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8"/>
      <c r="E570" s="6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8"/>
      <c r="E571" s="6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8"/>
      <c r="E572" s="6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8"/>
      <c r="E573" s="6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8"/>
      <c r="E574" s="6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8"/>
      <c r="E575" s="6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8"/>
      <c r="E576" s="6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8"/>
      <c r="E577" s="6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8"/>
      <c r="E578" s="6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8"/>
      <c r="E579" s="6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8"/>
      <c r="E580" s="6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8"/>
      <c r="E581" s="6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8"/>
      <c r="E582" s="6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8"/>
      <c r="E583" s="6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8"/>
      <c r="E584" s="6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8"/>
      <c r="E585" s="6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8"/>
      <c r="E586" s="6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8"/>
      <c r="E587" s="6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8"/>
      <c r="E588" s="6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8"/>
      <c r="E589" s="6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8"/>
      <c r="E590" s="6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8"/>
      <c r="E591" s="6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8"/>
      <c r="E592" s="6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8"/>
      <c r="E593" s="6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8"/>
      <c r="E594" s="6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8"/>
      <c r="E595" s="6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8"/>
      <c r="E596" s="6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8"/>
      <c r="E597" s="6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8"/>
      <c r="E598" s="6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8"/>
      <c r="E599" s="6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8"/>
      <c r="E600" s="6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8"/>
      <c r="E601" s="6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8"/>
      <c r="E602" s="6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8"/>
      <c r="E603" s="6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8"/>
      <c r="E604" s="6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8"/>
      <c r="E605" s="6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8"/>
      <c r="E606" s="6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8"/>
      <c r="E607" s="6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8"/>
      <c r="E608" s="6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8"/>
      <c r="E609" s="6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8"/>
      <c r="E610" s="6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8"/>
      <c r="E611" s="6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8"/>
      <c r="E612" s="6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8"/>
      <c r="E613" s="6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8"/>
      <c r="E614" s="6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8"/>
      <c r="E615" s="6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8"/>
      <c r="E616" s="6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8"/>
      <c r="E617" s="6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8"/>
      <c r="E618" s="6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8"/>
      <c r="E619" s="6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8"/>
      <c r="E620" s="6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8"/>
      <c r="E621" s="6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8"/>
      <c r="E622" s="6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8"/>
      <c r="E623" s="6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8"/>
      <c r="E624" s="6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8"/>
      <c r="E625" s="6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8"/>
      <c r="E626" s="6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8"/>
      <c r="E627" s="6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8"/>
      <c r="E628" s="6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8"/>
      <c r="E629" s="6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8"/>
      <c r="E630" s="6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8"/>
      <c r="E631" s="6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8"/>
      <c r="E632" s="6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8"/>
      <c r="E633" s="6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8"/>
      <c r="E634" s="6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8"/>
      <c r="E635" s="6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8"/>
      <c r="E636" s="6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8"/>
      <c r="E637" s="6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8"/>
      <c r="E638" s="6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8"/>
      <c r="E639" s="6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8"/>
      <c r="E640" s="6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8"/>
      <c r="E641" s="6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8"/>
      <c r="E642" s="6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8"/>
      <c r="E643" s="6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8"/>
      <c r="E644" s="6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8"/>
      <c r="E645" s="6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8"/>
      <c r="E646" s="6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8"/>
      <c r="E647" s="6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8"/>
      <c r="E648" s="6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8"/>
      <c r="E649" s="6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8"/>
      <c r="E650" s="6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8"/>
      <c r="E651" s="6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8"/>
      <c r="E652" s="6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8"/>
      <c r="E653" s="6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8"/>
      <c r="E654" s="6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8"/>
      <c r="E655" s="6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8"/>
      <c r="E656" s="6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8"/>
      <c r="E657" s="6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8"/>
      <c r="E658" s="6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8"/>
      <c r="E659" s="6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8"/>
      <c r="E660" s="6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8"/>
      <c r="E661" s="6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8"/>
      <c r="E662" s="6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8"/>
      <c r="E663" s="6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8"/>
      <c r="E664" s="6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8"/>
      <c r="E665" s="6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8"/>
      <c r="E666" s="6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8"/>
      <c r="E667" s="6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8"/>
      <c r="E668" s="6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8"/>
      <c r="E669" s="6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8"/>
      <c r="E670" s="6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8"/>
      <c r="E671" s="6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8"/>
      <c r="E672" s="6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8"/>
      <c r="E673" s="6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8"/>
      <c r="E674" s="6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8"/>
      <c r="E675" s="6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8"/>
      <c r="E676" s="6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8"/>
      <c r="E677" s="6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8"/>
      <c r="E678" s="6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8"/>
      <c r="E679" s="6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8"/>
      <c r="E680" s="6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8"/>
      <c r="E681" s="6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8"/>
      <c r="E682" s="6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8"/>
      <c r="E683" s="6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8"/>
      <c r="E684" s="6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8"/>
      <c r="E685" s="6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8"/>
      <c r="E686" s="6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8"/>
      <c r="E687" s="6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8"/>
      <c r="E688" s="6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8"/>
      <c r="E689" s="6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8"/>
      <c r="E690" s="6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8"/>
      <c r="E691" s="6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8"/>
      <c r="E692" s="6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8"/>
      <c r="E693" s="6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8"/>
      <c r="E694" s="6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8"/>
      <c r="E695" s="6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8"/>
      <c r="E696" s="6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8"/>
      <c r="E697" s="6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8"/>
      <c r="E698" s="6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8"/>
      <c r="E699" s="6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8"/>
      <c r="E700" s="6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8"/>
      <c r="E701" s="6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8"/>
      <c r="E702" s="6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8"/>
      <c r="E703" s="6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8"/>
      <c r="E704" s="6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8"/>
      <c r="E705" s="6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8"/>
      <c r="E706" s="6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8"/>
      <c r="E707" s="6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8"/>
      <c r="E708" s="6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8"/>
      <c r="E709" s="6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8"/>
      <c r="E710" s="6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8"/>
      <c r="E711" s="6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8"/>
      <c r="E712" s="6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8"/>
      <c r="E713" s="6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8"/>
      <c r="E714" s="6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8"/>
      <c r="E715" s="6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8"/>
      <c r="E716" s="6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8"/>
      <c r="E717" s="6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8"/>
      <c r="E718" s="6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8"/>
      <c r="E719" s="6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8"/>
      <c r="E720" s="6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8"/>
      <c r="E721" s="6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8"/>
      <c r="E722" s="6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8"/>
      <c r="E723" s="6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8"/>
      <c r="E724" s="6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8"/>
      <c r="E725" s="6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8"/>
      <c r="E726" s="6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8"/>
      <c r="E727" s="6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8"/>
      <c r="E728" s="6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8"/>
      <c r="E729" s="6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8"/>
      <c r="E730" s="6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8"/>
      <c r="E731" s="6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8"/>
      <c r="E732" s="6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8"/>
      <c r="E733" s="6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8"/>
      <c r="E734" s="6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8"/>
      <c r="E735" s="6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8"/>
      <c r="E736" s="6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8"/>
      <c r="E737" s="6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8"/>
      <c r="E738" s="6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8"/>
      <c r="E739" s="6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8"/>
      <c r="E740" s="6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8"/>
      <c r="E741" s="6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8"/>
      <c r="E742" s="6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8"/>
      <c r="E743" s="6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8"/>
      <c r="E744" s="6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8"/>
      <c r="E745" s="6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8"/>
      <c r="E746" s="6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8"/>
      <c r="E747" s="6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8"/>
      <c r="E748" s="6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8"/>
      <c r="E749" s="6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8"/>
      <c r="E750" s="6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8"/>
      <c r="E751" s="6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8"/>
      <c r="E752" s="6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8"/>
      <c r="E753" s="6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8"/>
      <c r="E754" s="6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8"/>
      <c r="E755" s="6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8"/>
      <c r="E756" s="6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8"/>
      <c r="E757" s="6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8"/>
      <c r="E758" s="6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8"/>
      <c r="E759" s="6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8"/>
      <c r="E760" s="6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8"/>
      <c r="E761" s="6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8"/>
      <c r="E762" s="6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8"/>
      <c r="E763" s="6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8"/>
      <c r="E764" s="6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8"/>
      <c r="E765" s="6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8"/>
      <c r="E766" s="6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8"/>
      <c r="E767" s="6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8"/>
      <c r="E768" s="6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8"/>
      <c r="E769" s="6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8"/>
      <c r="E770" s="6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8"/>
      <c r="E771" s="6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8"/>
      <c r="E772" s="6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8"/>
      <c r="E773" s="6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8"/>
      <c r="E774" s="6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8"/>
      <c r="E775" s="6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8"/>
      <c r="E776" s="6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8"/>
      <c r="E777" s="6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8"/>
      <c r="E778" s="6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8"/>
      <c r="E779" s="6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8"/>
      <c r="E780" s="6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8"/>
      <c r="E781" s="6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8"/>
      <c r="E782" s="6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8"/>
      <c r="E783" s="6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8"/>
      <c r="E784" s="6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8"/>
      <c r="E785" s="6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8"/>
      <c r="E786" s="6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8"/>
      <c r="E787" s="6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8"/>
      <c r="E788" s="6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8"/>
      <c r="E789" s="6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8"/>
      <c r="E790" s="6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8"/>
      <c r="E791" s="6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8"/>
      <c r="E792" s="6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8"/>
      <c r="E793" s="6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8"/>
      <c r="E794" s="6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8"/>
      <c r="E795" s="6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8"/>
      <c r="E796" s="6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8"/>
      <c r="E797" s="6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8"/>
      <c r="E798" s="6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8"/>
      <c r="E799" s="6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8"/>
      <c r="E800" s="6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8"/>
      <c r="E801" s="6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8"/>
      <c r="E802" s="6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8"/>
      <c r="E803" s="6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8"/>
      <c r="E804" s="6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8"/>
      <c r="E805" s="6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8"/>
      <c r="E806" s="6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8"/>
      <c r="E807" s="6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8"/>
      <c r="E808" s="6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8"/>
      <c r="E809" s="6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8"/>
      <c r="E810" s="6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8"/>
      <c r="E811" s="6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8"/>
      <c r="E812" s="6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8"/>
      <c r="E813" s="6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8"/>
      <c r="E814" s="6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8"/>
      <c r="E815" s="6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8"/>
      <c r="E816" s="6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8"/>
      <c r="E817" s="6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8"/>
      <c r="E818" s="6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8"/>
      <c r="E819" s="6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8"/>
      <c r="E820" s="6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8"/>
      <c r="E821" s="6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8"/>
      <c r="E822" s="6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8"/>
      <c r="E823" s="6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8"/>
      <c r="E824" s="6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8"/>
      <c r="E825" s="6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8"/>
      <c r="E826" s="6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8"/>
      <c r="E827" s="6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8"/>
      <c r="E828" s="6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8"/>
      <c r="E829" s="6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8"/>
      <c r="E830" s="6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8"/>
      <c r="E831" s="6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8"/>
      <c r="E832" s="6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8"/>
      <c r="E833" s="6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8"/>
      <c r="E834" s="6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8"/>
      <c r="E835" s="6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8"/>
      <c r="E836" s="6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8"/>
      <c r="E837" s="6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8"/>
      <c r="E838" s="6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8"/>
      <c r="E839" s="6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8"/>
      <c r="E840" s="6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8"/>
      <c r="E841" s="6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8"/>
      <c r="E842" s="6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8"/>
      <c r="E843" s="6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8"/>
      <c r="E844" s="6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8"/>
      <c r="E845" s="6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8"/>
      <c r="E846" s="6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8"/>
      <c r="E847" s="6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8"/>
      <c r="E848" s="6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8"/>
      <c r="E849" s="6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8"/>
      <c r="E850" s="6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8"/>
      <c r="E851" s="6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8"/>
      <c r="E852" s="6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8"/>
      <c r="E853" s="6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8"/>
      <c r="E854" s="6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8"/>
      <c r="E855" s="6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8"/>
      <c r="E856" s="6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8"/>
      <c r="E857" s="6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8"/>
      <c r="E858" s="6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8"/>
      <c r="E859" s="6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8"/>
      <c r="E860" s="6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8"/>
      <c r="E861" s="6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8"/>
      <c r="E862" s="6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8"/>
      <c r="E863" s="6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8"/>
      <c r="E864" s="6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8"/>
      <c r="E865" s="6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8"/>
      <c r="E866" s="6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8"/>
      <c r="E867" s="6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8"/>
      <c r="E868" s="6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8"/>
      <c r="E869" s="6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8"/>
      <c r="E870" s="6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8"/>
      <c r="E871" s="6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8"/>
      <c r="E872" s="6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8"/>
      <c r="E873" s="6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8"/>
      <c r="E874" s="6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8"/>
      <c r="E875" s="6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8"/>
      <c r="E876" s="6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8"/>
      <c r="E877" s="6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8"/>
      <c r="E878" s="6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8"/>
      <c r="E879" s="6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8"/>
      <c r="E880" s="6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8"/>
      <c r="E881" s="6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8"/>
      <c r="E882" s="6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8"/>
      <c r="E883" s="6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8"/>
      <c r="E884" s="6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8"/>
      <c r="E885" s="6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8"/>
      <c r="E886" s="6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8"/>
      <c r="E887" s="6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8"/>
      <c r="E888" s="6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8"/>
      <c r="E889" s="6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8"/>
      <c r="E890" s="6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8"/>
      <c r="E891" s="6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8"/>
      <c r="E892" s="6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8"/>
      <c r="E893" s="6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8"/>
      <c r="E894" s="6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8"/>
      <c r="E895" s="6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8"/>
      <c r="E896" s="6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8"/>
      <c r="E897" s="6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8"/>
      <c r="E898" s="6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8"/>
      <c r="E899" s="6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8"/>
      <c r="E900" s="6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8"/>
      <c r="E901" s="6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8"/>
      <c r="E902" s="6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8"/>
      <c r="E903" s="6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8"/>
      <c r="E904" s="6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8"/>
      <c r="E905" s="6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8"/>
      <c r="E906" s="6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8"/>
      <c r="E907" s="6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8"/>
      <c r="E908" s="6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8"/>
      <c r="E909" s="6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8"/>
      <c r="E910" s="6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8"/>
      <c r="E911" s="6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8"/>
      <c r="E912" s="6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8"/>
      <c r="E913" s="6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8"/>
      <c r="E914" s="6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8"/>
      <c r="E915" s="6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8"/>
      <c r="E916" s="6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8"/>
      <c r="E917" s="6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8"/>
      <c r="E918" s="6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8"/>
      <c r="E919" s="6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8"/>
      <c r="E920" s="6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8"/>
      <c r="E921" s="6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8"/>
      <c r="E922" s="6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8"/>
      <c r="E923" s="6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8"/>
      <c r="E924" s="6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8"/>
      <c r="E925" s="6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8"/>
      <c r="E926" s="6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8"/>
      <c r="E927" s="6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8"/>
      <c r="E928" s="6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8"/>
      <c r="E929" s="6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8"/>
      <c r="E930" s="6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8"/>
      <c r="E931" s="6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8"/>
      <c r="E932" s="6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8"/>
      <c r="E933" s="6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8"/>
      <c r="E934" s="6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8"/>
      <c r="E935" s="6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8"/>
      <c r="E936" s="6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8"/>
      <c r="E937" s="6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8"/>
      <c r="E938" s="6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8"/>
      <c r="E939" s="6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8"/>
      <c r="E940" s="6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8"/>
      <c r="E941" s="6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8"/>
      <c r="E942" s="6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8"/>
      <c r="E943" s="6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8"/>
      <c r="E944" s="6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8"/>
      <c r="E945" s="6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8"/>
      <c r="E946" s="6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8"/>
      <c r="E947" s="6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8"/>
      <c r="E948" s="6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8"/>
      <c r="E949" s="6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8"/>
      <c r="E950" s="6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sheetData>
  <mergeCells count="10">
    <mergeCell ref="A17:A20"/>
    <mergeCell ref="A22:A25"/>
    <mergeCell ref="B22:B25"/>
    <mergeCell ref="A2:A5"/>
    <mergeCell ref="B2:B5"/>
    <mergeCell ref="A7:A10"/>
    <mergeCell ref="B7:B10"/>
    <mergeCell ref="A12:A15"/>
    <mergeCell ref="B12:B15"/>
    <mergeCell ref="B17:B20"/>
  </mergeCells>
  <conditionalFormatting sqref="E7:E10 E12:E15 E17:E20 E22:E25">
    <cfRule type="colorScale" priority="1">
      <colorScale>
        <cfvo type="formula" val="0"/>
        <cfvo type="formula" val="0.5"/>
        <cfvo type="formula" val="1"/>
        <color rgb="FFFFFFFF"/>
        <color rgb="FFF3BEB9"/>
        <color rgb="FFE67C73"/>
      </colorScale>
    </cfRule>
  </conditionalFormatting>
  <conditionalFormatting sqref="E2:E950">
    <cfRule type="colorScale" priority="2">
      <colorScale>
        <cfvo type="formula" val="0"/>
        <cfvo type="formula" val="1"/>
        <color rgb="FFFFFFFF"/>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73"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34</v>
      </c>
      <c r="C2" s="7" t="s">
        <v>21</v>
      </c>
      <c r="D2" s="74" t="s">
        <v>83</v>
      </c>
      <c r="E2" s="75">
        <f>IFERROR(__xludf.DUMMYFUNCTION("COUNTA(SPLIT(D2,"" ""))/COUNTA(SPLIT($B$2,"" ""))"),1.028301886792453)</f>
        <v>1.028301887</v>
      </c>
      <c r="F2" s="7">
        <v>3.0</v>
      </c>
      <c r="G2" s="7">
        <v>3.0</v>
      </c>
      <c r="H2" s="7">
        <v>2.0</v>
      </c>
      <c r="I2" s="7">
        <v>3.0</v>
      </c>
      <c r="J2" s="7">
        <v>5.0</v>
      </c>
      <c r="K2" s="57"/>
      <c r="L2" s="57"/>
      <c r="M2" s="57"/>
      <c r="N2" s="57"/>
      <c r="O2" s="57"/>
      <c r="P2" s="57"/>
      <c r="Q2" s="57"/>
      <c r="R2" s="57"/>
      <c r="S2" s="57"/>
      <c r="T2" s="57"/>
      <c r="U2" s="57"/>
      <c r="V2" s="57"/>
      <c r="W2" s="57"/>
      <c r="X2" s="57"/>
      <c r="Y2" s="57"/>
      <c r="Z2" s="57"/>
      <c r="AA2" s="57"/>
      <c r="AB2" s="57"/>
    </row>
    <row r="3" ht="225.0" customHeight="1">
      <c r="C3" s="7" t="s">
        <v>22</v>
      </c>
      <c r="D3" s="74" t="s">
        <v>84</v>
      </c>
      <c r="E3" s="76">
        <f>IFERROR(__xludf.DUMMYFUNCTION("COUNTA(SPLIT(D3,"" ""))/COUNTA(SPLIT($B$2,"" ""))"),1.028301886792453)</f>
        <v>1.028301887</v>
      </c>
      <c r="F3" s="7">
        <v>2.0</v>
      </c>
      <c r="G3" s="7">
        <v>2.0</v>
      </c>
      <c r="H3" s="7">
        <v>1.0</v>
      </c>
      <c r="I3" s="7">
        <v>2.0</v>
      </c>
      <c r="J3" s="7">
        <v>2.0</v>
      </c>
      <c r="K3" s="57"/>
      <c r="L3" s="57"/>
      <c r="M3" s="57"/>
      <c r="N3" s="57"/>
      <c r="O3" s="57"/>
      <c r="P3" s="57"/>
      <c r="Q3" s="57"/>
      <c r="R3" s="57"/>
      <c r="S3" s="57"/>
      <c r="T3" s="57"/>
      <c r="U3" s="57"/>
      <c r="V3" s="57"/>
      <c r="W3" s="57"/>
      <c r="X3" s="57"/>
      <c r="Y3" s="57"/>
      <c r="Z3" s="57"/>
      <c r="AA3" s="57"/>
      <c r="AB3" s="57"/>
    </row>
    <row r="4" ht="225.0" customHeight="1">
      <c r="C4" s="7" t="s">
        <v>8</v>
      </c>
      <c r="D4" s="74" t="s">
        <v>85</v>
      </c>
      <c r="E4" s="77">
        <f>IFERROR(__xludf.DUMMYFUNCTION("COUNTA(SPLIT(D4,"" ""))/COUNTA(SPLIT($B$2,"" ""))"),0.5)</f>
        <v>0.5</v>
      </c>
      <c r="F4" s="7">
        <v>1.0</v>
      </c>
      <c r="G4" s="7">
        <v>3.0</v>
      </c>
      <c r="H4" s="7">
        <v>5.0</v>
      </c>
      <c r="I4" s="7">
        <v>5.0</v>
      </c>
      <c r="J4" s="7">
        <v>4.0</v>
      </c>
      <c r="K4" s="57"/>
      <c r="L4" s="57"/>
      <c r="M4" s="57"/>
      <c r="N4" s="57"/>
      <c r="O4" s="57"/>
      <c r="P4" s="57"/>
      <c r="Q4" s="57"/>
      <c r="R4" s="57"/>
      <c r="S4" s="57"/>
      <c r="T4" s="57"/>
      <c r="U4" s="57"/>
      <c r="V4" s="57"/>
      <c r="W4" s="57"/>
      <c r="X4" s="57"/>
      <c r="Y4" s="57"/>
      <c r="Z4" s="57"/>
      <c r="AA4" s="57"/>
      <c r="AB4" s="57"/>
    </row>
    <row r="5" ht="225.0" customHeight="1">
      <c r="C5" s="7" t="s">
        <v>23</v>
      </c>
      <c r="D5" s="74" t="s">
        <v>86</v>
      </c>
      <c r="E5" s="77">
        <f>IFERROR(__xludf.DUMMYFUNCTION("COUNTA(SPLIT(D5,"" ""))/COUNTA(SPLIT($B$2,"" ""))"),0.6037735849056604)</f>
        <v>0.6037735849</v>
      </c>
      <c r="F5" s="7">
        <v>4.0</v>
      </c>
      <c r="G5" s="7">
        <v>5.0</v>
      </c>
      <c r="H5" s="7">
        <v>1.0</v>
      </c>
      <c r="I5" s="7">
        <v>4.0</v>
      </c>
      <c r="J5" s="7">
        <v>5.0</v>
      </c>
      <c r="K5" s="57"/>
      <c r="L5" s="57"/>
      <c r="M5" s="57"/>
      <c r="N5" s="57"/>
      <c r="O5" s="57"/>
      <c r="P5" s="57"/>
      <c r="Q5" s="57"/>
      <c r="R5" s="57"/>
      <c r="S5" s="57"/>
      <c r="T5" s="57"/>
      <c r="U5" s="57"/>
      <c r="V5" s="57"/>
      <c r="W5" s="57"/>
      <c r="X5" s="57"/>
      <c r="Y5" s="57"/>
      <c r="Z5" s="57"/>
      <c r="AA5" s="57"/>
      <c r="AB5" s="57"/>
    </row>
    <row r="6">
      <c r="A6" s="57"/>
      <c r="B6" s="57"/>
      <c r="C6" s="59"/>
      <c r="D6" s="78"/>
      <c r="E6" s="69"/>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39</v>
      </c>
      <c r="B7" s="63" t="s">
        <v>40</v>
      </c>
      <c r="C7" s="64" t="s">
        <v>21</v>
      </c>
      <c r="D7" s="79" t="s">
        <v>87</v>
      </c>
      <c r="E7" s="80">
        <f>IFERROR(__xludf.DUMMYFUNCTION("COUNTA(SPLIT(D7,"" ""))/COUNTA(SPLIT($B$7,"" ""))"),0.5155963302752293)</f>
        <v>0.5155963303</v>
      </c>
      <c r="F7" s="7">
        <v>4.0</v>
      </c>
      <c r="G7" s="7">
        <v>3.0</v>
      </c>
      <c r="H7" s="7">
        <v>4.0</v>
      </c>
      <c r="I7" s="7">
        <v>2.0</v>
      </c>
      <c r="J7" s="7">
        <v>5.0</v>
      </c>
      <c r="K7" s="67"/>
      <c r="L7" s="67"/>
      <c r="M7" s="67"/>
      <c r="N7" s="67"/>
      <c r="O7" s="67"/>
      <c r="P7" s="67"/>
      <c r="Q7" s="67"/>
      <c r="R7" s="67"/>
      <c r="S7" s="67"/>
      <c r="T7" s="67"/>
      <c r="U7" s="67"/>
      <c r="V7" s="67"/>
      <c r="W7" s="67"/>
      <c r="X7" s="67"/>
      <c r="Y7" s="67"/>
      <c r="Z7" s="67"/>
      <c r="AA7" s="67"/>
      <c r="AB7" s="67"/>
    </row>
    <row r="8" ht="225.0" customHeight="1">
      <c r="C8" s="7" t="s">
        <v>22</v>
      </c>
      <c r="D8" s="74" t="s">
        <v>88</v>
      </c>
      <c r="E8" s="75">
        <f>IFERROR(__xludf.DUMMYFUNCTION("COUNTA(SPLIT(D8,"" ""))/COUNTA(SPLIT($B$7,"" ""))"),0.20733944954128442)</f>
        <v>0.2073394495</v>
      </c>
      <c r="F8" s="7">
        <v>3.0</v>
      </c>
      <c r="G8" s="7">
        <v>5.0</v>
      </c>
      <c r="H8" s="7">
        <v>3.0</v>
      </c>
      <c r="I8" s="7">
        <v>3.0</v>
      </c>
      <c r="J8" s="7">
        <v>4.0</v>
      </c>
      <c r="K8" s="57"/>
      <c r="L8" s="57"/>
      <c r="M8" s="57"/>
      <c r="N8" s="57"/>
      <c r="O8" s="57"/>
      <c r="P8" s="57"/>
      <c r="Q8" s="57"/>
      <c r="R8" s="57"/>
      <c r="S8" s="57"/>
      <c r="T8" s="57"/>
      <c r="U8" s="57"/>
      <c r="V8" s="57"/>
      <c r="W8" s="57"/>
      <c r="X8" s="57"/>
      <c r="Y8" s="57"/>
      <c r="Z8" s="57"/>
      <c r="AA8" s="57"/>
      <c r="AB8" s="57"/>
    </row>
    <row r="9" ht="225.0" customHeight="1">
      <c r="C9" s="7" t="s">
        <v>8</v>
      </c>
      <c r="D9" s="74" t="s">
        <v>89</v>
      </c>
      <c r="E9" s="81">
        <f>IFERROR(__xludf.DUMMYFUNCTION("COUNTA(SPLIT(D9,"" ""))/COUNTA(SPLIT($B$7,"" ""))"),0.163302752293578)</f>
        <v>0.1633027523</v>
      </c>
      <c r="F9" s="7">
        <v>2.0</v>
      </c>
      <c r="G9" s="7">
        <v>4.0</v>
      </c>
      <c r="H9" s="7">
        <v>2.0</v>
      </c>
      <c r="I9" s="7">
        <v>4.0</v>
      </c>
      <c r="J9" s="7">
        <v>3.0</v>
      </c>
      <c r="K9" s="57"/>
      <c r="L9" s="57"/>
      <c r="M9" s="57"/>
      <c r="N9" s="57"/>
      <c r="O9" s="57"/>
      <c r="P9" s="57"/>
      <c r="Q9" s="57"/>
      <c r="R9" s="57"/>
      <c r="S9" s="57"/>
      <c r="T9" s="57"/>
      <c r="U9" s="57"/>
      <c r="V9" s="57"/>
      <c r="W9" s="57"/>
      <c r="X9" s="57"/>
      <c r="Y9" s="57"/>
      <c r="Z9" s="57"/>
      <c r="AA9" s="57"/>
      <c r="AB9" s="57"/>
    </row>
    <row r="10" ht="225.0" customHeight="1">
      <c r="C10" s="7" t="s">
        <v>23</v>
      </c>
      <c r="D10" s="74" t="s">
        <v>90</v>
      </c>
      <c r="E10" s="82">
        <f>IFERROR(__xludf.DUMMYFUNCTION("COUNTA(SPLIT(D10,"" ""))/COUNTA(SPLIT($B$7,"" ""))"),0.15412844036697249)</f>
        <v>0.1541284404</v>
      </c>
      <c r="F10" s="7">
        <v>3.0</v>
      </c>
      <c r="G10" s="7">
        <v>4.0</v>
      </c>
      <c r="H10" s="7">
        <v>3.0</v>
      </c>
      <c r="I10" s="7">
        <v>4.0</v>
      </c>
      <c r="J10" s="7">
        <v>3.0</v>
      </c>
      <c r="K10" s="57"/>
      <c r="L10" s="57"/>
      <c r="M10" s="57"/>
      <c r="N10" s="57"/>
      <c r="O10" s="57"/>
      <c r="P10" s="57"/>
      <c r="Q10" s="57"/>
      <c r="R10" s="57"/>
      <c r="S10" s="57"/>
      <c r="T10" s="57"/>
      <c r="U10" s="57"/>
      <c r="V10" s="57"/>
      <c r="W10" s="57"/>
      <c r="X10" s="57"/>
      <c r="Y10" s="57"/>
      <c r="Z10" s="57"/>
      <c r="AA10" s="57"/>
      <c r="AB10" s="57"/>
    </row>
    <row r="11">
      <c r="A11" s="57"/>
      <c r="B11" s="57"/>
      <c r="C11" s="59"/>
      <c r="D11" s="78"/>
      <c r="E11" s="69"/>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45</v>
      </c>
      <c r="B12" s="63" t="s">
        <v>46</v>
      </c>
      <c r="C12" s="64" t="s">
        <v>21</v>
      </c>
      <c r="D12" s="79" t="s">
        <v>91</v>
      </c>
      <c r="E12" s="83">
        <f>IFERROR(__xludf.DUMMYFUNCTION("COUNTA(SPLIT(D12,"" ""))/COUNTA(SPLIT($B$12,"" ""))"),0.5843023255813954)</f>
        <v>0.5843023256</v>
      </c>
      <c r="F12" s="7">
        <v>2.0</v>
      </c>
      <c r="G12" s="7">
        <v>3.0</v>
      </c>
      <c r="H12" s="7">
        <v>2.0</v>
      </c>
      <c r="I12" s="7">
        <v>2.0</v>
      </c>
      <c r="J12" s="7">
        <v>4.0</v>
      </c>
      <c r="K12" s="67"/>
      <c r="L12" s="67"/>
      <c r="M12" s="67"/>
      <c r="N12" s="67"/>
      <c r="O12" s="67"/>
      <c r="P12" s="67"/>
      <c r="Q12" s="67"/>
      <c r="R12" s="67"/>
      <c r="S12" s="67"/>
      <c r="T12" s="67"/>
      <c r="U12" s="67"/>
      <c r="V12" s="67"/>
      <c r="W12" s="67"/>
      <c r="X12" s="67"/>
      <c r="Y12" s="67"/>
      <c r="Z12" s="67"/>
      <c r="AA12" s="67"/>
      <c r="AB12" s="67"/>
    </row>
    <row r="13" ht="225.0" customHeight="1">
      <c r="C13" s="7" t="s">
        <v>22</v>
      </c>
      <c r="D13" s="74" t="s">
        <v>92</v>
      </c>
      <c r="E13" s="84">
        <f>IFERROR(__xludf.DUMMYFUNCTION("COUNTA(SPLIT(D13,"" ""))/COUNTA(SPLIT($B$12,"" ""))"),0.7151162790697675)</f>
        <v>0.7151162791</v>
      </c>
      <c r="F13" s="7">
        <v>2.0</v>
      </c>
      <c r="G13" s="7">
        <v>2.0</v>
      </c>
      <c r="H13" s="7">
        <v>2.0</v>
      </c>
      <c r="I13" s="7">
        <v>2.0</v>
      </c>
      <c r="J13" s="7">
        <v>3.0</v>
      </c>
      <c r="K13" s="57"/>
      <c r="L13" s="57"/>
      <c r="M13" s="57"/>
      <c r="N13" s="57"/>
      <c r="O13" s="57"/>
      <c r="P13" s="57"/>
      <c r="Q13" s="57"/>
      <c r="R13" s="57"/>
      <c r="S13" s="57"/>
      <c r="T13" s="57"/>
      <c r="U13" s="57"/>
      <c r="V13" s="57"/>
      <c r="W13" s="57"/>
      <c r="X13" s="57"/>
      <c r="Y13" s="57"/>
      <c r="Z13" s="57"/>
      <c r="AA13" s="57"/>
      <c r="AB13" s="57"/>
    </row>
    <row r="14" ht="225.0" customHeight="1">
      <c r="C14" s="7" t="s">
        <v>8</v>
      </c>
      <c r="D14" s="74" t="s">
        <v>93</v>
      </c>
      <c r="E14" s="85">
        <f>IFERROR(__xludf.DUMMYFUNCTION("COUNTA(SPLIT(D14,"" ""))/COUNTA(SPLIT($B$12,"" ""))"),0.24709302325581395)</f>
        <v>0.2470930233</v>
      </c>
      <c r="F14" s="7">
        <v>2.0</v>
      </c>
      <c r="G14" s="7">
        <v>3.0</v>
      </c>
      <c r="H14" s="7">
        <v>3.0</v>
      </c>
      <c r="I14" s="7">
        <v>4.0</v>
      </c>
      <c r="J14" s="7">
        <v>4.0</v>
      </c>
      <c r="K14" s="57"/>
      <c r="L14" s="57"/>
      <c r="M14" s="57"/>
      <c r="N14" s="57"/>
      <c r="O14" s="57"/>
      <c r="P14" s="57"/>
      <c r="Q14" s="57"/>
      <c r="R14" s="57"/>
      <c r="S14" s="57"/>
      <c r="T14" s="57"/>
      <c r="U14" s="57"/>
      <c r="V14" s="57"/>
      <c r="W14" s="57"/>
      <c r="X14" s="57"/>
      <c r="Y14" s="57"/>
      <c r="Z14" s="57"/>
      <c r="AA14" s="57"/>
      <c r="AB14" s="57"/>
    </row>
    <row r="15" ht="225.0" customHeight="1">
      <c r="C15" s="7" t="s">
        <v>23</v>
      </c>
      <c r="D15" s="74" t="s">
        <v>94</v>
      </c>
      <c r="E15" s="86">
        <f>IFERROR(__xludf.DUMMYFUNCTION("COUNTA(SPLIT(D15,"" ""))/COUNTA(SPLIT($B$12,"" ""))"),0.42441860465116277)</f>
        <v>0.4244186047</v>
      </c>
      <c r="F15" s="7">
        <v>4.0</v>
      </c>
      <c r="G15" s="7">
        <v>3.0</v>
      </c>
      <c r="H15" s="7">
        <v>3.0</v>
      </c>
      <c r="I15" s="7">
        <v>3.0</v>
      </c>
      <c r="J15" s="7">
        <v>4.0</v>
      </c>
      <c r="K15" s="57"/>
      <c r="L15" s="57"/>
      <c r="M15" s="57"/>
      <c r="N15" s="57"/>
      <c r="O15" s="57"/>
      <c r="P15" s="57"/>
      <c r="Q15" s="57"/>
      <c r="R15" s="57"/>
      <c r="S15" s="57"/>
      <c r="T15" s="57"/>
      <c r="U15" s="57"/>
      <c r="V15" s="57"/>
      <c r="W15" s="57"/>
      <c r="X15" s="57"/>
      <c r="Y15" s="57"/>
      <c r="Z15" s="57"/>
      <c r="AA15" s="57"/>
      <c r="AB15" s="57"/>
    </row>
    <row r="16">
      <c r="A16" s="57"/>
      <c r="B16" s="57"/>
      <c r="C16" s="59"/>
      <c r="D16" s="78"/>
      <c r="E16" s="69"/>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51</v>
      </c>
      <c r="B17" s="63" t="s">
        <v>52</v>
      </c>
      <c r="C17" s="64" t="s">
        <v>21</v>
      </c>
      <c r="D17" s="79" t="s">
        <v>95</v>
      </c>
      <c r="E17" s="87">
        <f>IFERROR(__xludf.DUMMYFUNCTION("COUNTA(SPLIT(D17,"" ""))/COUNTA(SPLIT($B$17,"" ""))"),0.7616580310880829)</f>
        <v>0.7616580311</v>
      </c>
      <c r="F17" s="7">
        <v>3.0</v>
      </c>
      <c r="G17" s="7">
        <v>3.0</v>
      </c>
      <c r="H17" s="7">
        <v>2.0</v>
      </c>
      <c r="I17" s="7">
        <v>3.0</v>
      </c>
      <c r="J17" s="7">
        <v>4.0</v>
      </c>
      <c r="K17" s="67"/>
      <c r="L17" s="67"/>
      <c r="M17" s="67"/>
      <c r="N17" s="67"/>
      <c r="O17" s="67"/>
      <c r="P17" s="67"/>
      <c r="Q17" s="67"/>
      <c r="R17" s="67"/>
      <c r="S17" s="67"/>
      <c r="T17" s="67"/>
      <c r="U17" s="67"/>
      <c r="V17" s="67"/>
      <c r="W17" s="67"/>
      <c r="X17" s="67"/>
      <c r="Y17" s="67"/>
      <c r="Z17" s="67"/>
      <c r="AA17" s="67"/>
      <c r="AB17" s="67"/>
    </row>
    <row r="18" ht="225.0" customHeight="1">
      <c r="C18" s="7" t="s">
        <v>22</v>
      </c>
      <c r="D18" s="74" t="s">
        <v>96</v>
      </c>
      <c r="E18" s="82">
        <f>IFERROR(__xludf.DUMMYFUNCTION("COUNTA(SPLIT(D18,"" ""))/COUNTA(SPLIT($B$17,"" ""))"),0.5025906735751295)</f>
        <v>0.5025906736</v>
      </c>
      <c r="F18" s="7">
        <v>2.0</v>
      </c>
      <c r="G18" s="7">
        <v>4.0</v>
      </c>
      <c r="H18" s="7">
        <v>2.0</v>
      </c>
      <c r="I18" s="7">
        <v>2.0</v>
      </c>
      <c r="J18" s="7">
        <v>2.0</v>
      </c>
      <c r="K18" s="57"/>
      <c r="L18" s="57"/>
      <c r="M18" s="57"/>
      <c r="N18" s="57"/>
      <c r="O18" s="57"/>
      <c r="P18" s="57"/>
      <c r="Q18" s="57"/>
      <c r="R18" s="57"/>
      <c r="S18" s="57"/>
      <c r="T18" s="57"/>
      <c r="U18" s="57"/>
      <c r="V18" s="57"/>
      <c r="W18" s="57"/>
      <c r="X18" s="57"/>
      <c r="Y18" s="57"/>
      <c r="Z18" s="57"/>
      <c r="AA18" s="57"/>
      <c r="AB18" s="57"/>
    </row>
    <row r="19" ht="225.0" customHeight="1">
      <c r="C19" s="7" t="s">
        <v>8</v>
      </c>
      <c r="D19" s="74" t="s">
        <v>97</v>
      </c>
      <c r="E19" s="88">
        <f>IFERROR(__xludf.DUMMYFUNCTION("COUNTA(SPLIT(D19,"" ""))/COUNTA(SPLIT($B$17,"" ""))"),0.7564766839378239)</f>
        <v>0.7564766839</v>
      </c>
      <c r="F19" s="7">
        <v>3.0</v>
      </c>
      <c r="G19" s="7">
        <v>4.0</v>
      </c>
      <c r="H19" s="7">
        <v>2.0</v>
      </c>
      <c r="I19" s="7">
        <v>3.0</v>
      </c>
      <c r="J19" s="7">
        <v>4.0</v>
      </c>
      <c r="K19" s="57"/>
      <c r="L19" s="57"/>
      <c r="M19" s="57"/>
      <c r="N19" s="57"/>
      <c r="O19" s="57"/>
      <c r="P19" s="57"/>
      <c r="Q19" s="57"/>
      <c r="R19" s="57"/>
      <c r="S19" s="57"/>
      <c r="T19" s="57"/>
      <c r="U19" s="57"/>
      <c r="V19" s="57"/>
      <c r="W19" s="57"/>
      <c r="X19" s="57"/>
      <c r="Y19" s="57"/>
      <c r="Z19" s="57"/>
      <c r="AA19" s="57"/>
      <c r="AB19" s="57"/>
    </row>
    <row r="20" ht="225.0" customHeight="1">
      <c r="C20" s="7" t="s">
        <v>23</v>
      </c>
      <c r="D20" s="74" t="s">
        <v>98</v>
      </c>
      <c r="E20" s="89">
        <f>IFERROR(__xludf.DUMMYFUNCTION("COUNTA(SPLIT(D20,"" ""))/COUNTA(SPLIT($B$17,"" ""))"),0.7564766839378239)</f>
        <v>0.7564766839</v>
      </c>
      <c r="F20" s="7">
        <v>3.0</v>
      </c>
      <c r="G20" s="7">
        <v>4.0</v>
      </c>
      <c r="H20" s="7">
        <v>2.0</v>
      </c>
      <c r="I20" s="7">
        <v>3.0</v>
      </c>
      <c r="J20" s="7">
        <v>5.0</v>
      </c>
      <c r="K20" s="57"/>
      <c r="L20" s="57"/>
      <c r="M20" s="57"/>
      <c r="N20" s="57"/>
      <c r="O20" s="57"/>
      <c r="P20" s="57"/>
      <c r="Q20" s="57"/>
      <c r="R20" s="57"/>
      <c r="S20" s="57"/>
      <c r="T20" s="57"/>
      <c r="U20" s="57"/>
      <c r="V20" s="57"/>
      <c r="W20" s="57"/>
      <c r="X20" s="57"/>
      <c r="Y20" s="57"/>
      <c r="Z20" s="57"/>
      <c r="AA20" s="57"/>
      <c r="AB20" s="57"/>
    </row>
    <row r="21">
      <c r="A21" s="57"/>
      <c r="B21" s="57"/>
      <c r="C21" s="59"/>
      <c r="D21" s="78"/>
      <c r="E21" s="69"/>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57</v>
      </c>
      <c r="B22" s="63" t="s">
        <v>58</v>
      </c>
      <c r="C22" s="64" t="s">
        <v>21</v>
      </c>
      <c r="D22" s="79" t="s">
        <v>99</v>
      </c>
      <c r="E22" s="90">
        <f>IFERROR(__xludf.DUMMYFUNCTION("COUNTA(SPLIT(D22,"" ""))/COUNTA(SPLIT($B$22,"" ""))"),0.66553480475382)</f>
        <v>0.6655348048</v>
      </c>
      <c r="F22" s="7">
        <v>2.0</v>
      </c>
      <c r="G22" s="7">
        <v>3.0</v>
      </c>
      <c r="H22" s="7">
        <v>3.0</v>
      </c>
      <c r="I22" s="7">
        <v>2.0</v>
      </c>
      <c r="J22" s="7">
        <v>2.0</v>
      </c>
      <c r="K22" s="67"/>
      <c r="L22" s="67"/>
      <c r="M22" s="67"/>
      <c r="N22" s="67"/>
      <c r="O22" s="67"/>
      <c r="P22" s="67"/>
      <c r="Q22" s="67"/>
      <c r="R22" s="67"/>
      <c r="S22" s="67"/>
      <c r="T22" s="67"/>
      <c r="U22" s="67"/>
      <c r="V22" s="67"/>
      <c r="W22" s="67"/>
      <c r="X22" s="67"/>
      <c r="Y22" s="67"/>
      <c r="Z22" s="67"/>
      <c r="AA22" s="67"/>
      <c r="AB22" s="67"/>
    </row>
    <row r="23" ht="225.0" customHeight="1">
      <c r="C23" s="7" t="s">
        <v>22</v>
      </c>
      <c r="D23" s="74" t="s">
        <v>100</v>
      </c>
      <c r="E23" s="84">
        <f>IFERROR(__xludf.DUMMYFUNCTION("COUNTA(SPLIT(D23,"" ""))/COUNTA(SPLIT($B$22,"" ""))"),0.42105263157894735)</f>
        <v>0.4210526316</v>
      </c>
      <c r="F23" s="7">
        <v>2.0</v>
      </c>
      <c r="G23" s="7">
        <v>5.0</v>
      </c>
      <c r="H23" s="7">
        <v>3.0</v>
      </c>
      <c r="I23" s="7">
        <v>2.0</v>
      </c>
      <c r="J23" s="7">
        <v>3.0</v>
      </c>
      <c r="K23" s="57"/>
      <c r="L23" s="57"/>
      <c r="M23" s="57"/>
      <c r="N23" s="57"/>
      <c r="O23" s="57"/>
      <c r="P23" s="57"/>
      <c r="Q23" s="57"/>
      <c r="R23" s="57"/>
      <c r="S23" s="57"/>
      <c r="T23" s="57"/>
      <c r="U23" s="57"/>
      <c r="V23" s="57"/>
      <c r="W23" s="57"/>
      <c r="X23" s="57"/>
      <c r="Y23" s="57"/>
      <c r="Z23" s="57"/>
      <c r="AA23" s="57"/>
      <c r="AB23" s="57"/>
    </row>
    <row r="24" ht="225.0" customHeight="1">
      <c r="C24" s="7" t="s">
        <v>8</v>
      </c>
      <c r="D24" s="74" t="s">
        <v>101</v>
      </c>
      <c r="E24" s="91">
        <f>IFERROR(__xludf.DUMMYFUNCTION("COUNTA(SPLIT(D24,"" ""))/COUNTA(SPLIT($B$22,"" ""))"),0.19015280135823429)</f>
        <v>0.1901528014</v>
      </c>
      <c r="F24" s="7">
        <v>3.0</v>
      </c>
      <c r="G24" s="7">
        <v>4.0</v>
      </c>
      <c r="H24" s="7">
        <v>3.0</v>
      </c>
      <c r="I24" s="7">
        <v>3.0</v>
      </c>
      <c r="J24" s="7">
        <v>3.0</v>
      </c>
      <c r="K24" s="57"/>
      <c r="L24" s="57"/>
      <c r="M24" s="57"/>
      <c r="N24" s="57"/>
      <c r="O24" s="57"/>
      <c r="P24" s="57"/>
      <c r="Q24" s="57"/>
      <c r="R24" s="57"/>
      <c r="S24" s="57"/>
      <c r="T24" s="57"/>
      <c r="U24" s="57"/>
      <c r="V24" s="57"/>
      <c r="W24" s="57"/>
      <c r="X24" s="57"/>
      <c r="Y24" s="57"/>
      <c r="Z24" s="57"/>
      <c r="AA24" s="57"/>
      <c r="AB24" s="57"/>
    </row>
    <row r="25" ht="225.0" customHeight="1">
      <c r="C25" s="7" t="s">
        <v>23</v>
      </c>
      <c r="D25" s="74" t="s">
        <v>102</v>
      </c>
      <c r="E25" s="92">
        <f>IFERROR(__xludf.DUMMYFUNCTION("COUNTA(SPLIT(D25,"" ""))/COUNTA(SPLIT($B$22,"" ""))"),0.41765704584040747)</f>
        <v>0.4176570458</v>
      </c>
      <c r="F25" s="7">
        <v>4.0</v>
      </c>
      <c r="G25" s="7">
        <v>4.0</v>
      </c>
      <c r="H25" s="7">
        <v>3.0</v>
      </c>
      <c r="I25" s="7">
        <v>3.0</v>
      </c>
      <c r="J25" s="7">
        <v>4.0</v>
      </c>
      <c r="K25" s="57"/>
      <c r="L25" s="57"/>
      <c r="M25" s="57"/>
      <c r="N25" s="57"/>
      <c r="O25" s="57"/>
      <c r="P25" s="57"/>
      <c r="Q25" s="57"/>
      <c r="R25" s="57"/>
      <c r="S25" s="57"/>
      <c r="T25" s="57"/>
      <c r="U25" s="57"/>
      <c r="V25" s="57"/>
      <c r="W25" s="57"/>
      <c r="X25" s="57"/>
      <c r="Y25" s="57"/>
      <c r="Z25" s="57"/>
      <c r="AA25" s="57"/>
      <c r="AB25" s="57"/>
    </row>
    <row r="26">
      <c r="A26" s="57"/>
      <c r="B26" s="57"/>
      <c r="C26" s="59"/>
      <c r="D26" s="78"/>
      <c r="E26" s="69"/>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8"/>
      <c r="E27" s="6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8"/>
      <c r="E28" s="6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8"/>
      <c r="E29" s="6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8"/>
      <c r="E30" s="6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8"/>
      <c r="E31" s="6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8"/>
      <c r="E32" s="6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8"/>
      <c r="E33" s="6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8"/>
      <c r="E34" s="6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8"/>
      <c r="E35" s="6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8"/>
      <c r="E36" s="6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8"/>
      <c r="E37" s="6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8"/>
      <c r="E38" s="6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8"/>
      <c r="E39" s="6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8"/>
      <c r="E40" s="6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8"/>
      <c r="E41" s="6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8"/>
      <c r="E42" s="6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8"/>
      <c r="E43" s="6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8"/>
      <c r="E44" s="6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8"/>
      <c r="E45" s="6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8"/>
      <c r="E46" s="6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8"/>
      <c r="E47" s="6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8"/>
      <c r="E48" s="6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8"/>
      <c r="E49" s="6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8"/>
      <c r="E50" s="6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8"/>
      <c r="E51" s="6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8"/>
      <c r="E52" s="6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8"/>
      <c r="E53" s="6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8"/>
      <c r="E54" s="6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8"/>
      <c r="E55" s="6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8"/>
      <c r="E56" s="6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8"/>
      <c r="E57" s="6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8"/>
      <c r="E58" s="6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8"/>
      <c r="E59" s="6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8"/>
      <c r="E60" s="6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8"/>
      <c r="E61" s="6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8"/>
      <c r="E62" s="6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8"/>
      <c r="E63" s="6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8"/>
      <c r="E64" s="6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8"/>
      <c r="E65" s="6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8"/>
      <c r="E66" s="6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8"/>
      <c r="E67" s="6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8"/>
      <c r="E68" s="6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8"/>
      <c r="E69" s="6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8"/>
      <c r="E70" s="6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8"/>
      <c r="E71" s="6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8"/>
      <c r="E72" s="6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8"/>
      <c r="E73" s="6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8"/>
      <c r="E74" s="6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8"/>
      <c r="E75" s="6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8"/>
      <c r="E76" s="6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8"/>
      <c r="E77" s="6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8"/>
      <c r="E78" s="6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8"/>
      <c r="E79" s="6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8"/>
      <c r="E80" s="6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8"/>
      <c r="E81" s="6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8"/>
      <c r="E82" s="6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8"/>
      <c r="E83" s="6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8"/>
      <c r="E84" s="6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8"/>
      <c r="E85" s="6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8"/>
      <c r="E86" s="6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8"/>
      <c r="E87" s="6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8"/>
      <c r="E88" s="6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8"/>
      <c r="E89" s="6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8"/>
      <c r="E90" s="6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8"/>
      <c r="E91" s="6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8"/>
      <c r="E92" s="6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8"/>
      <c r="E93" s="6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8"/>
      <c r="E94" s="6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8"/>
      <c r="E95" s="6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8"/>
      <c r="E96" s="6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8"/>
      <c r="E97" s="6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8"/>
      <c r="E98" s="6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8"/>
      <c r="E99" s="6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8"/>
      <c r="E100" s="6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8"/>
      <c r="E101" s="6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8"/>
      <c r="E102" s="6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8"/>
      <c r="E103" s="6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8"/>
      <c r="E104" s="6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8"/>
      <c r="E105" s="6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8"/>
      <c r="E106" s="6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8"/>
      <c r="E107" s="6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8"/>
      <c r="E108" s="6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8"/>
      <c r="E109" s="6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8"/>
      <c r="E110" s="6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8"/>
      <c r="E111" s="6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8"/>
      <c r="E112" s="6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8"/>
      <c r="E113" s="6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8"/>
      <c r="E114" s="6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8"/>
      <c r="E115" s="6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8"/>
      <c r="E116" s="6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8"/>
      <c r="E117" s="6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8"/>
      <c r="E118" s="6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8"/>
      <c r="E119" s="6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8"/>
      <c r="E120" s="6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8"/>
      <c r="E121" s="6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8"/>
      <c r="E122" s="6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8"/>
      <c r="E123" s="6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8"/>
      <c r="E124" s="6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8"/>
      <c r="E125" s="6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8"/>
      <c r="E126" s="6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8"/>
      <c r="E127" s="6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8"/>
      <c r="E128" s="6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8"/>
      <c r="E129" s="6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8"/>
      <c r="E130" s="6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8"/>
      <c r="E131" s="6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8"/>
      <c r="E132" s="6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8"/>
      <c r="E133" s="6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8"/>
      <c r="E134" s="6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8"/>
      <c r="E135" s="6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8"/>
      <c r="E136" s="6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8"/>
      <c r="E137" s="6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8"/>
      <c r="E138" s="6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8"/>
      <c r="E139" s="6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8"/>
      <c r="E140" s="6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8"/>
      <c r="E141" s="6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8"/>
      <c r="E142" s="6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8"/>
      <c r="E143" s="6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8"/>
      <c r="E144" s="6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8"/>
      <c r="E145" s="6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8"/>
      <c r="E146" s="6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8"/>
      <c r="E147" s="6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8"/>
      <c r="E148" s="6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8"/>
      <c r="E149" s="6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8"/>
      <c r="E150" s="6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8"/>
      <c r="E151" s="6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8"/>
      <c r="E152" s="6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8"/>
      <c r="E153" s="6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8"/>
      <c r="E154" s="6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8"/>
      <c r="E155" s="6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8"/>
      <c r="E156" s="6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8"/>
      <c r="E157" s="6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8"/>
      <c r="E158" s="6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8"/>
      <c r="E159" s="6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8"/>
      <c r="E160" s="6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8"/>
      <c r="E161" s="6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8"/>
      <c r="E162" s="6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8"/>
      <c r="E163" s="6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8"/>
      <c r="E164" s="6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8"/>
      <c r="E165" s="6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8"/>
      <c r="E166" s="6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8"/>
      <c r="E167" s="6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8"/>
      <c r="E168" s="6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8"/>
      <c r="E169" s="6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8"/>
      <c r="E170" s="6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8"/>
      <c r="E171" s="6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8"/>
      <c r="E172" s="6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8"/>
      <c r="E173" s="6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8"/>
      <c r="E174" s="6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8"/>
      <c r="E175" s="6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8"/>
      <c r="E176" s="6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8"/>
      <c r="E177" s="6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8"/>
      <c r="E178" s="6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8"/>
      <c r="E179" s="6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8"/>
      <c r="E180" s="6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8"/>
      <c r="E181" s="6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8"/>
      <c r="E182" s="6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8"/>
      <c r="E183" s="6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8"/>
      <c r="E184" s="6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8"/>
      <c r="E185" s="6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8"/>
      <c r="E186" s="6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8"/>
      <c r="E187" s="6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8"/>
      <c r="E188" s="6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8"/>
      <c r="E189" s="6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8"/>
      <c r="E190" s="6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8"/>
      <c r="E191" s="6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8"/>
      <c r="E192" s="6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8"/>
      <c r="E193" s="6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8"/>
      <c r="E194" s="6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8"/>
      <c r="E195" s="6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8"/>
      <c r="E196" s="6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8"/>
      <c r="E197" s="6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8"/>
      <c r="E198" s="6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8"/>
      <c r="E199" s="6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8"/>
      <c r="E200" s="6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8"/>
      <c r="E201" s="6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8"/>
      <c r="E202" s="6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8"/>
      <c r="E203" s="6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8"/>
      <c r="E204" s="6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8"/>
      <c r="E205" s="6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8"/>
      <c r="E206" s="6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8"/>
      <c r="E207" s="6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8"/>
      <c r="E208" s="6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8"/>
      <c r="E209" s="6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8"/>
      <c r="E210" s="6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8"/>
      <c r="E211" s="6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8"/>
      <c r="E212" s="6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8"/>
      <c r="E213" s="6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8"/>
      <c r="E214" s="6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8"/>
      <c r="E215" s="6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8"/>
      <c r="E216" s="6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8"/>
      <c r="E217" s="6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8"/>
      <c r="E218" s="6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8"/>
      <c r="E219" s="6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8"/>
      <c r="E220" s="6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8"/>
      <c r="E221" s="6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8"/>
      <c r="E222" s="6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8"/>
      <c r="E223" s="6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8"/>
      <c r="E224" s="6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8"/>
      <c r="E225" s="6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8"/>
      <c r="E226" s="6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8"/>
      <c r="E227" s="6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8"/>
      <c r="E228" s="6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8"/>
      <c r="E229" s="6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8"/>
      <c r="E230" s="6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8"/>
      <c r="E231" s="6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8"/>
      <c r="E232" s="6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8"/>
      <c r="E233" s="6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8"/>
      <c r="E234" s="6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8"/>
      <c r="E235" s="6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8"/>
      <c r="E236" s="6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8"/>
      <c r="E237" s="6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8"/>
      <c r="E238" s="6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8"/>
      <c r="E239" s="6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8"/>
      <c r="E240" s="6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8"/>
      <c r="E241" s="6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8"/>
      <c r="E242" s="6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8"/>
      <c r="E243" s="6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8"/>
      <c r="E244" s="6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8"/>
      <c r="E245" s="6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8"/>
      <c r="E246" s="6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8"/>
      <c r="E247" s="6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8"/>
      <c r="E248" s="6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8"/>
      <c r="E249" s="6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8"/>
      <c r="E250" s="6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8"/>
      <c r="E251" s="6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8"/>
      <c r="E252" s="6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8"/>
      <c r="E253" s="6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8"/>
      <c r="E254" s="6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8"/>
      <c r="E255" s="6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8"/>
      <c r="E256" s="6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8"/>
      <c r="E257" s="6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8"/>
      <c r="E258" s="6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8"/>
      <c r="E259" s="6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8"/>
      <c r="E260" s="6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8"/>
      <c r="E261" s="6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8"/>
      <c r="E262" s="6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8"/>
      <c r="E263" s="6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8"/>
      <c r="E264" s="6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8"/>
      <c r="E265" s="6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8"/>
      <c r="E266" s="6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8"/>
      <c r="E267" s="6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8"/>
      <c r="E268" s="6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8"/>
      <c r="E269" s="6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8"/>
      <c r="E270" s="6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8"/>
      <c r="E271" s="6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8"/>
      <c r="E272" s="6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8"/>
      <c r="E273" s="6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8"/>
      <c r="E274" s="6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8"/>
      <c r="E275" s="6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8"/>
      <c r="E276" s="6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8"/>
      <c r="E277" s="6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8"/>
      <c r="E278" s="6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8"/>
      <c r="E279" s="6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8"/>
      <c r="E280" s="6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8"/>
      <c r="E281" s="6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8"/>
      <c r="E282" s="6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8"/>
      <c r="E283" s="6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8"/>
      <c r="E284" s="6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8"/>
      <c r="E285" s="6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8"/>
      <c r="E286" s="6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8"/>
      <c r="E287" s="6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8"/>
      <c r="E288" s="6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8"/>
      <c r="E289" s="6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8"/>
      <c r="E290" s="6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8"/>
      <c r="E291" s="6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8"/>
      <c r="E292" s="6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8"/>
      <c r="E293" s="6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8"/>
      <c r="E294" s="6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8"/>
      <c r="E295" s="6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8"/>
      <c r="E296" s="6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8"/>
      <c r="E297" s="6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8"/>
      <c r="E298" s="6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8"/>
      <c r="E299" s="6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8"/>
      <c r="E300" s="6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8"/>
      <c r="E301" s="6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8"/>
      <c r="E302" s="6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8"/>
      <c r="E303" s="6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8"/>
      <c r="E304" s="6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8"/>
      <c r="E305" s="6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8"/>
      <c r="E306" s="6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8"/>
      <c r="E307" s="6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8"/>
      <c r="E308" s="6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8"/>
      <c r="E309" s="6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8"/>
      <c r="E310" s="6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8"/>
      <c r="E311" s="6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8"/>
      <c r="E312" s="6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8"/>
      <c r="E313" s="6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8"/>
      <c r="E314" s="6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8"/>
      <c r="E315" s="6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8"/>
      <c r="E316" s="6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8"/>
      <c r="E317" s="6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8"/>
      <c r="E318" s="6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8"/>
      <c r="E319" s="6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8"/>
      <c r="E320" s="6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8"/>
      <c r="E321" s="6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8"/>
      <c r="E322" s="6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8"/>
      <c r="E323" s="6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8"/>
      <c r="E324" s="6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8"/>
      <c r="E325" s="6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8"/>
      <c r="E326" s="6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8"/>
      <c r="E327" s="6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8"/>
      <c r="E328" s="6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8"/>
      <c r="E329" s="6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8"/>
      <c r="E330" s="6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8"/>
      <c r="E331" s="6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8"/>
      <c r="E332" s="6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8"/>
      <c r="E333" s="6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8"/>
      <c r="E334" s="6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8"/>
      <c r="E335" s="6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8"/>
      <c r="E336" s="6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8"/>
      <c r="E337" s="6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8"/>
      <c r="E338" s="6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8"/>
      <c r="E339" s="6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8"/>
      <c r="E340" s="6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8"/>
      <c r="E341" s="6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8"/>
      <c r="E342" s="6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8"/>
      <c r="E343" s="6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8"/>
      <c r="E344" s="6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8"/>
      <c r="E345" s="6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8"/>
      <c r="E346" s="6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8"/>
      <c r="E347" s="6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8"/>
      <c r="E348" s="6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8"/>
      <c r="E349" s="6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8"/>
      <c r="E350" s="6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8"/>
      <c r="E351" s="6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8"/>
      <c r="E352" s="6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8"/>
      <c r="E353" s="6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8"/>
      <c r="E354" s="6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8"/>
      <c r="E355" s="6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8"/>
      <c r="E356" s="6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8"/>
      <c r="E357" s="6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8"/>
      <c r="E358" s="6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8"/>
      <c r="E359" s="6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8"/>
      <c r="E360" s="6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8"/>
      <c r="E361" s="6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8"/>
      <c r="E362" s="6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8"/>
      <c r="E363" s="6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8"/>
      <c r="E364" s="6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8"/>
      <c r="E365" s="6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8"/>
      <c r="E366" s="6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8"/>
      <c r="E367" s="6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8"/>
      <c r="E368" s="6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8"/>
      <c r="E369" s="6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8"/>
      <c r="E370" s="6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8"/>
      <c r="E371" s="6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8"/>
      <c r="E372" s="6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8"/>
      <c r="E373" s="6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8"/>
      <c r="E374" s="6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8"/>
      <c r="E375" s="6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8"/>
      <c r="E376" s="6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8"/>
      <c r="E377" s="6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8"/>
      <c r="E378" s="6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8"/>
      <c r="E379" s="6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8"/>
      <c r="E380" s="6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8"/>
      <c r="E381" s="6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8"/>
      <c r="E382" s="6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8"/>
      <c r="E383" s="6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8"/>
      <c r="E384" s="6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8"/>
      <c r="E385" s="6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8"/>
      <c r="E386" s="6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8"/>
      <c r="E387" s="6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8"/>
      <c r="E388" s="6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8"/>
      <c r="E389" s="6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8"/>
      <c r="E390" s="6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8"/>
      <c r="E391" s="6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8"/>
      <c r="E392" s="6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8"/>
      <c r="E393" s="6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8"/>
      <c r="E394" s="6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8"/>
      <c r="E395" s="6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8"/>
      <c r="E396" s="6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8"/>
      <c r="E397" s="6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8"/>
      <c r="E398" s="6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8"/>
      <c r="E399" s="6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8"/>
      <c r="E400" s="6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8"/>
      <c r="E401" s="6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8"/>
      <c r="E402" s="6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8"/>
      <c r="E403" s="6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8"/>
      <c r="E404" s="6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8"/>
      <c r="E405" s="6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8"/>
      <c r="E406" s="6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8"/>
      <c r="E407" s="6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8"/>
      <c r="E408" s="6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8"/>
      <c r="E409" s="6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8"/>
      <c r="E410" s="6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8"/>
      <c r="E411" s="6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8"/>
      <c r="E412" s="6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8"/>
      <c r="E413" s="6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8"/>
      <c r="E414" s="6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8"/>
      <c r="E415" s="6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8"/>
      <c r="E416" s="6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8"/>
      <c r="E417" s="6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8"/>
      <c r="E418" s="6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8"/>
      <c r="E419" s="6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8"/>
      <c r="E420" s="6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8"/>
      <c r="E421" s="6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8"/>
      <c r="E422" s="6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8"/>
      <c r="E423" s="6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8"/>
      <c r="E424" s="6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8"/>
      <c r="E425" s="6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8"/>
      <c r="E426" s="6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8"/>
      <c r="E427" s="6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8"/>
      <c r="E428" s="6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8"/>
      <c r="E429" s="6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8"/>
      <c r="E430" s="6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8"/>
      <c r="E431" s="6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8"/>
      <c r="E432" s="6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8"/>
      <c r="E433" s="6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8"/>
      <c r="E434" s="6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8"/>
      <c r="E435" s="6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8"/>
      <c r="E436" s="6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8"/>
      <c r="E437" s="6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8"/>
      <c r="E438" s="6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8"/>
      <c r="E439" s="6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8"/>
      <c r="E440" s="6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8"/>
      <c r="E441" s="6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8"/>
      <c r="E442" s="6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8"/>
      <c r="E443" s="6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8"/>
      <c r="E444" s="6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8"/>
      <c r="E445" s="6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8"/>
      <c r="E446" s="6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8"/>
      <c r="E447" s="6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8"/>
      <c r="E448" s="6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8"/>
      <c r="E449" s="6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8"/>
      <c r="E450" s="6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8"/>
      <c r="E451" s="6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8"/>
      <c r="E452" s="6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8"/>
      <c r="E453" s="6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8"/>
      <c r="E454" s="6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8"/>
      <c r="E455" s="6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8"/>
      <c r="E456" s="6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8"/>
      <c r="E457" s="6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8"/>
      <c r="E458" s="6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8"/>
      <c r="E459" s="6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8"/>
      <c r="E460" s="6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8"/>
      <c r="E461" s="6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8"/>
      <c r="E462" s="6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8"/>
      <c r="E463" s="6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8"/>
      <c r="E464" s="6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8"/>
      <c r="E465" s="6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8"/>
      <c r="E466" s="6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8"/>
      <c r="E467" s="6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8"/>
      <c r="E468" s="6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8"/>
      <c r="E469" s="6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8"/>
      <c r="E470" s="6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8"/>
      <c r="E471" s="6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8"/>
      <c r="E472" s="6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8"/>
      <c r="E473" s="6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8"/>
      <c r="E474" s="6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8"/>
      <c r="E475" s="6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8"/>
      <c r="E476" s="6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8"/>
      <c r="E477" s="6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8"/>
      <c r="E478" s="6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8"/>
      <c r="E479" s="6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8"/>
      <c r="E480" s="6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8"/>
      <c r="E481" s="6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8"/>
      <c r="E482" s="6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8"/>
      <c r="E483" s="6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8"/>
      <c r="E484" s="6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8"/>
      <c r="E485" s="6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8"/>
      <c r="E486" s="6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8"/>
      <c r="E487" s="6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8"/>
      <c r="E488" s="6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8"/>
      <c r="E489" s="6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8"/>
      <c r="E490" s="6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8"/>
      <c r="E491" s="6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8"/>
      <c r="E492" s="6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8"/>
      <c r="E493" s="6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8"/>
      <c r="E494" s="6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8"/>
      <c r="E495" s="6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8"/>
      <c r="E496" s="6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8"/>
      <c r="E497" s="6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8"/>
      <c r="E498" s="6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8"/>
      <c r="E499" s="6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8"/>
      <c r="E500" s="6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8"/>
      <c r="E501" s="6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8"/>
      <c r="E502" s="6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8"/>
      <c r="E503" s="6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8"/>
      <c r="E504" s="6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8"/>
      <c r="E505" s="6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8"/>
      <c r="E506" s="6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8"/>
      <c r="E507" s="6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8"/>
      <c r="E508" s="6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8"/>
      <c r="E509" s="6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8"/>
      <c r="E510" s="6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8"/>
      <c r="E511" s="6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8"/>
      <c r="E512" s="6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8"/>
      <c r="E513" s="6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8"/>
      <c r="E514" s="6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8"/>
      <c r="E515" s="6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8"/>
      <c r="E516" s="6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8"/>
      <c r="E517" s="6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8"/>
      <c r="E518" s="6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8"/>
      <c r="E519" s="6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8"/>
      <c r="E520" s="6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8"/>
      <c r="E521" s="6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8"/>
      <c r="E522" s="6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8"/>
      <c r="E523" s="6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8"/>
      <c r="E524" s="6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8"/>
      <c r="E525" s="6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8"/>
      <c r="E526" s="6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8"/>
      <c r="E527" s="6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8"/>
      <c r="E528" s="6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8"/>
      <c r="E529" s="6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8"/>
      <c r="E530" s="6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8"/>
      <c r="E531" s="6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8"/>
      <c r="E532" s="6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8"/>
      <c r="E533" s="6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8"/>
      <c r="E534" s="6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8"/>
      <c r="E535" s="6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8"/>
      <c r="E536" s="6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8"/>
      <c r="E537" s="6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8"/>
      <c r="E538" s="6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8"/>
      <c r="E539" s="6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8"/>
      <c r="E540" s="6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8"/>
      <c r="E541" s="6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8"/>
      <c r="E542" s="6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8"/>
      <c r="E543" s="6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8"/>
      <c r="E544" s="6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8"/>
      <c r="E545" s="6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8"/>
      <c r="E546" s="6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8"/>
      <c r="E547" s="6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8"/>
      <c r="E548" s="6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8"/>
      <c r="E549" s="6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8"/>
      <c r="E550" s="6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8"/>
      <c r="E551" s="6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8"/>
      <c r="E552" s="6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8"/>
      <c r="E553" s="6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8"/>
      <c r="E554" s="6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8"/>
      <c r="E555" s="6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8"/>
      <c r="E556" s="6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8"/>
      <c r="E557" s="6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8"/>
      <c r="E558" s="6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8"/>
      <c r="E559" s="6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8"/>
      <c r="E560" s="6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8"/>
      <c r="E561" s="6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8"/>
      <c r="E562" s="6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8"/>
      <c r="E563" s="6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8"/>
      <c r="E564" s="6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8"/>
      <c r="E565" s="6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8"/>
      <c r="E566" s="6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8"/>
      <c r="E567" s="6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8"/>
      <c r="E568" s="6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8"/>
      <c r="E569" s="6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8"/>
      <c r="E570" s="6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8"/>
      <c r="E571" s="6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8"/>
      <c r="E572" s="6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8"/>
      <c r="E573" s="6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8"/>
      <c r="E574" s="6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8"/>
      <c r="E575" s="6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8"/>
      <c r="E576" s="6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8"/>
      <c r="E577" s="6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8"/>
      <c r="E578" s="6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8"/>
      <c r="E579" s="6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8"/>
      <c r="E580" s="6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8"/>
      <c r="E581" s="6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8"/>
      <c r="E582" s="6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8"/>
      <c r="E583" s="6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8"/>
      <c r="E584" s="6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8"/>
      <c r="E585" s="6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8"/>
      <c r="E586" s="6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8"/>
      <c r="E587" s="6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8"/>
      <c r="E588" s="6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8"/>
      <c r="E589" s="6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8"/>
      <c r="E590" s="6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8"/>
      <c r="E591" s="6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8"/>
      <c r="E592" s="6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8"/>
      <c r="E593" s="6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8"/>
      <c r="E594" s="6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8"/>
      <c r="E595" s="6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8"/>
      <c r="E596" s="6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8"/>
      <c r="E597" s="6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8"/>
      <c r="E598" s="6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8"/>
      <c r="E599" s="6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8"/>
      <c r="E600" s="6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8"/>
      <c r="E601" s="6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8"/>
      <c r="E602" s="6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8"/>
      <c r="E603" s="6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8"/>
      <c r="E604" s="6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8"/>
      <c r="E605" s="6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8"/>
      <c r="E606" s="6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8"/>
      <c r="E607" s="6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8"/>
      <c r="E608" s="6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8"/>
      <c r="E609" s="6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8"/>
      <c r="E610" s="6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8"/>
      <c r="E611" s="6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8"/>
      <c r="E612" s="6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8"/>
      <c r="E613" s="6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8"/>
      <c r="E614" s="6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8"/>
      <c r="E615" s="6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8"/>
      <c r="E616" s="6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8"/>
      <c r="E617" s="6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8"/>
      <c r="E618" s="6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8"/>
      <c r="E619" s="6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8"/>
      <c r="E620" s="6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8"/>
      <c r="E621" s="6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8"/>
      <c r="E622" s="6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8"/>
      <c r="E623" s="6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8"/>
      <c r="E624" s="6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8"/>
      <c r="E625" s="6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8"/>
      <c r="E626" s="6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8"/>
      <c r="E627" s="6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8"/>
      <c r="E628" s="6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8"/>
      <c r="E629" s="6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8"/>
      <c r="E630" s="6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8"/>
      <c r="E631" s="6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8"/>
      <c r="E632" s="6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8"/>
      <c r="E633" s="6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8"/>
      <c r="E634" s="6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8"/>
      <c r="E635" s="6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8"/>
      <c r="E636" s="6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8"/>
      <c r="E637" s="6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8"/>
      <c r="E638" s="6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8"/>
      <c r="E639" s="6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8"/>
      <c r="E640" s="6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8"/>
      <c r="E641" s="6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8"/>
      <c r="E642" s="6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8"/>
      <c r="E643" s="6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8"/>
      <c r="E644" s="6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8"/>
      <c r="E645" s="6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8"/>
      <c r="E646" s="6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8"/>
      <c r="E647" s="6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8"/>
      <c r="E648" s="6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8"/>
      <c r="E649" s="6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8"/>
      <c r="E650" s="6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8"/>
      <c r="E651" s="6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8"/>
      <c r="E652" s="6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8"/>
      <c r="E653" s="6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8"/>
      <c r="E654" s="6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8"/>
      <c r="E655" s="6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8"/>
      <c r="E656" s="6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8"/>
      <c r="E657" s="6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8"/>
      <c r="E658" s="6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8"/>
      <c r="E659" s="6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8"/>
      <c r="E660" s="6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8"/>
      <c r="E661" s="6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8"/>
      <c r="E662" s="6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8"/>
      <c r="E663" s="6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8"/>
      <c r="E664" s="6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8"/>
      <c r="E665" s="6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8"/>
      <c r="E666" s="6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8"/>
      <c r="E667" s="6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8"/>
      <c r="E668" s="6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8"/>
      <c r="E669" s="6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8"/>
      <c r="E670" s="6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8"/>
      <c r="E671" s="6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8"/>
      <c r="E672" s="6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8"/>
      <c r="E673" s="6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8"/>
      <c r="E674" s="6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8"/>
      <c r="E675" s="6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8"/>
      <c r="E676" s="6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8"/>
      <c r="E677" s="6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8"/>
      <c r="E678" s="6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8"/>
      <c r="E679" s="6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8"/>
      <c r="E680" s="6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8"/>
      <c r="E681" s="6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8"/>
      <c r="E682" s="6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8"/>
      <c r="E683" s="6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8"/>
      <c r="E684" s="6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8"/>
      <c r="E685" s="6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8"/>
      <c r="E686" s="6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8"/>
      <c r="E687" s="6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8"/>
      <c r="E688" s="6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8"/>
      <c r="E689" s="6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8"/>
      <c r="E690" s="6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8"/>
      <c r="E691" s="6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8"/>
      <c r="E692" s="6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8"/>
      <c r="E693" s="6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8"/>
      <c r="E694" s="6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8"/>
      <c r="E695" s="6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8"/>
      <c r="E696" s="6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8"/>
      <c r="E697" s="6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8"/>
      <c r="E698" s="6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8"/>
      <c r="E699" s="6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8"/>
      <c r="E700" s="6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8"/>
      <c r="E701" s="6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8"/>
      <c r="E702" s="6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8"/>
      <c r="E703" s="6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8"/>
      <c r="E704" s="6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8"/>
      <c r="E705" s="6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8"/>
      <c r="E706" s="6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8"/>
      <c r="E707" s="6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8"/>
      <c r="E708" s="6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8"/>
      <c r="E709" s="6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8"/>
      <c r="E710" s="6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8"/>
      <c r="E711" s="6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8"/>
      <c r="E712" s="6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8"/>
      <c r="E713" s="6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8"/>
      <c r="E714" s="6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8"/>
      <c r="E715" s="6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8"/>
      <c r="E716" s="6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8"/>
      <c r="E717" s="6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8"/>
      <c r="E718" s="6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8"/>
      <c r="E719" s="6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8"/>
      <c r="E720" s="6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8"/>
      <c r="E721" s="6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8"/>
      <c r="E722" s="6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8"/>
      <c r="E723" s="6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8"/>
      <c r="E724" s="6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8"/>
      <c r="E725" s="6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8"/>
      <c r="E726" s="6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8"/>
      <c r="E727" s="6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8"/>
      <c r="E728" s="6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8"/>
      <c r="E729" s="6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8"/>
      <c r="E730" s="6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8"/>
      <c r="E731" s="6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8"/>
      <c r="E732" s="6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8"/>
      <c r="E733" s="6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8"/>
      <c r="E734" s="6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8"/>
      <c r="E735" s="6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8"/>
      <c r="E736" s="6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8"/>
      <c r="E737" s="6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8"/>
      <c r="E738" s="6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8"/>
      <c r="E739" s="6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8"/>
      <c r="E740" s="6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8"/>
      <c r="E741" s="6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8"/>
      <c r="E742" s="6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8"/>
      <c r="E743" s="6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8"/>
      <c r="E744" s="6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8"/>
      <c r="E745" s="6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8"/>
      <c r="E746" s="6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8"/>
      <c r="E747" s="6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8"/>
      <c r="E748" s="6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8"/>
      <c r="E749" s="6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8"/>
      <c r="E750" s="6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8"/>
      <c r="E751" s="6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8"/>
      <c r="E752" s="6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8"/>
      <c r="E753" s="6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8"/>
      <c r="E754" s="6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8"/>
      <c r="E755" s="6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8"/>
      <c r="E756" s="6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8"/>
      <c r="E757" s="6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8"/>
      <c r="E758" s="6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8"/>
      <c r="E759" s="6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8"/>
      <c r="E760" s="6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8"/>
      <c r="E761" s="6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8"/>
      <c r="E762" s="6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8"/>
      <c r="E763" s="6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8"/>
      <c r="E764" s="6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8"/>
      <c r="E765" s="6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8"/>
      <c r="E766" s="6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8"/>
      <c r="E767" s="6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8"/>
      <c r="E768" s="6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8"/>
      <c r="E769" s="6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8"/>
      <c r="E770" s="6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8"/>
      <c r="E771" s="6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8"/>
      <c r="E772" s="6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8"/>
      <c r="E773" s="6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8"/>
      <c r="E774" s="6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8"/>
      <c r="E775" s="6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8"/>
      <c r="E776" s="6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8"/>
      <c r="E777" s="6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8"/>
      <c r="E778" s="6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8"/>
      <c r="E779" s="6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8"/>
      <c r="E780" s="6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8"/>
      <c r="E781" s="6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8"/>
      <c r="E782" s="6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8"/>
      <c r="E783" s="6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8"/>
      <c r="E784" s="6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8"/>
      <c r="E785" s="6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8"/>
      <c r="E786" s="6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8"/>
      <c r="E787" s="6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8"/>
      <c r="E788" s="6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8"/>
      <c r="E789" s="6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8"/>
      <c r="E790" s="6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8"/>
      <c r="E791" s="6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8"/>
      <c r="E792" s="6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8"/>
      <c r="E793" s="6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8"/>
      <c r="E794" s="6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8"/>
      <c r="E795" s="6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8"/>
      <c r="E796" s="6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8"/>
      <c r="E797" s="6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8"/>
      <c r="E798" s="6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8"/>
      <c r="E799" s="6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8"/>
      <c r="E800" s="6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8"/>
      <c r="E801" s="6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8"/>
      <c r="E802" s="6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8"/>
      <c r="E803" s="6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8"/>
      <c r="E804" s="6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8"/>
      <c r="E805" s="6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8"/>
      <c r="E806" s="6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8"/>
      <c r="E807" s="6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8"/>
      <c r="E808" s="6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8"/>
      <c r="E809" s="6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8"/>
      <c r="E810" s="6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8"/>
      <c r="E811" s="6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8"/>
      <c r="E812" s="6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8"/>
      <c r="E813" s="6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8"/>
      <c r="E814" s="6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8"/>
      <c r="E815" s="6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8"/>
      <c r="E816" s="6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8"/>
      <c r="E817" s="6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8"/>
      <c r="E818" s="6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8"/>
      <c r="E819" s="6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8"/>
      <c r="E820" s="6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8"/>
      <c r="E821" s="6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8"/>
      <c r="E822" s="6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8"/>
      <c r="E823" s="6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8"/>
      <c r="E824" s="6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8"/>
      <c r="E825" s="6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8"/>
      <c r="E826" s="6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8"/>
      <c r="E827" s="6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8"/>
      <c r="E828" s="6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8"/>
      <c r="E829" s="6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8"/>
      <c r="E830" s="6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8"/>
      <c r="E831" s="6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8"/>
      <c r="E832" s="6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8"/>
      <c r="E833" s="6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8"/>
      <c r="E834" s="6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8"/>
      <c r="E835" s="6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8"/>
      <c r="E836" s="6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8"/>
      <c r="E837" s="6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8"/>
      <c r="E838" s="6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8"/>
      <c r="E839" s="6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8"/>
      <c r="E840" s="6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8"/>
      <c r="E841" s="6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8"/>
      <c r="E842" s="6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8"/>
      <c r="E843" s="6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8"/>
      <c r="E844" s="6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8"/>
      <c r="E845" s="6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8"/>
      <c r="E846" s="6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8"/>
      <c r="E847" s="6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8"/>
      <c r="E848" s="6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8"/>
      <c r="E849" s="6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8"/>
      <c r="E850" s="6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8"/>
      <c r="E851" s="6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8"/>
      <c r="E852" s="6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8"/>
      <c r="E853" s="6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8"/>
      <c r="E854" s="6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8"/>
      <c r="E855" s="6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8"/>
      <c r="E856" s="6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8"/>
      <c r="E857" s="6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8"/>
      <c r="E858" s="6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8"/>
      <c r="E859" s="6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8"/>
      <c r="E860" s="6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8"/>
      <c r="E861" s="6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8"/>
      <c r="E862" s="6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8"/>
      <c r="E863" s="6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8"/>
      <c r="E864" s="6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8"/>
      <c r="E865" s="6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8"/>
      <c r="E866" s="6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8"/>
      <c r="E867" s="6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8"/>
      <c r="E868" s="6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8"/>
      <c r="E869" s="6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8"/>
      <c r="E870" s="6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8"/>
      <c r="E871" s="6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8"/>
      <c r="E872" s="6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8"/>
      <c r="E873" s="6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8"/>
      <c r="E874" s="6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8"/>
      <c r="E875" s="6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8"/>
      <c r="E876" s="6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8"/>
      <c r="E877" s="6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8"/>
      <c r="E878" s="6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8"/>
      <c r="E879" s="6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8"/>
      <c r="E880" s="6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8"/>
      <c r="E881" s="6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8"/>
      <c r="E882" s="6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8"/>
      <c r="E883" s="6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8"/>
      <c r="E884" s="6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8"/>
      <c r="E885" s="6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8"/>
      <c r="E886" s="6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8"/>
      <c r="E887" s="6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8"/>
      <c r="E888" s="6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8"/>
      <c r="E889" s="6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8"/>
      <c r="E890" s="6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8"/>
      <c r="E891" s="6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8"/>
      <c r="E892" s="6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8"/>
      <c r="E893" s="6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8"/>
      <c r="E894" s="6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8"/>
      <c r="E895" s="6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8"/>
      <c r="E896" s="6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8"/>
      <c r="E897" s="6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8"/>
      <c r="E898" s="6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8"/>
      <c r="E899" s="6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8"/>
      <c r="E900" s="6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8"/>
      <c r="E901" s="6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8"/>
      <c r="E902" s="6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8"/>
      <c r="E903" s="6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8"/>
      <c r="E904" s="6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8"/>
      <c r="E905" s="6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8"/>
      <c r="E906" s="6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8"/>
      <c r="E907" s="6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8"/>
      <c r="E908" s="6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8"/>
      <c r="E909" s="6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8"/>
      <c r="E910" s="6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8"/>
      <c r="E911" s="6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8"/>
      <c r="E912" s="6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8"/>
      <c r="E913" s="6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8"/>
      <c r="E914" s="6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8"/>
      <c r="E915" s="6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8"/>
      <c r="E916" s="6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8"/>
      <c r="E917" s="6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8"/>
      <c r="E918" s="6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8"/>
      <c r="E919" s="6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8"/>
      <c r="E920" s="6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8"/>
      <c r="E921" s="6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8"/>
      <c r="E922" s="6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8"/>
      <c r="E923" s="6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8"/>
      <c r="E924" s="6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8"/>
      <c r="E925" s="6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8"/>
      <c r="E926" s="6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8"/>
      <c r="E927" s="6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8"/>
      <c r="E928" s="6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8"/>
      <c r="E929" s="6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8"/>
      <c r="E930" s="6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8"/>
      <c r="E931" s="6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8"/>
      <c r="E932" s="6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8"/>
      <c r="E933" s="6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8"/>
      <c r="E934" s="6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8"/>
      <c r="E935" s="6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8"/>
      <c r="E936" s="6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8"/>
      <c r="E937" s="6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8"/>
      <c r="E938" s="6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8"/>
      <c r="E939" s="6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8"/>
      <c r="E940" s="6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8"/>
      <c r="E941" s="6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8"/>
      <c r="E942" s="6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8"/>
      <c r="E943" s="6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8"/>
      <c r="E944" s="6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8"/>
      <c r="E945" s="6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8"/>
      <c r="E946" s="6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8"/>
      <c r="E947" s="6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8"/>
      <c r="E948" s="6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8"/>
      <c r="E949" s="6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8"/>
      <c r="E950" s="6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8"/>
      <c r="E951" s="6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78"/>
      <c r="E952" s="6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78"/>
      <c r="E953" s="6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78"/>
      <c r="E954" s="6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78"/>
      <c r="E955" s="6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78"/>
      <c r="E956" s="6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78"/>
      <c r="E957" s="6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78"/>
      <c r="E958" s="6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78"/>
      <c r="E959" s="6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78"/>
      <c r="E960" s="6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78"/>
      <c r="E961" s="6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78"/>
      <c r="E962" s="6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78"/>
      <c r="E963" s="6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78"/>
      <c r="E964" s="6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64">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64">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73"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34</v>
      </c>
      <c r="C2" s="7" t="s">
        <v>21</v>
      </c>
      <c r="D2" s="74" t="s">
        <v>103</v>
      </c>
      <c r="E2" s="75">
        <f>IFERROR(__xludf.DUMMYFUNCTION("COUNTA(SPLIT(D2,"" ""))/COUNTA(SPLIT($B$2,"" ""))"),0.7735849056603774)</f>
        <v>0.7735849057</v>
      </c>
      <c r="F2" s="7">
        <v>5.0</v>
      </c>
      <c r="G2" s="7">
        <v>4.0</v>
      </c>
      <c r="H2" s="7">
        <v>4.0</v>
      </c>
      <c r="I2" s="7">
        <v>4.0</v>
      </c>
      <c r="J2" s="7">
        <v>5.0</v>
      </c>
      <c r="K2" s="57"/>
      <c r="L2" s="57"/>
      <c r="M2" s="57"/>
      <c r="N2" s="57"/>
      <c r="O2" s="57"/>
      <c r="P2" s="57"/>
      <c r="Q2" s="57"/>
      <c r="R2" s="57"/>
      <c r="S2" s="57"/>
      <c r="T2" s="57"/>
      <c r="U2" s="57"/>
      <c r="V2" s="57"/>
      <c r="W2" s="57"/>
      <c r="X2" s="57"/>
      <c r="Y2" s="57"/>
      <c r="Z2" s="57"/>
      <c r="AA2" s="57"/>
      <c r="AB2" s="57"/>
    </row>
    <row r="3" ht="225.0" customHeight="1">
      <c r="C3" s="7" t="s">
        <v>22</v>
      </c>
      <c r="D3" s="74" t="s">
        <v>104</v>
      </c>
      <c r="E3" s="76">
        <f>IFERROR(__xludf.DUMMYFUNCTION("COUNTA(SPLIT(D3,"" ""))/COUNTA(SPLIT($B$2,"" ""))"),0.5094339622641509)</f>
        <v>0.5094339623</v>
      </c>
      <c r="F3" s="7">
        <v>4.0</v>
      </c>
      <c r="G3" s="7">
        <v>4.0</v>
      </c>
      <c r="H3" s="7">
        <v>5.0</v>
      </c>
      <c r="I3" s="7">
        <v>4.0</v>
      </c>
      <c r="J3" s="7">
        <v>5.0</v>
      </c>
      <c r="K3" s="57"/>
      <c r="L3" s="57"/>
      <c r="M3" s="57"/>
      <c r="N3" s="57"/>
      <c r="O3" s="57"/>
      <c r="P3" s="57"/>
      <c r="Q3" s="57"/>
      <c r="R3" s="57"/>
      <c r="S3" s="57"/>
      <c r="T3" s="57"/>
      <c r="U3" s="57"/>
      <c r="V3" s="57"/>
      <c r="W3" s="57"/>
      <c r="X3" s="57"/>
      <c r="Y3" s="57"/>
      <c r="Z3" s="57"/>
      <c r="AA3" s="57"/>
      <c r="AB3" s="57"/>
    </row>
    <row r="4" ht="225.0" customHeight="1">
      <c r="C4" s="7" t="s">
        <v>8</v>
      </c>
      <c r="D4" s="74" t="s">
        <v>105</v>
      </c>
      <c r="E4" s="77">
        <f>IFERROR(__xludf.DUMMYFUNCTION("COUNTA(SPLIT(D4,"" ""))/COUNTA(SPLIT($B$2,"" ""))"),0.7169811320754716)</f>
        <v>0.7169811321</v>
      </c>
      <c r="F4" s="7">
        <v>2.0</v>
      </c>
      <c r="G4" s="7">
        <v>4.0</v>
      </c>
      <c r="H4" s="7">
        <v>3.0</v>
      </c>
      <c r="I4" s="7">
        <v>3.0</v>
      </c>
      <c r="J4" s="7">
        <v>4.0</v>
      </c>
      <c r="K4" s="57"/>
      <c r="L4" s="57"/>
      <c r="M4" s="57"/>
      <c r="N4" s="57"/>
      <c r="O4" s="57"/>
      <c r="P4" s="57"/>
      <c r="Q4" s="57"/>
      <c r="R4" s="57"/>
      <c r="S4" s="57"/>
      <c r="T4" s="57"/>
      <c r="U4" s="57"/>
      <c r="V4" s="57"/>
      <c r="W4" s="57"/>
      <c r="X4" s="57"/>
      <c r="Y4" s="57"/>
      <c r="Z4" s="57"/>
      <c r="AA4" s="57"/>
      <c r="AB4" s="57"/>
    </row>
    <row r="5" ht="225.0" customHeight="1">
      <c r="C5" s="7" t="s">
        <v>23</v>
      </c>
      <c r="D5" s="74" t="s">
        <v>106</v>
      </c>
      <c r="E5" s="77">
        <f>IFERROR(__xludf.DUMMYFUNCTION("COUNTA(SPLIT(D5,"" ""))/COUNTA(SPLIT($B$2,"" ""))"),0.4716981132075472)</f>
        <v>0.4716981132</v>
      </c>
      <c r="F5" s="7">
        <v>4.0</v>
      </c>
      <c r="G5" s="7">
        <v>5.0</v>
      </c>
      <c r="H5" s="7">
        <v>5.0</v>
      </c>
      <c r="I5" s="7">
        <v>3.0</v>
      </c>
      <c r="J5" s="7">
        <v>5.0</v>
      </c>
      <c r="K5" s="57"/>
      <c r="L5" s="57"/>
      <c r="M5" s="57"/>
      <c r="N5" s="57"/>
      <c r="O5" s="57"/>
      <c r="P5" s="57"/>
      <c r="Q5" s="57"/>
      <c r="R5" s="57"/>
      <c r="S5" s="57"/>
      <c r="T5" s="57"/>
      <c r="U5" s="57"/>
      <c r="V5" s="57"/>
      <c r="W5" s="57"/>
      <c r="X5" s="57"/>
      <c r="Y5" s="57"/>
      <c r="Z5" s="57"/>
      <c r="AA5" s="57"/>
      <c r="AB5" s="57"/>
    </row>
    <row r="6">
      <c r="A6" s="57"/>
      <c r="B6" s="57"/>
      <c r="C6" s="59"/>
      <c r="D6" s="78"/>
      <c r="E6" s="69"/>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39</v>
      </c>
      <c r="B7" s="63" t="s">
        <v>40</v>
      </c>
      <c r="C7" s="64" t="s">
        <v>21</v>
      </c>
      <c r="D7" s="79" t="s">
        <v>107</v>
      </c>
      <c r="E7" s="80">
        <f>IFERROR(__xludf.DUMMYFUNCTION("COUNTA(SPLIT(D7,"" ""))/COUNTA(SPLIT($B$7,"" ""))"),0.5926605504587156)</f>
        <v>0.5926605505</v>
      </c>
      <c r="F7" s="7">
        <v>3.0</v>
      </c>
      <c r="G7" s="7">
        <v>4.0</v>
      </c>
      <c r="H7" s="7">
        <v>4.0</v>
      </c>
      <c r="I7" s="7">
        <v>2.0</v>
      </c>
      <c r="J7" s="7">
        <v>5.0</v>
      </c>
      <c r="K7" s="67"/>
      <c r="L7" s="67"/>
      <c r="M7" s="67"/>
      <c r="N7" s="67"/>
      <c r="O7" s="67"/>
      <c r="P7" s="67"/>
      <c r="Q7" s="67"/>
      <c r="R7" s="67"/>
      <c r="S7" s="67"/>
      <c r="T7" s="67"/>
      <c r="U7" s="67"/>
      <c r="V7" s="67"/>
      <c r="W7" s="67"/>
      <c r="X7" s="67"/>
      <c r="Y7" s="67"/>
      <c r="Z7" s="67"/>
      <c r="AA7" s="67"/>
      <c r="AB7" s="67"/>
    </row>
    <row r="8" ht="225.0" customHeight="1">
      <c r="C8" s="7" t="s">
        <v>22</v>
      </c>
      <c r="D8" s="74" t="s">
        <v>108</v>
      </c>
      <c r="E8" s="75">
        <f>IFERROR(__xludf.DUMMYFUNCTION("COUNTA(SPLIT(D8,"" ""))/COUNTA(SPLIT($B$7,"" ""))"),0.14678899082568808)</f>
        <v>0.1467889908</v>
      </c>
      <c r="F8" s="7">
        <v>4.0</v>
      </c>
      <c r="G8" s="7">
        <v>4.0</v>
      </c>
      <c r="H8" s="7">
        <v>5.0</v>
      </c>
      <c r="I8" s="7">
        <v>5.0</v>
      </c>
      <c r="J8" s="7">
        <v>5.0</v>
      </c>
      <c r="K8" s="57"/>
      <c r="L8" s="57"/>
      <c r="M8" s="57"/>
      <c r="N8" s="57"/>
      <c r="O8" s="57"/>
      <c r="P8" s="57"/>
      <c r="Q8" s="57"/>
      <c r="R8" s="57"/>
      <c r="S8" s="57"/>
      <c r="T8" s="57"/>
      <c r="U8" s="57"/>
      <c r="V8" s="57"/>
      <c r="W8" s="57"/>
      <c r="X8" s="57"/>
      <c r="Y8" s="57"/>
      <c r="Z8" s="57"/>
      <c r="AA8" s="57"/>
      <c r="AB8" s="57"/>
    </row>
    <row r="9" ht="225.0" customHeight="1">
      <c r="C9" s="7" t="s">
        <v>8</v>
      </c>
      <c r="D9" s="74" t="s">
        <v>109</v>
      </c>
      <c r="E9" s="81">
        <f>IFERROR(__xludf.DUMMYFUNCTION("COUNTA(SPLIT(D9,"" ""))/COUNTA(SPLIT($B$7,"" ""))"),0.3394495412844037)</f>
        <v>0.3394495413</v>
      </c>
      <c r="F9" s="7">
        <v>3.0</v>
      </c>
      <c r="G9" s="7">
        <v>5.0</v>
      </c>
      <c r="H9" s="7">
        <v>4.0</v>
      </c>
      <c r="I9" s="7">
        <v>3.0</v>
      </c>
      <c r="J9" s="7">
        <v>4.0</v>
      </c>
      <c r="K9" s="57"/>
      <c r="L9" s="57"/>
      <c r="M9" s="57"/>
      <c r="N9" s="57"/>
      <c r="O9" s="57"/>
      <c r="P9" s="57"/>
      <c r="Q9" s="57"/>
      <c r="R9" s="57"/>
      <c r="S9" s="57"/>
      <c r="T9" s="57"/>
      <c r="U9" s="57"/>
      <c r="V9" s="57"/>
      <c r="W9" s="57"/>
      <c r="X9" s="57"/>
      <c r="Y9" s="57"/>
      <c r="Z9" s="57"/>
      <c r="AA9" s="57"/>
      <c r="AB9" s="57"/>
    </row>
    <row r="10" ht="225.0" customHeight="1">
      <c r="C10" s="7" t="s">
        <v>23</v>
      </c>
      <c r="D10" s="74" t="s">
        <v>110</v>
      </c>
      <c r="E10" s="82">
        <f>IFERROR(__xludf.DUMMYFUNCTION("COUNTA(SPLIT(D10,"" ""))/COUNTA(SPLIT($B$7,"" ""))"),0.13211009174311927)</f>
        <v>0.1321100917</v>
      </c>
      <c r="F10" s="7">
        <v>4.0</v>
      </c>
      <c r="G10" s="7">
        <v>5.0</v>
      </c>
      <c r="H10" s="7">
        <v>4.0</v>
      </c>
      <c r="I10" s="7">
        <v>5.0</v>
      </c>
      <c r="J10" s="7">
        <v>5.0</v>
      </c>
      <c r="K10" s="57"/>
      <c r="L10" s="57"/>
      <c r="M10" s="57"/>
      <c r="N10" s="57"/>
      <c r="O10" s="57"/>
      <c r="P10" s="57"/>
      <c r="Q10" s="57"/>
      <c r="R10" s="57"/>
      <c r="S10" s="57"/>
      <c r="T10" s="57"/>
      <c r="U10" s="57"/>
      <c r="V10" s="57"/>
      <c r="W10" s="57"/>
      <c r="X10" s="57"/>
      <c r="Y10" s="57"/>
      <c r="Z10" s="57"/>
      <c r="AA10" s="57"/>
      <c r="AB10" s="57"/>
    </row>
    <row r="11">
      <c r="A11" s="57"/>
      <c r="B11" s="57"/>
      <c r="C11" s="59"/>
      <c r="D11" s="78"/>
      <c r="E11" s="69"/>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45</v>
      </c>
      <c r="B12" s="63" t="s">
        <v>46</v>
      </c>
      <c r="C12" s="64" t="s">
        <v>21</v>
      </c>
      <c r="D12" s="79" t="s">
        <v>111</v>
      </c>
      <c r="E12" s="83">
        <f>IFERROR(__xludf.DUMMYFUNCTION("COUNTA(SPLIT(D12,"" ""))/COUNTA(SPLIT($B$12,"" ""))"),0.8401162790697675)</f>
        <v>0.8401162791</v>
      </c>
      <c r="F12" s="7">
        <v>4.0</v>
      </c>
      <c r="G12" s="7">
        <v>5.0</v>
      </c>
      <c r="H12" s="7">
        <v>5.0</v>
      </c>
      <c r="I12" s="7">
        <v>1.0</v>
      </c>
      <c r="J12" s="7">
        <v>5.0</v>
      </c>
      <c r="K12" s="67"/>
      <c r="L12" s="67"/>
      <c r="M12" s="67"/>
      <c r="N12" s="67"/>
      <c r="O12" s="67"/>
      <c r="P12" s="67"/>
      <c r="Q12" s="67"/>
      <c r="R12" s="67"/>
      <c r="S12" s="67"/>
      <c r="T12" s="67"/>
      <c r="U12" s="67"/>
      <c r="V12" s="67"/>
      <c r="W12" s="67"/>
      <c r="X12" s="67"/>
      <c r="Y12" s="67"/>
      <c r="Z12" s="67"/>
      <c r="AA12" s="67"/>
      <c r="AB12" s="67"/>
    </row>
    <row r="13" ht="225.0" customHeight="1">
      <c r="C13" s="7" t="s">
        <v>22</v>
      </c>
      <c r="D13" s="74" t="s">
        <v>112</v>
      </c>
      <c r="E13" s="84">
        <f>IFERROR(__xludf.DUMMYFUNCTION("COUNTA(SPLIT(D13,"" ""))/COUNTA(SPLIT($B$12,"" ""))"),0.15988372093023256)</f>
        <v>0.1598837209</v>
      </c>
      <c r="F13" s="7">
        <v>4.0</v>
      </c>
      <c r="G13" s="7">
        <v>5.0</v>
      </c>
      <c r="H13" s="7">
        <v>4.0</v>
      </c>
      <c r="I13" s="7">
        <v>4.0</v>
      </c>
      <c r="J13" s="7">
        <v>5.0</v>
      </c>
      <c r="K13" s="57"/>
      <c r="L13" s="57"/>
      <c r="M13" s="57"/>
      <c r="N13" s="57"/>
      <c r="O13" s="57"/>
      <c r="P13" s="57"/>
      <c r="Q13" s="57"/>
      <c r="R13" s="57"/>
      <c r="S13" s="57"/>
      <c r="T13" s="57"/>
      <c r="U13" s="57"/>
      <c r="V13" s="57"/>
      <c r="W13" s="57"/>
      <c r="X13" s="57"/>
      <c r="Y13" s="57"/>
      <c r="Z13" s="57"/>
      <c r="AA13" s="57"/>
      <c r="AB13" s="57"/>
    </row>
    <row r="14" ht="225.0" customHeight="1">
      <c r="C14" s="7" t="s">
        <v>8</v>
      </c>
      <c r="D14" s="74" t="s">
        <v>113</v>
      </c>
      <c r="E14" s="85">
        <f>IFERROR(__xludf.DUMMYFUNCTION("COUNTA(SPLIT(D14,"" ""))/COUNTA(SPLIT($B$12,"" ""))"),0.49709302325581395)</f>
        <v>0.4970930233</v>
      </c>
      <c r="F14" s="7">
        <v>3.0</v>
      </c>
      <c r="G14" s="7">
        <v>4.0</v>
      </c>
      <c r="H14" s="7">
        <v>4.0</v>
      </c>
      <c r="I14" s="7">
        <v>3.0</v>
      </c>
      <c r="J14" s="7">
        <v>5.0</v>
      </c>
      <c r="K14" s="57"/>
      <c r="L14" s="57"/>
      <c r="M14" s="57"/>
      <c r="N14" s="57"/>
      <c r="O14" s="57"/>
      <c r="P14" s="57"/>
      <c r="Q14" s="57"/>
      <c r="R14" s="57"/>
      <c r="S14" s="57"/>
      <c r="T14" s="57"/>
      <c r="U14" s="57"/>
      <c r="V14" s="57"/>
      <c r="W14" s="57"/>
      <c r="X14" s="57"/>
      <c r="Y14" s="57"/>
      <c r="Z14" s="57"/>
      <c r="AA14" s="57"/>
      <c r="AB14" s="57"/>
    </row>
    <row r="15" ht="225.0" customHeight="1">
      <c r="C15" s="7" t="s">
        <v>23</v>
      </c>
      <c r="D15" s="74" t="s">
        <v>114</v>
      </c>
      <c r="E15" s="86">
        <f>IFERROR(__xludf.DUMMYFUNCTION("COUNTA(SPLIT(D15,"" ""))/COUNTA(SPLIT($B$12,"" ""))"),0.19186046511627908)</f>
        <v>0.1918604651</v>
      </c>
      <c r="F15" s="7">
        <v>5.0</v>
      </c>
      <c r="G15" s="7">
        <v>5.0</v>
      </c>
      <c r="H15" s="7">
        <v>5.0</v>
      </c>
      <c r="I15" s="7">
        <v>5.0</v>
      </c>
      <c r="J15" s="7">
        <v>5.0</v>
      </c>
      <c r="K15" s="57"/>
      <c r="L15" s="57"/>
      <c r="M15" s="57"/>
      <c r="N15" s="57"/>
      <c r="O15" s="57"/>
      <c r="P15" s="57"/>
      <c r="Q15" s="57"/>
      <c r="R15" s="57"/>
      <c r="S15" s="57"/>
      <c r="T15" s="57"/>
      <c r="U15" s="57"/>
      <c r="V15" s="57"/>
      <c r="W15" s="57"/>
      <c r="X15" s="57"/>
      <c r="Y15" s="57"/>
      <c r="Z15" s="57"/>
      <c r="AA15" s="57"/>
      <c r="AB15" s="57"/>
    </row>
    <row r="16">
      <c r="A16" s="57"/>
      <c r="B16" s="57"/>
      <c r="C16" s="59"/>
      <c r="D16" s="78"/>
      <c r="E16" s="69"/>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51</v>
      </c>
      <c r="B17" s="63" t="s">
        <v>52</v>
      </c>
      <c r="C17" s="64" t="s">
        <v>21</v>
      </c>
      <c r="D17" s="79" t="s">
        <v>115</v>
      </c>
      <c r="E17" s="87">
        <f>IFERROR(__xludf.DUMMYFUNCTION("COUNTA(SPLIT(D17,"" ""))/COUNTA(SPLIT($B$17,"" ""))"),0.9948186528497409)</f>
        <v>0.9948186528</v>
      </c>
      <c r="F17" s="7">
        <v>4.0</v>
      </c>
      <c r="G17" s="7">
        <v>5.0</v>
      </c>
      <c r="H17" s="7">
        <v>4.0</v>
      </c>
      <c r="I17" s="7">
        <v>1.0</v>
      </c>
      <c r="J17" s="7">
        <v>5.0</v>
      </c>
      <c r="K17" s="67"/>
      <c r="L17" s="67"/>
      <c r="M17" s="67"/>
      <c r="N17" s="67"/>
      <c r="O17" s="67"/>
      <c r="P17" s="67"/>
      <c r="Q17" s="67"/>
      <c r="R17" s="67"/>
      <c r="S17" s="67"/>
      <c r="T17" s="67"/>
      <c r="U17" s="67"/>
      <c r="V17" s="67"/>
      <c r="W17" s="67"/>
      <c r="X17" s="67"/>
      <c r="Y17" s="67"/>
      <c r="Z17" s="67"/>
      <c r="AA17" s="67"/>
      <c r="AB17" s="67"/>
    </row>
    <row r="18" ht="225.0" customHeight="1">
      <c r="C18" s="7" t="s">
        <v>22</v>
      </c>
      <c r="D18" s="74" t="s">
        <v>116</v>
      </c>
      <c r="E18" s="82">
        <f>IFERROR(__xludf.DUMMYFUNCTION("COUNTA(SPLIT(D18,"" ""))/COUNTA(SPLIT($B$17,"" ""))"),0.3626943005181347)</f>
        <v>0.3626943005</v>
      </c>
      <c r="F18" s="7">
        <v>4.0</v>
      </c>
      <c r="G18" s="7">
        <v>4.0</v>
      </c>
      <c r="H18" s="7">
        <v>4.0</v>
      </c>
      <c r="I18" s="7">
        <v>4.0</v>
      </c>
      <c r="J18" s="7">
        <v>5.0</v>
      </c>
      <c r="K18" s="57"/>
      <c r="L18" s="57"/>
      <c r="M18" s="57"/>
      <c r="N18" s="57"/>
      <c r="O18" s="57"/>
      <c r="P18" s="57"/>
      <c r="Q18" s="57"/>
      <c r="R18" s="57"/>
      <c r="S18" s="57"/>
      <c r="T18" s="57"/>
      <c r="U18" s="57"/>
      <c r="V18" s="57"/>
      <c r="W18" s="57"/>
      <c r="X18" s="57"/>
      <c r="Y18" s="57"/>
      <c r="Z18" s="57"/>
      <c r="AA18" s="57"/>
      <c r="AB18" s="57"/>
    </row>
    <row r="19" ht="225.0" customHeight="1">
      <c r="C19" s="7" t="s">
        <v>8</v>
      </c>
      <c r="D19" s="74" t="s">
        <v>117</v>
      </c>
      <c r="E19" s="88">
        <f>IFERROR(__xludf.DUMMYFUNCTION("COUNTA(SPLIT(D19,"" ""))/COUNTA(SPLIT($B$17,"" ""))"),0.6787564766839378)</f>
        <v>0.6787564767</v>
      </c>
      <c r="F19" s="7">
        <v>3.0</v>
      </c>
      <c r="G19" s="7">
        <v>4.0</v>
      </c>
      <c r="H19" s="7">
        <v>4.0</v>
      </c>
      <c r="I19" s="7">
        <v>4.0</v>
      </c>
      <c r="J19" s="7">
        <v>5.0</v>
      </c>
      <c r="K19" s="57"/>
      <c r="L19" s="57"/>
      <c r="M19" s="57"/>
      <c r="N19" s="57"/>
      <c r="O19" s="57"/>
      <c r="P19" s="57"/>
      <c r="Q19" s="57"/>
      <c r="R19" s="57"/>
      <c r="S19" s="57"/>
      <c r="T19" s="57"/>
      <c r="U19" s="57"/>
      <c r="V19" s="57"/>
      <c r="W19" s="57"/>
      <c r="X19" s="57"/>
      <c r="Y19" s="57"/>
      <c r="Z19" s="57"/>
      <c r="AA19" s="57"/>
      <c r="AB19" s="57"/>
    </row>
    <row r="20" ht="225.0" customHeight="1">
      <c r="C20" s="7" t="s">
        <v>23</v>
      </c>
      <c r="D20" s="74" t="s">
        <v>118</v>
      </c>
      <c r="E20" s="89">
        <f>IFERROR(__xludf.DUMMYFUNCTION("COUNTA(SPLIT(D20,"" ""))/COUNTA(SPLIT($B$17,"" ""))"),0.3471502590673575)</f>
        <v>0.3471502591</v>
      </c>
      <c r="F20" s="7">
        <v>4.0</v>
      </c>
      <c r="G20" s="7">
        <v>5.0</v>
      </c>
      <c r="H20" s="7">
        <v>5.0</v>
      </c>
      <c r="I20" s="7">
        <v>4.0</v>
      </c>
      <c r="J20" s="7">
        <v>5.0</v>
      </c>
      <c r="K20" s="57"/>
      <c r="L20" s="57"/>
      <c r="M20" s="57"/>
      <c r="N20" s="57"/>
      <c r="O20" s="57"/>
      <c r="P20" s="57"/>
      <c r="Q20" s="57"/>
      <c r="R20" s="57"/>
      <c r="S20" s="57"/>
      <c r="T20" s="57"/>
      <c r="U20" s="57"/>
      <c r="V20" s="57"/>
      <c r="W20" s="57"/>
      <c r="X20" s="57"/>
      <c r="Y20" s="57"/>
      <c r="Z20" s="57"/>
      <c r="AA20" s="57"/>
      <c r="AB20" s="57"/>
    </row>
    <row r="21">
      <c r="A21" s="57"/>
      <c r="B21" s="57"/>
      <c r="C21" s="59"/>
      <c r="D21" s="78"/>
      <c r="E21" s="69"/>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57</v>
      </c>
      <c r="B22" s="63" t="s">
        <v>58</v>
      </c>
      <c r="C22" s="64" t="s">
        <v>21</v>
      </c>
      <c r="D22" s="79" t="s">
        <v>119</v>
      </c>
      <c r="E22" s="90">
        <f>IFERROR(__xludf.DUMMYFUNCTION("COUNTA(SPLIT(D22,"" ""))/COUNTA(SPLIT($B$22,"" ""))"),0.35823429541595925)</f>
        <v>0.3582342954</v>
      </c>
      <c r="F22" s="7">
        <v>4.0</v>
      </c>
      <c r="G22" s="7">
        <v>4.0</v>
      </c>
      <c r="H22" s="7">
        <v>4.0</v>
      </c>
      <c r="I22" s="7">
        <v>3.0</v>
      </c>
      <c r="J22" s="7">
        <v>4.0</v>
      </c>
      <c r="K22" s="67"/>
      <c r="L22" s="67"/>
      <c r="M22" s="67"/>
      <c r="N22" s="67"/>
      <c r="O22" s="67"/>
      <c r="P22" s="67"/>
      <c r="Q22" s="67"/>
      <c r="R22" s="67"/>
      <c r="S22" s="67"/>
      <c r="T22" s="67"/>
      <c r="U22" s="67"/>
      <c r="V22" s="67"/>
      <c r="W22" s="67"/>
      <c r="X22" s="67"/>
      <c r="Y22" s="67"/>
      <c r="Z22" s="67"/>
      <c r="AA22" s="67"/>
      <c r="AB22" s="67"/>
    </row>
    <row r="23" ht="225.0" customHeight="1">
      <c r="C23" s="7" t="s">
        <v>22</v>
      </c>
      <c r="D23" s="74" t="s">
        <v>120</v>
      </c>
      <c r="E23" s="84">
        <f>IFERROR(__xludf.DUMMYFUNCTION("COUNTA(SPLIT(D23,"" ""))/COUNTA(SPLIT($B$22,"" ""))"),0.13752122241086587)</f>
        <v>0.1375212224</v>
      </c>
      <c r="F23" s="7">
        <v>4.0</v>
      </c>
      <c r="G23" s="7">
        <v>4.0</v>
      </c>
      <c r="H23" s="7">
        <v>5.0</v>
      </c>
      <c r="I23" s="7">
        <v>4.0</v>
      </c>
      <c r="J23" s="7">
        <v>3.0</v>
      </c>
      <c r="K23" s="57"/>
      <c r="L23" s="57"/>
      <c r="M23" s="57"/>
      <c r="N23" s="57"/>
      <c r="O23" s="57"/>
      <c r="P23" s="57"/>
      <c r="Q23" s="57"/>
      <c r="R23" s="57"/>
      <c r="S23" s="57"/>
      <c r="T23" s="57"/>
      <c r="U23" s="57"/>
      <c r="V23" s="57"/>
      <c r="W23" s="57"/>
      <c r="X23" s="57"/>
      <c r="Y23" s="57"/>
      <c r="Z23" s="57"/>
      <c r="AA23" s="57"/>
      <c r="AB23" s="57"/>
    </row>
    <row r="24" ht="225.0" customHeight="1">
      <c r="C24" s="7" t="s">
        <v>8</v>
      </c>
      <c r="D24" s="74" t="s">
        <v>121</v>
      </c>
      <c r="E24" s="91">
        <f>IFERROR(__xludf.DUMMYFUNCTION("COUNTA(SPLIT(D24,"" ""))/COUNTA(SPLIT($B$22,"" ""))"),0.25127334465195245)</f>
        <v>0.2512733447</v>
      </c>
      <c r="F24" s="7">
        <v>3.0</v>
      </c>
      <c r="G24" s="7">
        <v>3.0</v>
      </c>
      <c r="H24" s="7">
        <v>5.0</v>
      </c>
      <c r="I24" s="7">
        <v>3.0</v>
      </c>
      <c r="J24" s="7">
        <v>4.0</v>
      </c>
      <c r="K24" s="57"/>
      <c r="L24" s="57"/>
      <c r="M24" s="57"/>
      <c r="N24" s="57"/>
      <c r="O24" s="57"/>
      <c r="P24" s="57"/>
      <c r="Q24" s="57"/>
      <c r="R24" s="57"/>
      <c r="S24" s="57"/>
      <c r="T24" s="57"/>
      <c r="U24" s="57"/>
      <c r="V24" s="57"/>
      <c r="W24" s="57"/>
      <c r="X24" s="57"/>
      <c r="Y24" s="57"/>
      <c r="Z24" s="57"/>
      <c r="AA24" s="57"/>
      <c r="AB24" s="57"/>
    </row>
    <row r="25" ht="225.0" customHeight="1">
      <c r="C25" s="7" t="s">
        <v>23</v>
      </c>
      <c r="D25" s="74" t="s">
        <v>122</v>
      </c>
      <c r="E25" s="92">
        <f>IFERROR(__xludf.DUMMYFUNCTION("COUNTA(SPLIT(D25,"" ""))/COUNTA(SPLIT($B$22,"" ""))"),0.11544991511035653)</f>
        <v>0.1154499151</v>
      </c>
      <c r="F25" s="7">
        <v>4.0</v>
      </c>
      <c r="G25" s="7">
        <v>4.0</v>
      </c>
      <c r="H25" s="7">
        <v>5.0</v>
      </c>
      <c r="I25" s="7">
        <v>4.0</v>
      </c>
      <c r="J25" s="7">
        <v>3.0</v>
      </c>
      <c r="K25" s="57"/>
      <c r="L25" s="57"/>
      <c r="M25" s="57"/>
      <c r="N25" s="57"/>
      <c r="O25" s="57"/>
      <c r="P25" s="57"/>
      <c r="Q25" s="57"/>
      <c r="R25" s="57"/>
      <c r="S25" s="57"/>
      <c r="T25" s="57"/>
      <c r="U25" s="57"/>
      <c r="V25" s="57"/>
      <c r="W25" s="57"/>
      <c r="X25" s="57"/>
      <c r="Y25" s="57"/>
      <c r="Z25" s="57"/>
      <c r="AA25" s="57"/>
      <c r="AB25" s="57"/>
    </row>
    <row r="26">
      <c r="A26" s="57"/>
      <c r="B26" s="57"/>
      <c r="C26" s="59"/>
      <c r="D26" s="78"/>
      <c r="E26" s="69"/>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8"/>
      <c r="E27" s="6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8"/>
      <c r="E28" s="6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8"/>
      <c r="E29" s="6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8"/>
      <c r="E30" s="6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8"/>
      <c r="E31" s="6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8"/>
      <c r="E32" s="6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8"/>
      <c r="E33" s="6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8"/>
      <c r="E34" s="6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8"/>
      <c r="E35" s="6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8"/>
      <c r="E36" s="6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8"/>
      <c r="E37" s="6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8"/>
      <c r="E38" s="6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8"/>
      <c r="E39" s="6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8"/>
      <c r="E40" s="6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8"/>
      <c r="E41" s="6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8"/>
      <c r="E42" s="6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8"/>
      <c r="E43" s="6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8"/>
      <c r="E44" s="6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8"/>
      <c r="E45" s="6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8"/>
      <c r="E46" s="6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8"/>
      <c r="E47" s="6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8"/>
      <c r="E48" s="6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8"/>
      <c r="E49" s="6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8"/>
      <c r="E50" s="6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8"/>
      <c r="E51" s="6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8"/>
      <c r="E52" s="6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8"/>
      <c r="E53" s="6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8"/>
      <c r="E54" s="6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8"/>
      <c r="E55" s="6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8"/>
      <c r="E56" s="6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8"/>
      <c r="E57" s="6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8"/>
      <c r="E58" s="6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8"/>
      <c r="E59" s="6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8"/>
      <c r="E60" s="6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8"/>
      <c r="E61" s="6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8"/>
      <c r="E62" s="6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8"/>
      <c r="E63" s="6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8"/>
      <c r="E64" s="6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8"/>
      <c r="E65" s="6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8"/>
      <c r="E66" s="6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8"/>
      <c r="E67" s="6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8"/>
      <c r="E68" s="6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8"/>
      <c r="E69" s="6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8"/>
      <c r="E70" s="6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8"/>
      <c r="E71" s="6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8"/>
      <c r="E72" s="6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8"/>
      <c r="E73" s="6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8"/>
      <c r="E74" s="6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8"/>
      <c r="E75" s="6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8"/>
      <c r="E76" s="6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8"/>
      <c r="E77" s="6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8"/>
      <c r="E78" s="6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8"/>
      <c r="E79" s="6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8"/>
      <c r="E80" s="6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8"/>
      <c r="E81" s="6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8"/>
      <c r="E82" s="6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8"/>
      <c r="E83" s="6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8"/>
      <c r="E84" s="6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8"/>
      <c r="E85" s="6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8"/>
      <c r="E86" s="6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8"/>
      <c r="E87" s="6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8"/>
      <c r="E88" s="6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8"/>
      <c r="E89" s="6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8"/>
      <c r="E90" s="6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8"/>
      <c r="E91" s="6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8"/>
      <c r="E92" s="6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8"/>
      <c r="E93" s="6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8"/>
      <c r="E94" s="6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8"/>
      <c r="E95" s="6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8"/>
      <c r="E96" s="6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8"/>
      <c r="E97" s="6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8"/>
      <c r="E98" s="6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8"/>
      <c r="E99" s="6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8"/>
      <c r="E100" s="6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8"/>
      <c r="E101" s="6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8"/>
      <c r="E102" s="6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8"/>
      <c r="E103" s="6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8"/>
      <c r="E104" s="6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8"/>
      <c r="E105" s="6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8"/>
      <c r="E106" s="6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8"/>
      <c r="E107" s="6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8"/>
      <c r="E108" s="6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8"/>
      <c r="E109" s="6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8"/>
      <c r="E110" s="6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8"/>
      <c r="E111" s="6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8"/>
      <c r="E112" s="6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8"/>
      <c r="E113" s="6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8"/>
      <c r="E114" s="6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8"/>
      <c r="E115" s="6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8"/>
      <c r="E116" s="6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8"/>
      <c r="E117" s="6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8"/>
      <c r="E118" s="6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8"/>
      <c r="E119" s="6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8"/>
      <c r="E120" s="6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8"/>
      <c r="E121" s="6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8"/>
      <c r="E122" s="6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8"/>
      <c r="E123" s="6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8"/>
      <c r="E124" s="6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8"/>
      <c r="E125" s="6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8"/>
      <c r="E126" s="6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8"/>
      <c r="E127" s="6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8"/>
      <c r="E128" s="6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8"/>
      <c r="E129" s="6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8"/>
      <c r="E130" s="6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8"/>
      <c r="E131" s="6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8"/>
      <c r="E132" s="6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8"/>
      <c r="E133" s="6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8"/>
      <c r="E134" s="6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8"/>
      <c r="E135" s="6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8"/>
      <c r="E136" s="6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8"/>
      <c r="E137" s="6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8"/>
      <c r="E138" s="6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8"/>
      <c r="E139" s="6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8"/>
      <c r="E140" s="6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8"/>
      <c r="E141" s="6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8"/>
      <c r="E142" s="6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8"/>
      <c r="E143" s="6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8"/>
      <c r="E144" s="6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8"/>
      <c r="E145" s="6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8"/>
      <c r="E146" s="6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8"/>
      <c r="E147" s="6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8"/>
      <c r="E148" s="6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8"/>
      <c r="E149" s="6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8"/>
      <c r="E150" s="6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8"/>
      <c r="E151" s="6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8"/>
      <c r="E152" s="6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8"/>
      <c r="E153" s="6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8"/>
      <c r="E154" s="6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8"/>
      <c r="E155" s="6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8"/>
      <c r="E156" s="6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8"/>
      <c r="E157" s="6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8"/>
      <c r="E158" s="6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8"/>
      <c r="E159" s="6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8"/>
      <c r="E160" s="6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8"/>
      <c r="E161" s="6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8"/>
      <c r="E162" s="6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8"/>
      <c r="E163" s="6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8"/>
      <c r="E164" s="6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8"/>
      <c r="E165" s="6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8"/>
      <c r="E166" s="6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8"/>
      <c r="E167" s="6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8"/>
      <c r="E168" s="6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8"/>
      <c r="E169" s="6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8"/>
      <c r="E170" s="6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8"/>
      <c r="E171" s="6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8"/>
      <c r="E172" s="6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8"/>
      <c r="E173" s="6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8"/>
      <c r="E174" s="6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8"/>
      <c r="E175" s="6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8"/>
      <c r="E176" s="6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8"/>
      <c r="E177" s="6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8"/>
      <c r="E178" s="6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8"/>
      <c r="E179" s="6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8"/>
      <c r="E180" s="6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8"/>
      <c r="E181" s="6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8"/>
      <c r="E182" s="6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8"/>
      <c r="E183" s="6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8"/>
      <c r="E184" s="6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8"/>
      <c r="E185" s="6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8"/>
      <c r="E186" s="6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8"/>
      <c r="E187" s="6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8"/>
      <c r="E188" s="6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8"/>
      <c r="E189" s="6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8"/>
      <c r="E190" s="6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8"/>
      <c r="E191" s="6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8"/>
      <c r="E192" s="6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8"/>
      <c r="E193" s="6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8"/>
      <c r="E194" s="6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8"/>
      <c r="E195" s="6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8"/>
      <c r="E196" s="6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8"/>
      <c r="E197" s="6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8"/>
      <c r="E198" s="6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8"/>
      <c r="E199" s="6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8"/>
      <c r="E200" s="6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8"/>
      <c r="E201" s="6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8"/>
      <c r="E202" s="6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8"/>
      <c r="E203" s="6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8"/>
      <c r="E204" s="6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8"/>
      <c r="E205" s="6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8"/>
      <c r="E206" s="6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8"/>
      <c r="E207" s="6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8"/>
      <c r="E208" s="6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8"/>
      <c r="E209" s="6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8"/>
      <c r="E210" s="6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8"/>
      <c r="E211" s="6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8"/>
      <c r="E212" s="6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8"/>
      <c r="E213" s="6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8"/>
      <c r="E214" s="6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8"/>
      <c r="E215" s="6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8"/>
      <c r="E216" s="6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8"/>
      <c r="E217" s="6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8"/>
      <c r="E218" s="6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8"/>
      <c r="E219" s="6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8"/>
      <c r="E220" s="6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8"/>
      <c r="E221" s="6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8"/>
      <c r="E222" s="6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8"/>
      <c r="E223" s="6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8"/>
      <c r="E224" s="6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8"/>
      <c r="E225" s="6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8"/>
      <c r="E226" s="6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8"/>
      <c r="E227" s="6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8"/>
      <c r="E228" s="6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8"/>
      <c r="E229" s="6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8"/>
      <c r="E230" s="6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8"/>
      <c r="E231" s="6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8"/>
      <c r="E232" s="6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8"/>
      <c r="E233" s="6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8"/>
      <c r="E234" s="6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8"/>
      <c r="E235" s="6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8"/>
      <c r="E236" s="6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8"/>
      <c r="E237" s="6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8"/>
      <c r="E238" s="6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8"/>
      <c r="E239" s="6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8"/>
      <c r="E240" s="6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8"/>
      <c r="E241" s="6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8"/>
      <c r="E242" s="6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8"/>
      <c r="E243" s="6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8"/>
      <c r="E244" s="6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8"/>
      <c r="E245" s="6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8"/>
      <c r="E246" s="6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8"/>
      <c r="E247" s="6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8"/>
      <c r="E248" s="6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8"/>
      <c r="E249" s="6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8"/>
      <c r="E250" s="6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8"/>
      <c r="E251" s="6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8"/>
      <c r="E252" s="6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8"/>
      <c r="E253" s="6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8"/>
      <c r="E254" s="6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8"/>
      <c r="E255" s="6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8"/>
      <c r="E256" s="6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8"/>
      <c r="E257" s="6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8"/>
      <c r="E258" s="6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8"/>
      <c r="E259" s="6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8"/>
      <c r="E260" s="6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8"/>
      <c r="E261" s="6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8"/>
      <c r="E262" s="6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8"/>
      <c r="E263" s="6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8"/>
      <c r="E264" s="6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8"/>
      <c r="E265" s="6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8"/>
      <c r="E266" s="6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8"/>
      <c r="E267" s="6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8"/>
      <c r="E268" s="6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8"/>
      <c r="E269" s="6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8"/>
      <c r="E270" s="6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8"/>
      <c r="E271" s="6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8"/>
      <c r="E272" s="6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8"/>
      <c r="E273" s="6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8"/>
      <c r="E274" s="6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8"/>
      <c r="E275" s="6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8"/>
      <c r="E276" s="6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8"/>
      <c r="E277" s="6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8"/>
      <c r="E278" s="6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8"/>
      <c r="E279" s="6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8"/>
      <c r="E280" s="6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8"/>
      <c r="E281" s="6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8"/>
      <c r="E282" s="6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8"/>
      <c r="E283" s="6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8"/>
      <c r="E284" s="6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8"/>
      <c r="E285" s="6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8"/>
      <c r="E286" s="6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8"/>
      <c r="E287" s="6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8"/>
      <c r="E288" s="6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8"/>
      <c r="E289" s="6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8"/>
      <c r="E290" s="6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8"/>
      <c r="E291" s="6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8"/>
      <c r="E292" s="6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8"/>
      <c r="E293" s="6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8"/>
      <c r="E294" s="6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8"/>
      <c r="E295" s="6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8"/>
      <c r="E296" s="6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8"/>
      <c r="E297" s="6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8"/>
      <c r="E298" s="6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8"/>
      <c r="E299" s="6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8"/>
      <c r="E300" s="6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8"/>
      <c r="E301" s="6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8"/>
      <c r="E302" s="6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8"/>
      <c r="E303" s="6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8"/>
      <c r="E304" s="6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8"/>
      <c r="E305" s="6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8"/>
      <c r="E306" s="6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8"/>
      <c r="E307" s="6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8"/>
      <c r="E308" s="6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8"/>
      <c r="E309" s="6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8"/>
      <c r="E310" s="6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8"/>
      <c r="E311" s="6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8"/>
      <c r="E312" s="6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8"/>
      <c r="E313" s="6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8"/>
      <c r="E314" s="6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8"/>
      <c r="E315" s="6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8"/>
      <c r="E316" s="6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8"/>
      <c r="E317" s="6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8"/>
      <c r="E318" s="6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8"/>
      <c r="E319" s="6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8"/>
      <c r="E320" s="6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8"/>
      <c r="E321" s="6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8"/>
      <c r="E322" s="6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8"/>
      <c r="E323" s="6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8"/>
      <c r="E324" s="6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8"/>
      <c r="E325" s="6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8"/>
      <c r="E326" s="6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8"/>
      <c r="E327" s="6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8"/>
      <c r="E328" s="6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8"/>
      <c r="E329" s="6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8"/>
      <c r="E330" s="6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8"/>
      <c r="E331" s="6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8"/>
      <c r="E332" s="6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8"/>
      <c r="E333" s="6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8"/>
      <c r="E334" s="6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8"/>
      <c r="E335" s="6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8"/>
      <c r="E336" s="6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8"/>
      <c r="E337" s="6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8"/>
      <c r="E338" s="6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8"/>
      <c r="E339" s="6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8"/>
      <c r="E340" s="6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8"/>
      <c r="E341" s="6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8"/>
      <c r="E342" s="6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8"/>
      <c r="E343" s="6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8"/>
      <c r="E344" s="6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8"/>
      <c r="E345" s="6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8"/>
      <c r="E346" s="6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8"/>
      <c r="E347" s="6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8"/>
      <c r="E348" s="6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8"/>
      <c r="E349" s="6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8"/>
      <c r="E350" s="6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8"/>
      <c r="E351" s="6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8"/>
      <c r="E352" s="6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8"/>
      <c r="E353" s="6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8"/>
      <c r="E354" s="6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8"/>
      <c r="E355" s="6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8"/>
      <c r="E356" s="6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8"/>
      <c r="E357" s="6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8"/>
      <c r="E358" s="6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8"/>
      <c r="E359" s="6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8"/>
      <c r="E360" s="6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8"/>
      <c r="E361" s="6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8"/>
      <c r="E362" s="6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8"/>
      <c r="E363" s="6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8"/>
      <c r="E364" s="6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8"/>
      <c r="E365" s="6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8"/>
      <c r="E366" s="6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8"/>
      <c r="E367" s="6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8"/>
      <c r="E368" s="6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8"/>
      <c r="E369" s="6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8"/>
      <c r="E370" s="6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8"/>
      <c r="E371" s="6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8"/>
      <c r="E372" s="6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8"/>
      <c r="E373" s="6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8"/>
      <c r="E374" s="6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8"/>
      <c r="E375" s="6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8"/>
      <c r="E376" s="6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8"/>
      <c r="E377" s="6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8"/>
      <c r="E378" s="6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8"/>
      <c r="E379" s="6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8"/>
      <c r="E380" s="6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8"/>
      <c r="E381" s="6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8"/>
      <c r="E382" s="6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8"/>
      <c r="E383" s="6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8"/>
      <c r="E384" s="6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8"/>
      <c r="E385" s="6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8"/>
      <c r="E386" s="6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8"/>
      <c r="E387" s="6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8"/>
      <c r="E388" s="6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8"/>
      <c r="E389" s="6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8"/>
      <c r="E390" s="6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8"/>
      <c r="E391" s="6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8"/>
      <c r="E392" s="6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8"/>
      <c r="E393" s="6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8"/>
      <c r="E394" s="6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8"/>
      <c r="E395" s="6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8"/>
      <c r="E396" s="6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8"/>
      <c r="E397" s="6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8"/>
      <c r="E398" s="6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8"/>
      <c r="E399" s="6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8"/>
      <c r="E400" s="6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8"/>
      <c r="E401" s="6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8"/>
      <c r="E402" s="6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8"/>
      <c r="E403" s="6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8"/>
      <c r="E404" s="6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8"/>
      <c r="E405" s="6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8"/>
      <c r="E406" s="6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8"/>
      <c r="E407" s="6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8"/>
      <c r="E408" s="6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8"/>
      <c r="E409" s="6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8"/>
      <c r="E410" s="6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8"/>
      <c r="E411" s="6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8"/>
      <c r="E412" s="6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8"/>
      <c r="E413" s="6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8"/>
      <c r="E414" s="6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8"/>
      <c r="E415" s="6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8"/>
      <c r="E416" s="6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8"/>
      <c r="E417" s="6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8"/>
      <c r="E418" s="6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8"/>
      <c r="E419" s="6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8"/>
      <c r="E420" s="6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8"/>
      <c r="E421" s="6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8"/>
      <c r="E422" s="6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8"/>
      <c r="E423" s="6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8"/>
      <c r="E424" s="6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8"/>
      <c r="E425" s="6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8"/>
      <c r="E426" s="6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8"/>
      <c r="E427" s="6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8"/>
      <c r="E428" s="6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8"/>
      <c r="E429" s="6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8"/>
      <c r="E430" s="6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8"/>
      <c r="E431" s="6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8"/>
      <c r="E432" s="6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8"/>
      <c r="E433" s="6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8"/>
      <c r="E434" s="6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8"/>
      <c r="E435" s="6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8"/>
      <c r="E436" s="6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8"/>
      <c r="E437" s="6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8"/>
      <c r="E438" s="6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8"/>
      <c r="E439" s="6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8"/>
      <c r="E440" s="6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8"/>
      <c r="E441" s="6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8"/>
      <c r="E442" s="6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8"/>
      <c r="E443" s="6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8"/>
      <c r="E444" s="6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8"/>
      <c r="E445" s="6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8"/>
      <c r="E446" s="6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8"/>
      <c r="E447" s="6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8"/>
      <c r="E448" s="6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8"/>
      <c r="E449" s="6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8"/>
      <c r="E450" s="6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8"/>
      <c r="E451" s="6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8"/>
      <c r="E452" s="6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8"/>
      <c r="E453" s="6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8"/>
      <c r="E454" s="6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8"/>
      <c r="E455" s="6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8"/>
      <c r="E456" s="6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8"/>
      <c r="E457" s="6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8"/>
      <c r="E458" s="6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8"/>
      <c r="E459" s="6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8"/>
      <c r="E460" s="6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8"/>
      <c r="E461" s="6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8"/>
      <c r="E462" s="6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8"/>
      <c r="E463" s="6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8"/>
      <c r="E464" s="6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8"/>
      <c r="E465" s="6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8"/>
      <c r="E466" s="6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8"/>
      <c r="E467" s="6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8"/>
      <c r="E468" s="6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8"/>
      <c r="E469" s="6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8"/>
      <c r="E470" s="6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8"/>
      <c r="E471" s="6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8"/>
      <c r="E472" s="6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8"/>
      <c r="E473" s="6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8"/>
      <c r="E474" s="6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8"/>
      <c r="E475" s="6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8"/>
      <c r="E476" s="6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8"/>
      <c r="E477" s="6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8"/>
      <c r="E478" s="6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8"/>
      <c r="E479" s="6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8"/>
      <c r="E480" s="6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8"/>
      <c r="E481" s="6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8"/>
      <c r="E482" s="6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8"/>
      <c r="E483" s="6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8"/>
      <c r="E484" s="6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8"/>
      <c r="E485" s="6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8"/>
      <c r="E486" s="6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8"/>
      <c r="E487" s="6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8"/>
      <c r="E488" s="6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8"/>
      <c r="E489" s="6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8"/>
      <c r="E490" s="6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8"/>
      <c r="E491" s="6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8"/>
      <c r="E492" s="6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8"/>
      <c r="E493" s="6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8"/>
      <c r="E494" s="6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8"/>
      <c r="E495" s="6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8"/>
      <c r="E496" s="6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8"/>
      <c r="E497" s="6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8"/>
      <c r="E498" s="6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8"/>
      <c r="E499" s="6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8"/>
      <c r="E500" s="6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8"/>
      <c r="E501" s="6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8"/>
      <c r="E502" s="6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8"/>
      <c r="E503" s="6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8"/>
      <c r="E504" s="6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8"/>
      <c r="E505" s="6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8"/>
      <c r="E506" s="6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8"/>
      <c r="E507" s="6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8"/>
      <c r="E508" s="6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8"/>
      <c r="E509" s="6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8"/>
      <c r="E510" s="6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8"/>
      <c r="E511" s="6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8"/>
      <c r="E512" s="6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8"/>
      <c r="E513" s="6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8"/>
      <c r="E514" s="6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8"/>
      <c r="E515" s="6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8"/>
      <c r="E516" s="6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8"/>
      <c r="E517" s="6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8"/>
      <c r="E518" s="6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8"/>
      <c r="E519" s="6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8"/>
      <c r="E520" s="6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8"/>
      <c r="E521" s="6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8"/>
      <c r="E522" s="6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8"/>
      <c r="E523" s="6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8"/>
      <c r="E524" s="6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8"/>
      <c r="E525" s="6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8"/>
      <c r="E526" s="6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8"/>
      <c r="E527" s="6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8"/>
      <c r="E528" s="6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8"/>
      <c r="E529" s="6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8"/>
      <c r="E530" s="6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8"/>
      <c r="E531" s="6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8"/>
      <c r="E532" s="6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8"/>
      <c r="E533" s="6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8"/>
      <c r="E534" s="6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8"/>
      <c r="E535" s="6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8"/>
      <c r="E536" s="6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8"/>
      <c r="E537" s="6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8"/>
      <c r="E538" s="6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8"/>
      <c r="E539" s="6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8"/>
      <c r="E540" s="6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8"/>
      <c r="E541" s="6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8"/>
      <c r="E542" s="6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8"/>
      <c r="E543" s="6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8"/>
      <c r="E544" s="6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8"/>
      <c r="E545" s="6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8"/>
      <c r="E546" s="6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8"/>
      <c r="E547" s="6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8"/>
      <c r="E548" s="6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8"/>
      <c r="E549" s="6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8"/>
      <c r="E550" s="6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8"/>
      <c r="E551" s="6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8"/>
      <c r="E552" s="6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8"/>
      <c r="E553" s="6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8"/>
      <c r="E554" s="6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8"/>
      <c r="E555" s="6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8"/>
      <c r="E556" s="6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8"/>
      <c r="E557" s="6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8"/>
      <c r="E558" s="6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8"/>
      <c r="E559" s="6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8"/>
      <c r="E560" s="6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8"/>
      <c r="E561" s="6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8"/>
      <c r="E562" s="6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8"/>
      <c r="E563" s="6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8"/>
      <c r="E564" s="6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8"/>
      <c r="E565" s="6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8"/>
      <c r="E566" s="6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8"/>
      <c r="E567" s="6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8"/>
      <c r="E568" s="6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8"/>
      <c r="E569" s="6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8"/>
      <c r="E570" s="6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8"/>
      <c r="E571" s="6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8"/>
      <c r="E572" s="6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8"/>
      <c r="E573" s="6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8"/>
      <c r="E574" s="6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8"/>
      <c r="E575" s="6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8"/>
      <c r="E576" s="6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8"/>
      <c r="E577" s="6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8"/>
      <c r="E578" s="6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8"/>
      <c r="E579" s="6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8"/>
      <c r="E580" s="6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8"/>
      <c r="E581" s="6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8"/>
      <c r="E582" s="6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8"/>
      <c r="E583" s="6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8"/>
      <c r="E584" s="6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8"/>
      <c r="E585" s="6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8"/>
      <c r="E586" s="6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8"/>
      <c r="E587" s="6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8"/>
      <c r="E588" s="6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8"/>
      <c r="E589" s="6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8"/>
      <c r="E590" s="6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8"/>
      <c r="E591" s="6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8"/>
      <c r="E592" s="6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8"/>
      <c r="E593" s="6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8"/>
      <c r="E594" s="6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8"/>
      <c r="E595" s="6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8"/>
      <c r="E596" s="6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8"/>
      <c r="E597" s="6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8"/>
      <c r="E598" s="6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8"/>
      <c r="E599" s="6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8"/>
      <c r="E600" s="6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8"/>
      <c r="E601" s="6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8"/>
      <c r="E602" s="6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8"/>
      <c r="E603" s="6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8"/>
      <c r="E604" s="6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8"/>
      <c r="E605" s="6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8"/>
      <c r="E606" s="6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8"/>
      <c r="E607" s="6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8"/>
      <c r="E608" s="6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8"/>
      <c r="E609" s="6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8"/>
      <c r="E610" s="6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8"/>
      <c r="E611" s="6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8"/>
      <c r="E612" s="6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8"/>
      <c r="E613" s="6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8"/>
      <c r="E614" s="6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8"/>
      <c r="E615" s="6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8"/>
      <c r="E616" s="6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8"/>
      <c r="E617" s="6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8"/>
      <c r="E618" s="6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8"/>
      <c r="E619" s="6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8"/>
      <c r="E620" s="6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8"/>
      <c r="E621" s="6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8"/>
      <c r="E622" s="6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8"/>
      <c r="E623" s="6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8"/>
      <c r="E624" s="6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8"/>
      <c r="E625" s="6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8"/>
      <c r="E626" s="6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8"/>
      <c r="E627" s="6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8"/>
      <c r="E628" s="6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8"/>
      <c r="E629" s="6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8"/>
      <c r="E630" s="6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8"/>
      <c r="E631" s="6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8"/>
      <c r="E632" s="6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8"/>
      <c r="E633" s="6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8"/>
      <c r="E634" s="6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8"/>
      <c r="E635" s="6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8"/>
      <c r="E636" s="6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8"/>
      <c r="E637" s="6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8"/>
      <c r="E638" s="6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8"/>
      <c r="E639" s="6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8"/>
      <c r="E640" s="6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8"/>
      <c r="E641" s="6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8"/>
      <c r="E642" s="6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8"/>
      <c r="E643" s="6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8"/>
      <c r="E644" s="6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8"/>
      <c r="E645" s="6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8"/>
      <c r="E646" s="6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8"/>
      <c r="E647" s="6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8"/>
      <c r="E648" s="6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8"/>
      <c r="E649" s="6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8"/>
      <c r="E650" s="6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8"/>
      <c r="E651" s="6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8"/>
      <c r="E652" s="6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8"/>
      <c r="E653" s="6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8"/>
      <c r="E654" s="6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8"/>
      <c r="E655" s="6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8"/>
      <c r="E656" s="6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8"/>
      <c r="E657" s="6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8"/>
      <c r="E658" s="6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8"/>
      <c r="E659" s="6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8"/>
      <c r="E660" s="6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8"/>
      <c r="E661" s="6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8"/>
      <c r="E662" s="6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8"/>
      <c r="E663" s="6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8"/>
      <c r="E664" s="6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8"/>
      <c r="E665" s="6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8"/>
      <c r="E666" s="6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8"/>
      <c r="E667" s="6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8"/>
      <c r="E668" s="6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8"/>
      <c r="E669" s="6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8"/>
      <c r="E670" s="6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8"/>
      <c r="E671" s="6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8"/>
      <c r="E672" s="6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8"/>
      <c r="E673" s="6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8"/>
      <c r="E674" s="6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8"/>
      <c r="E675" s="6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8"/>
      <c r="E676" s="6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8"/>
      <c r="E677" s="6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8"/>
      <c r="E678" s="6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8"/>
      <c r="E679" s="6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8"/>
      <c r="E680" s="6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8"/>
      <c r="E681" s="6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8"/>
      <c r="E682" s="6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8"/>
      <c r="E683" s="6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8"/>
      <c r="E684" s="6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8"/>
      <c r="E685" s="6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8"/>
      <c r="E686" s="6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8"/>
      <c r="E687" s="6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8"/>
      <c r="E688" s="6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8"/>
      <c r="E689" s="6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8"/>
      <c r="E690" s="6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8"/>
      <c r="E691" s="6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8"/>
      <c r="E692" s="6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8"/>
      <c r="E693" s="6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8"/>
      <c r="E694" s="6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8"/>
      <c r="E695" s="6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8"/>
      <c r="E696" s="6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8"/>
      <c r="E697" s="6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8"/>
      <c r="E698" s="6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8"/>
      <c r="E699" s="6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8"/>
      <c r="E700" s="6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8"/>
      <c r="E701" s="6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8"/>
      <c r="E702" s="6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8"/>
      <c r="E703" s="6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8"/>
      <c r="E704" s="6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8"/>
      <c r="E705" s="6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8"/>
      <c r="E706" s="6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8"/>
      <c r="E707" s="6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8"/>
      <c r="E708" s="6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8"/>
      <c r="E709" s="6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8"/>
      <c r="E710" s="6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8"/>
      <c r="E711" s="6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8"/>
      <c r="E712" s="6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8"/>
      <c r="E713" s="6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8"/>
      <c r="E714" s="6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8"/>
      <c r="E715" s="6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8"/>
      <c r="E716" s="6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8"/>
      <c r="E717" s="6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8"/>
      <c r="E718" s="6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8"/>
      <c r="E719" s="6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8"/>
      <c r="E720" s="6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8"/>
      <c r="E721" s="6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8"/>
      <c r="E722" s="6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8"/>
      <c r="E723" s="6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8"/>
      <c r="E724" s="6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8"/>
      <c r="E725" s="6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8"/>
      <c r="E726" s="6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8"/>
      <c r="E727" s="6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8"/>
      <c r="E728" s="6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8"/>
      <c r="E729" s="6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8"/>
      <c r="E730" s="6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8"/>
      <c r="E731" s="6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8"/>
      <c r="E732" s="6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8"/>
      <c r="E733" s="6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8"/>
      <c r="E734" s="6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8"/>
      <c r="E735" s="6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8"/>
      <c r="E736" s="6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8"/>
      <c r="E737" s="6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8"/>
      <c r="E738" s="6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8"/>
      <c r="E739" s="6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8"/>
      <c r="E740" s="6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8"/>
      <c r="E741" s="6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8"/>
      <c r="E742" s="6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8"/>
      <c r="E743" s="6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8"/>
      <c r="E744" s="6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8"/>
      <c r="E745" s="6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8"/>
      <c r="E746" s="6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8"/>
      <c r="E747" s="6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8"/>
      <c r="E748" s="6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8"/>
      <c r="E749" s="6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8"/>
      <c r="E750" s="6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8"/>
      <c r="E751" s="6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8"/>
      <c r="E752" s="6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8"/>
      <c r="E753" s="6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8"/>
      <c r="E754" s="6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8"/>
      <c r="E755" s="6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8"/>
      <c r="E756" s="6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8"/>
      <c r="E757" s="6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8"/>
      <c r="E758" s="6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8"/>
      <c r="E759" s="6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8"/>
      <c r="E760" s="6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8"/>
      <c r="E761" s="6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8"/>
      <c r="E762" s="6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8"/>
      <c r="E763" s="6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8"/>
      <c r="E764" s="6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8"/>
      <c r="E765" s="6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8"/>
      <c r="E766" s="6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8"/>
      <c r="E767" s="6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8"/>
      <c r="E768" s="6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8"/>
      <c r="E769" s="6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8"/>
      <c r="E770" s="6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8"/>
      <c r="E771" s="6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8"/>
      <c r="E772" s="6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8"/>
      <c r="E773" s="6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8"/>
      <c r="E774" s="6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8"/>
      <c r="E775" s="6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8"/>
      <c r="E776" s="6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8"/>
      <c r="E777" s="6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8"/>
      <c r="E778" s="6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8"/>
      <c r="E779" s="6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8"/>
      <c r="E780" s="6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8"/>
      <c r="E781" s="6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8"/>
      <c r="E782" s="6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8"/>
      <c r="E783" s="6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8"/>
      <c r="E784" s="6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8"/>
      <c r="E785" s="6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8"/>
      <c r="E786" s="6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8"/>
      <c r="E787" s="6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8"/>
      <c r="E788" s="6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8"/>
      <c r="E789" s="6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8"/>
      <c r="E790" s="6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8"/>
      <c r="E791" s="6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8"/>
      <c r="E792" s="6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8"/>
      <c r="E793" s="6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8"/>
      <c r="E794" s="6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8"/>
      <c r="E795" s="6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8"/>
      <c r="E796" s="6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8"/>
      <c r="E797" s="6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8"/>
      <c r="E798" s="6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8"/>
      <c r="E799" s="6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8"/>
      <c r="E800" s="6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8"/>
      <c r="E801" s="6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8"/>
      <c r="E802" s="6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8"/>
      <c r="E803" s="6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8"/>
      <c r="E804" s="6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8"/>
      <c r="E805" s="6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8"/>
      <c r="E806" s="6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8"/>
      <c r="E807" s="6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8"/>
      <c r="E808" s="6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8"/>
      <c r="E809" s="6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8"/>
      <c r="E810" s="6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8"/>
      <c r="E811" s="6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8"/>
      <c r="E812" s="6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8"/>
      <c r="E813" s="6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8"/>
      <c r="E814" s="6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8"/>
      <c r="E815" s="6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8"/>
      <c r="E816" s="6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8"/>
      <c r="E817" s="6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8"/>
      <c r="E818" s="6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8"/>
      <c r="E819" s="6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8"/>
      <c r="E820" s="6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8"/>
      <c r="E821" s="6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8"/>
      <c r="E822" s="6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8"/>
      <c r="E823" s="6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8"/>
      <c r="E824" s="6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8"/>
      <c r="E825" s="6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8"/>
      <c r="E826" s="6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8"/>
      <c r="E827" s="6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8"/>
      <c r="E828" s="6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8"/>
      <c r="E829" s="6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8"/>
      <c r="E830" s="6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8"/>
      <c r="E831" s="6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8"/>
      <c r="E832" s="6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8"/>
      <c r="E833" s="6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8"/>
      <c r="E834" s="6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8"/>
      <c r="E835" s="6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8"/>
      <c r="E836" s="6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8"/>
      <c r="E837" s="6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8"/>
      <c r="E838" s="6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8"/>
      <c r="E839" s="6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8"/>
      <c r="E840" s="6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8"/>
      <c r="E841" s="6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8"/>
      <c r="E842" s="6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8"/>
      <c r="E843" s="6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8"/>
      <c r="E844" s="6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8"/>
      <c r="E845" s="6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8"/>
      <c r="E846" s="6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8"/>
      <c r="E847" s="6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8"/>
      <c r="E848" s="6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8"/>
      <c r="E849" s="6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8"/>
      <c r="E850" s="6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8"/>
      <c r="E851" s="6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8"/>
      <c r="E852" s="6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8"/>
      <c r="E853" s="6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8"/>
      <c r="E854" s="6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8"/>
      <c r="E855" s="6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8"/>
      <c r="E856" s="6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8"/>
      <c r="E857" s="6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8"/>
      <c r="E858" s="6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8"/>
      <c r="E859" s="6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8"/>
      <c r="E860" s="6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8"/>
      <c r="E861" s="6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8"/>
      <c r="E862" s="6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8"/>
      <c r="E863" s="6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8"/>
      <c r="E864" s="6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8"/>
      <c r="E865" s="6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8"/>
      <c r="E866" s="6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8"/>
      <c r="E867" s="6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8"/>
      <c r="E868" s="6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8"/>
      <c r="E869" s="6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8"/>
      <c r="E870" s="6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8"/>
      <c r="E871" s="6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8"/>
      <c r="E872" s="6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8"/>
      <c r="E873" s="6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8"/>
      <c r="E874" s="6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8"/>
      <c r="E875" s="6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8"/>
      <c r="E876" s="6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8"/>
      <c r="E877" s="6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8"/>
      <c r="E878" s="6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8"/>
      <c r="E879" s="6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8"/>
      <c r="E880" s="6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8"/>
      <c r="E881" s="6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8"/>
      <c r="E882" s="6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8"/>
      <c r="E883" s="6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8"/>
      <c r="E884" s="6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8"/>
      <c r="E885" s="6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8"/>
      <c r="E886" s="6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8"/>
      <c r="E887" s="6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8"/>
      <c r="E888" s="6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8"/>
      <c r="E889" s="6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8"/>
      <c r="E890" s="6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8"/>
      <c r="E891" s="6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8"/>
      <c r="E892" s="6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8"/>
      <c r="E893" s="6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8"/>
      <c r="E894" s="6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8"/>
      <c r="E895" s="6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8"/>
      <c r="E896" s="6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8"/>
      <c r="E897" s="6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8"/>
      <c r="E898" s="6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8"/>
      <c r="E899" s="6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8"/>
      <c r="E900" s="6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8"/>
      <c r="E901" s="6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8"/>
      <c r="E902" s="6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8"/>
      <c r="E903" s="6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8"/>
      <c r="E904" s="6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8"/>
      <c r="E905" s="6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8"/>
      <c r="E906" s="6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8"/>
      <c r="E907" s="6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8"/>
      <c r="E908" s="6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8"/>
      <c r="E909" s="6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8"/>
      <c r="E910" s="6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8"/>
      <c r="E911" s="6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8"/>
      <c r="E912" s="6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8"/>
      <c r="E913" s="6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8"/>
      <c r="E914" s="6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8"/>
      <c r="E915" s="6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8"/>
      <c r="E916" s="6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8"/>
      <c r="E917" s="6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8"/>
      <c r="E918" s="6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8"/>
      <c r="E919" s="6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8"/>
      <c r="E920" s="6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8"/>
      <c r="E921" s="6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8"/>
      <c r="E922" s="6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8"/>
      <c r="E923" s="6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8"/>
      <c r="E924" s="6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8"/>
      <c r="E925" s="6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8"/>
      <c r="E926" s="6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8"/>
      <c r="E927" s="6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8"/>
      <c r="E928" s="6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8"/>
      <c r="E929" s="6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8"/>
      <c r="E930" s="6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8"/>
      <c r="E931" s="6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8"/>
      <c r="E932" s="6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8"/>
      <c r="E933" s="6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8"/>
      <c r="E934" s="6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8"/>
      <c r="E935" s="6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8"/>
      <c r="E936" s="6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8"/>
      <c r="E937" s="6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8"/>
      <c r="E938" s="6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8"/>
      <c r="E939" s="6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8"/>
      <c r="E940" s="6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8"/>
      <c r="E941" s="6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8"/>
      <c r="E942" s="6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8"/>
      <c r="E943" s="6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8"/>
      <c r="E944" s="6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8"/>
      <c r="E945" s="6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8"/>
      <c r="E946" s="6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8"/>
      <c r="E947" s="6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8"/>
      <c r="E948" s="6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8"/>
      <c r="E949" s="6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8"/>
      <c r="E950" s="6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8"/>
      <c r="E951" s="6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51">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51">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73"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34</v>
      </c>
      <c r="C2" s="7" t="s">
        <v>21</v>
      </c>
      <c r="D2" s="74" t="s">
        <v>123</v>
      </c>
      <c r="E2" s="75">
        <f>IFERROR(__xludf.DUMMYFUNCTION("COUNTA(SPLIT(D2,"" ""))/COUNTA(SPLIT($B$2,"" ""))"),1.169811320754717)</f>
        <v>1.169811321</v>
      </c>
      <c r="F2" s="7">
        <v>5.0</v>
      </c>
      <c r="G2" s="7">
        <v>4.0</v>
      </c>
      <c r="H2" s="7">
        <v>4.0</v>
      </c>
      <c r="I2" s="7">
        <v>2.0</v>
      </c>
      <c r="J2" s="7">
        <v>5.0</v>
      </c>
      <c r="K2" s="57"/>
      <c r="L2" s="57"/>
      <c r="M2" s="57"/>
      <c r="N2" s="57"/>
      <c r="O2" s="57"/>
      <c r="P2" s="57"/>
      <c r="Q2" s="57"/>
      <c r="R2" s="57"/>
      <c r="S2" s="57"/>
      <c r="T2" s="57"/>
      <c r="U2" s="57"/>
      <c r="V2" s="57"/>
      <c r="W2" s="57"/>
      <c r="X2" s="57"/>
      <c r="Y2" s="57"/>
      <c r="Z2" s="57"/>
      <c r="AA2" s="57"/>
      <c r="AB2" s="57"/>
    </row>
    <row r="3" ht="225.0" customHeight="1">
      <c r="C3" s="7" t="s">
        <v>22</v>
      </c>
      <c r="D3" s="74" t="s">
        <v>124</v>
      </c>
      <c r="E3" s="76">
        <f>IFERROR(__xludf.DUMMYFUNCTION("COUNTA(SPLIT(D3,"" ""))/COUNTA(SPLIT($B$2,"" ""))"),0.5754716981132075)</f>
        <v>0.5754716981</v>
      </c>
      <c r="F3" s="7">
        <v>5.0</v>
      </c>
      <c r="G3" s="7">
        <v>4.0</v>
      </c>
      <c r="H3" s="7">
        <v>5.0</v>
      </c>
      <c r="I3" s="7">
        <v>3.0</v>
      </c>
      <c r="J3" s="7">
        <v>5.0</v>
      </c>
      <c r="K3" s="57"/>
      <c r="L3" s="57"/>
      <c r="M3" s="57"/>
      <c r="N3" s="57"/>
      <c r="O3" s="57"/>
      <c r="P3" s="57"/>
      <c r="Q3" s="57"/>
      <c r="R3" s="57"/>
      <c r="S3" s="57"/>
      <c r="T3" s="57"/>
      <c r="U3" s="57"/>
      <c r="V3" s="57"/>
      <c r="W3" s="57"/>
      <c r="X3" s="57"/>
      <c r="Y3" s="57"/>
      <c r="Z3" s="57"/>
      <c r="AA3" s="57"/>
      <c r="AB3" s="57"/>
    </row>
    <row r="4" ht="225.0" customHeight="1">
      <c r="C4" s="7" t="s">
        <v>8</v>
      </c>
      <c r="D4" s="74" t="s">
        <v>125</v>
      </c>
      <c r="E4" s="77">
        <f>IFERROR(__xludf.DUMMYFUNCTION("COUNTA(SPLIT(D4,"" ""))/COUNTA(SPLIT($B$2,"" ""))"),0.8301886792452831)</f>
        <v>0.8301886792</v>
      </c>
      <c r="F4" s="7">
        <v>2.0</v>
      </c>
      <c r="G4" s="7">
        <v>3.0</v>
      </c>
      <c r="H4" s="7">
        <v>5.0</v>
      </c>
      <c r="I4" s="7">
        <v>3.0</v>
      </c>
      <c r="J4" s="7">
        <v>5.0</v>
      </c>
      <c r="K4" s="57"/>
      <c r="L4" s="57"/>
      <c r="M4" s="57"/>
      <c r="N4" s="57"/>
      <c r="O4" s="57"/>
      <c r="P4" s="57"/>
      <c r="Q4" s="57"/>
      <c r="R4" s="57"/>
      <c r="S4" s="57"/>
      <c r="T4" s="57"/>
      <c r="U4" s="57"/>
      <c r="V4" s="57"/>
      <c r="W4" s="57"/>
      <c r="X4" s="57"/>
      <c r="Y4" s="57"/>
      <c r="Z4" s="57"/>
      <c r="AA4" s="57"/>
      <c r="AB4" s="57"/>
    </row>
    <row r="5" ht="225.0" customHeight="1">
      <c r="C5" s="7" t="s">
        <v>23</v>
      </c>
      <c r="D5" s="74" t="s">
        <v>126</v>
      </c>
      <c r="E5" s="77">
        <f>IFERROR(__xludf.DUMMYFUNCTION("COUNTA(SPLIT(D5,"" ""))/COUNTA(SPLIT($B$2,"" ""))"),0.5849056603773585)</f>
        <v>0.5849056604</v>
      </c>
      <c r="F5" s="7">
        <v>5.0</v>
      </c>
      <c r="G5" s="7">
        <v>4.0</v>
      </c>
      <c r="H5" s="7">
        <v>4.0</v>
      </c>
      <c r="I5" s="7">
        <v>4.0</v>
      </c>
      <c r="J5" s="7">
        <v>5.0</v>
      </c>
      <c r="K5" s="57"/>
      <c r="L5" s="57"/>
      <c r="M5" s="57"/>
      <c r="N5" s="57"/>
      <c r="O5" s="57"/>
      <c r="P5" s="57"/>
      <c r="Q5" s="57"/>
      <c r="R5" s="57"/>
      <c r="S5" s="57"/>
      <c r="T5" s="57"/>
      <c r="U5" s="57"/>
      <c r="V5" s="57"/>
      <c r="W5" s="57"/>
      <c r="X5" s="57"/>
      <c r="Y5" s="57"/>
      <c r="Z5" s="57"/>
      <c r="AA5" s="57"/>
      <c r="AB5" s="57"/>
    </row>
    <row r="6">
      <c r="A6" s="57"/>
      <c r="B6" s="57"/>
      <c r="C6" s="59"/>
      <c r="D6" s="78"/>
      <c r="E6" s="69"/>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39</v>
      </c>
      <c r="B7" s="63" t="s">
        <v>40</v>
      </c>
      <c r="C7" s="64" t="s">
        <v>21</v>
      </c>
      <c r="D7" s="79" t="s">
        <v>127</v>
      </c>
      <c r="E7" s="80">
        <f>IFERROR(__xludf.DUMMYFUNCTION("COUNTA(SPLIT(D7,"" ""))/COUNTA(SPLIT($B$7,"" ""))"),0.5155963302752293)</f>
        <v>0.5155963303</v>
      </c>
      <c r="F7" s="7">
        <v>4.0</v>
      </c>
      <c r="G7" s="7">
        <v>4.0</v>
      </c>
      <c r="H7" s="7">
        <v>4.0</v>
      </c>
      <c r="I7" s="7">
        <v>2.0</v>
      </c>
      <c r="J7" s="7">
        <v>5.0</v>
      </c>
      <c r="K7" s="67"/>
      <c r="L7" s="67"/>
      <c r="M7" s="67"/>
      <c r="N7" s="67"/>
      <c r="O7" s="67"/>
      <c r="P7" s="67"/>
      <c r="Q7" s="67"/>
      <c r="R7" s="67"/>
      <c r="S7" s="67"/>
      <c r="T7" s="67"/>
      <c r="U7" s="67"/>
      <c r="V7" s="67"/>
      <c r="W7" s="67"/>
      <c r="X7" s="67"/>
      <c r="Y7" s="67"/>
      <c r="Z7" s="67"/>
      <c r="AA7" s="67"/>
      <c r="AB7" s="67"/>
    </row>
    <row r="8" ht="225.0" customHeight="1">
      <c r="C8" s="7" t="s">
        <v>22</v>
      </c>
      <c r="D8" s="74" t="s">
        <v>128</v>
      </c>
      <c r="E8" s="75">
        <f>IFERROR(__xludf.DUMMYFUNCTION("COUNTA(SPLIT(D8,"" ""))/COUNTA(SPLIT($B$7,"" ""))"),0.1577981651376147)</f>
        <v>0.1577981651</v>
      </c>
      <c r="F8" s="7">
        <v>3.0</v>
      </c>
      <c r="G8" s="7">
        <v>5.0</v>
      </c>
      <c r="H8" s="7">
        <v>4.0</v>
      </c>
      <c r="I8" s="7">
        <v>3.0</v>
      </c>
      <c r="J8" s="7">
        <v>4.0</v>
      </c>
      <c r="K8" s="57"/>
      <c r="L8" s="57"/>
      <c r="M8" s="57"/>
      <c r="N8" s="57"/>
      <c r="O8" s="57"/>
      <c r="P8" s="57"/>
      <c r="Q8" s="57"/>
      <c r="R8" s="57"/>
      <c r="S8" s="57"/>
      <c r="T8" s="57"/>
      <c r="U8" s="57"/>
      <c r="V8" s="57"/>
      <c r="W8" s="57"/>
      <c r="X8" s="57"/>
      <c r="Y8" s="57"/>
      <c r="Z8" s="57"/>
      <c r="AA8" s="57"/>
      <c r="AB8" s="57"/>
    </row>
    <row r="9" ht="225.0" customHeight="1">
      <c r="C9" s="7" t="s">
        <v>8</v>
      </c>
      <c r="D9" s="74" t="s">
        <v>129</v>
      </c>
      <c r="E9" s="81">
        <f>IFERROR(__xludf.DUMMYFUNCTION("COUNTA(SPLIT(D9,"" ""))/COUNTA(SPLIT($B$7,"" ""))"),0.13211009174311927)</f>
        <v>0.1321100917</v>
      </c>
      <c r="F9" s="7">
        <v>2.0</v>
      </c>
      <c r="G9" s="7">
        <v>4.0</v>
      </c>
      <c r="H9" s="7">
        <v>4.0</v>
      </c>
      <c r="I9" s="7">
        <v>4.0</v>
      </c>
      <c r="J9" s="7">
        <v>3.0</v>
      </c>
      <c r="K9" s="57"/>
      <c r="L9" s="57"/>
      <c r="M9" s="57"/>
      <c r="N9" s="57"/>
      <c r="O9" s="57"/>
      <c r="P9" s="57"/>
      <c r="Q9" s="57"/>
      <c r="R9" s="57"/>
      <c r="S9" s="57"/>
      <c r="T9" s="57"/>
      <c r="U9" s="57"/>
      <c r="V9" s="57"/>
      <c r="W9" s="57"/>
      <c r="X9" s="57"/>
      <c r="Y9" s="57"/>
      <c r="Z9" s="57"/>
      <c r="AA9" s="57"/>
      <c r="AB9" s="57"/>
    </row>
    <row r="10" ht="225.0" customHeight="1">
      <c r="C10" s="7" t="s">
        <v>23</v>
      </c>
      <c r="D10" s="74" t="s">
        <v>130</v>
      </c>
      <c r="E10" s="82">
        <f>IFERROR(__xludf.DUMMYFUNCTION("COUNTA(SPLIT(D10,"" ""))/COUNTA(SPLIT($B$7,"" ""))"),0.12844036697247707)</f>
        <v>0.128440367</v>
      </c>
      <c r="F10" s="7">
        <v>4.0</v>
      </c>
      <c r="G10" s="7">
        <v>5.0</v>
      </c>
      <c r="H10" s="7">
        <v>4.0</v>
      </c>
      <c r="I10" s="7">
        <v>5.0</v>
      </c>
      <c r="J10" s="7">
        <v>5.0</v>
      </c>
      <c r="K10" s="57"/>
      <c r="L10" s="57"/>
      <c r="M10" s="57"/>
      <c r="N10" s="57"/>
      <c r="O10" s="57"/>
      <c r="P10" s="57"/>
      <c r="Q10" s="57"/>
      <c r="R10" s="57"/>
      <c r="S10" s="57"/>
      <c r="T10" s="57"/>
      <c r="U10" s="57"/>
      <c r="V10" s="57"/>
      <c r="W10" s="57"/>
      <c r="X10" s="57"/>
      <c r="Y10" s="57"/>
      <c r="Z10" s="57"/>
      <c r="AA10" s="57"/>
      <c r="AB10" s="57"/>
    </row>
    <row r="11">
      <c r="A11" s="57"/>
      <c r="B11" s="57"/>
      <c r="C11" s="59"/>
      <c r="D11" s="78"/>
      <c r="E11" s="69"/>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45</v>
      </c>
      <c r="B12" s="63" t="s">
        <v>46</v>
      </c>
      <c r="C12" s="64" t="s">
        <v>21</v>
      </c>
      <c r="D12" s="79" t="s">
        <v>131</v>
      </c>
      <c r="E12" s="83">
        <f>IFERROR(__xludf.DUMMYFUNCTION("COUNTA(SPLIT(D12,"" ""))/COUNTA(SPLIT($B$12,"" ""))"),0.811046511627907)</f>
        <v>0.8110465116</v>
      </c>
      <c r="F12" s="7">
        <v>4.0</v>
      </c>
      <c r="G12" s="7">
        <v>5.0</v>
      </c>
      <c r="H12" s="7">
        <v>4.0</v>
      </c>
      <c r="I12" s="7">
        <v>1.0</v>
      </c>
      <c r="J12" s="7">
        <v>5.0</v>
      </c>
      <c r="K12" s="67"/>
      <c r="L12" s="67"/>
      <c r="M12" s="67"/>
      <c r="N12" s="67"/>
      <c r="O12" s="67"/>
      <c r="P12" s="67"/>
      <c r="Q12" s="67"/>
      <c r="R12" s="67"/>
      <c r="S12" s="67"/>
      <c r="T12" s="67"/>
      <c r="U12" s="67"/>
      <c r="V12" s="67"/>
      <c r="W12" s="67"/>
      <c r="X12" s="67"/>
      <c r="Y12" s="67"/>
      <c r="Z12" s="67"/>
      <c r="AA12" s="67"/>
      <c r="AB12" s="67"/>
    </row>
    <row r="13" ht="225.0" customHeight="1">
      <c r="C13" s="7" t="s">
        <v>22</v>
      </c>
      <c r="D13" s="74" t="s">
        <v>132</v>
      </c>
      <c r="E13" s="84">
        <f>IFERROR(__xludf.DUMMYFUNCTION("COUNTA(SPLIT(D13,"" ""))/COUNTA(SPLIT($B$12,"" ""))"),0.20348837209302326)</f>
        <v>0.2034883721</v>
      </c>
      <c r="F13" s="7">
        <v>4.0</v>
      </c>
      <c r="G13" s="7">
        <v>4.0</v>
      </c>
      <c r="H13" s="7">
        <v>4.0</v>
      </c>
      <c r="I13" s="7">
        <v>3.0</v>
      </c>
      <c r="J13" s="7">
        <v>4.0</v>
      </c>
      <c r="K13" s="57"/>
      <c r="L13" s="57"/>
      <c r="M13" s="57"/>
      <c r="N13" s="57"/>
      <c r="O13" s="57"/>
      <c r="P13" s="57"/>
      <c r="Q13" s="57"/>
      <c r="R13" s="57"/>
      <c r="S13" s="57"/>
      <c r="T13" s="57"/>
      <c r="U13" s="57"/>
      <c r="V13" s="57"/>
      <c r="W13" s="57"/>
      <c r="X13" s="57"/>
      <c r="Y13" s="57"/>
      <c r="Z13" s="57"/>
      <c r="AA13" s="57"/>
      <c r="AB13" s="57"/>
    </row>
    <row r="14" ht="225.0" customHeight="1">
      <c r="C14" s="7" t="s">
        <v>8</v>
      </c>
      <c r="D14" s="74" t="s">
        <v>133</v>
      </c>
      <c r="E14" s="85">
        <f>IFERROR(__xludf.DUMMYFUNCTION("COUNTA(SPLIT(D14,"" ""))/COUNTA(SPLIT($B$12,"" ""))"),0.4331395348837209)</f>
        <v>0.4331395349</v>
      </c>
      <c r="F14" s="7">
        <v>3.0</v>
      </c>
      <c r="G14" s="7">
        <v>3.0</v>
      </c>
      <c r="H14" s="7">
        <v>4.0</v>
      </c>
      <c r="I14" s="7">
        <v>3.0</v>
      </c>
      <c r="J14" s="7">
        <v>5.0</v>
      </c>
      <c r="K14" s="57"/>
      <c r="L14" s="57"/>
      <c r="M14" s="57"/>
      <c r="N14" s="57"/>
      <c r="O14" s="57"/>
      <c r="P14" s="57"/>
      <c r="Q14" s="57"/>
      <c r="R14" s="57"/>
      <c r="S14" s="57"/>
      <c r="T14" s="57"/>
      <c r="U14" s="57"/>
      <c r="V14" s="57"/>
      <c r="W14" s="57"/>
      <c r="X14" s="57"/>
      <c r="Y14" s="57"/>
      <c r="Z14" s="57"/>
      <c r="AA14" s="57"/>
      <c r="AB14" s="57"/>
    </row>
    <row r="15" ht="225.0" customHeight="1">
      <c r="C15" s="7" t="s">
        <v>23</v>
      </c>
      <c r="D15" s="74" t="s">
        <v>134</v>
      </c>
      <c r="E15" s="86">
        <f>IFERROR(__xludf.DUMMYFUNCTION("COUNTA(SPLIT(D15,"" ""))/COUNTA(SPLIT($B$12,"" ""))"),0.19476744186046513)</f>
        <v>0.1947674419</v>
      </c>
      <c r="F15" s="7">
        <v>4.0</v>
      </c>
      <c r="G15" s="7">
        <v>5.0</v>
      </c>
      <c r="H15" s="7">
        <v>3.0</v>
      </c>
      <c r="I15" s="7">
        <v>5.0</v>
      </c>
      <c r="J15" s="7">
        <v>4.0</v>
      </c>
      <c r="K15" s="57"/>
      <c r="L15" s="57"/>
      <c r="M15" s="57"/>
      <c r="N15" s="57"/>
      <c r="O15" s="57"/>
      <c r="P15" s="57"/>
      <c r="Q15" s="57"/>
      <c r="R15" s="57"/>
      <c r="S15" s="57"/>
      <c r="T15" s="57"/>
      <c r="U15" s="57"/>
      <c r="V15" s="57"/>
      <c r="W15" s="57"/>
      <c r="X15" s="57"/>
      <c r="Y15" s="57"/>
      <c r="Z15" s="57"/>
      <c r="AA15" s="57"/>
      <c r="AB15" s="57"/>
    </row>
    <row r="16">
      <c r="A16" s="57"/>
      <c r="B16" s="57"/>
      <c r="C16" s="59"/>
      <c r="D16" s="78"/>
      <c r="E16" s="69"/>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51</v>
      </c>
      <c r="B17" s="63" t="s">
        <v>52</v>
      </c>
      <c r="C17" s="64" t="s">
        <v>21</v>
      </c>
      <c r="D17" s="79" t="s">
        <v>135</v>
      </c>
      <c r="E17" s="87">
        <f>IFERROR(__xludf.DUMMYFUNCTION("COUNTA(SPLIT(D17,"" ""))/COUNTA(SPLIT($B$17,"" ""))"),0.9067357512953368)</f>
        <v>0.9067357513</v>
      </c>
      <c r="F17" s="7">
        <v>4.0</v>
      </c>
      <c r="G17" s="7">
        <v>4.0</v>
      </c>
      <c r="H17" s="7">
        <v>5.0</v>
      </c>
      <c r="I17" s="7">
        <v>1.0</v>
      </c>
      <c r="J17" s="7">
        <v>5.0</v>
      </c>
      <c r="K17" s="67"/>
      <c r="L17" s="67"/>
      <c r="M17" s="67"/>
      <c r="N17" s="67"/>
      <c r="O17" s="67"/>
      <c r="P17" s="67"/>
      <c r="Q17" s="67"/>
      <c r="R17" s="67"/>
      <c r="S17" s="67"/>
      <c r="T17" s="67"/>
      <c r="U17" s="67"/>
      <c r="V17" s="67"/>
      <c r="W17" s="67"/>
      <c r="X17" s="67"/>
      <c r="Y17" s="67"/>
      <c r="Z17" s="67"/>
      <c r="AA17" s="67"/>
      <c r="AB17" s="67"/>
    </row>
    <row r="18" ht="225.0" customHeight="1">
      <c r="C18" s="7" t="s">
        <v>22</v>
      </c>
      <c r="D18" s="74" t="s">
        <v>136</v>
      </c>
      <c r="E18" s="82">
        <f>IFERROR(__xludf.DUMMYFUNCTION("COUNTA(SPLIT(D18,"" ""))/COUNTA(SPLIT($B$17,"" ""))"),0.3316062176165803)</f>
        <v>0.3316062176</v>
      </c>
      <c r="F18" s="7">
        <v>4.0</v>
      </c>
      <c r="G18" s="7">
        <v>4.0</v>
      </c>
      <c r="H18" s="7">
        <v>5.0</v>
      </c>
      <c r="I18" s="7">
        <v>3.0</v>
      </c>
      <c r="J18" s="7">
        <v>3.0</v>
      </c>
      <c r="K18" s="57"/>
      <c r="L18" s="57"/>
      <c r="M18" s="57"/>
      <c r="N18" s="57"/>
      <c r="O18" s="57"/>
      <c r="P18" s="57"/>
      <c r="Q18" s="57"/>
      <c r="R18" s="57"/>
      <c r="S18" s="57"/>
      <c r="T18" s="57"/>
      <c r="U18" s="57"/>
      <c r="V18" s="57"/>
      <c r="W18" s="57"/>
      <c r="X18" s="57"/>
      <c r="Y18" s="57"/>
      <c r="Z18" s="57"/>
      <c r="AA18" s="57"/>
      <c r="AB18" s="57"/>
    </row>
    <row r="19" ht="225.0" customHeight="1">
      <c r="C19" s="7" t="s">
        <v>8</v>
      </c>
      <c r="D19" s="74" t="s">
        <v>137</v>
      </c>
      <c r="E19" s="88">
        <f>IFERROR(__xludf.DUMMYFUNCTION("COUNTA(SPLIT(D19,"" ""))/COUNTA(SPLIT($B$17,"" ""))"),0.6113989637305699)</f>
        <v>0.6113989637</v>
      </c>
      <c r="F19" s="7">
        <v>3.0</v>
      </c>
      <c r="G19" s="7">
        <v>4.0</v>
      </c>
      <c r="H19" s="7">
        <v>5.0</v>
      </c>
      <c r="I19" s="7">
        <v>3.0</v>
      </c>
      <c r="J19" s="7">
        <v>5.0</v>
      </c>
      <c r="K19" s="57"/>
      <c r="L19" s="57"/>
      <c r="M19" s="57"/>
      <c r="N19" s="57"/>
      <c r="O19" s="57"/>
      <c r="P19" s="57"/>
      <c r="Q19" s="57"/>
      <c r="R19" s="57"/>
      <c r="S19" s="57"/>
      <c r="T19" s="57"/>
      <c r="U19" s="57"/>
      <c r="V19" s="57"/>
      <c r="W19" s="57"/>
      <c r="X19" s="57"/>
      <c r="Y19" s="57"/>
      <c r="Z19" s="57"/>
      <c r="AA19" s="57"/>
      <c r="AB19" s="57"/>
    </row>
    <row r="20" ht="225.0" customHeight="1">
      <c r="C20" s="7" t="s">
        <v>23</v>
      </c>
      <c r="D20" s="74" t="s">
        <v>138</v>
      </c>
      <c r="E20" s="89">
        <f>IFERROR(__xludf.DUMMYFUNCTION("COUNTA(SPLIT(D20,"" ""))/COUNTA(SPLIT($B$17,"" ""))"),0.35233160621761656)</f>
        <v>0.3523316062</v>
      </c>
      <c r="F20" s="7">
        <v>4.0</v>
      </c>
      <c r="G20" s="7">
        <v>4.0</v>
      </c>
      <c r="H20" s="7">
        <v>5.0</v>
      </c>
      <c r="I20" s="7">
        <v>4.0</v>
      </c>
      <c r="J20" s="7">
        <v>5.0</v>
      </c>
      <c r="K20" s="57"/>
      <c r="L20" s="57"/>
      <c r="M20" s="57"/>
      <c r="N20" s="57"/>
      <c r="O20" s="57"/>
      <c r="P20" s="57"/>
      <c r="Q20" s="57"/>
      <c r="R20" s="57"/>
      <c r="S20" s="57"/>
      <c r="T20" s="57"/>
      <c r="U20" s="57"/>
      <c r="V20" s="57"/>
      <c r="W20" s="57"/>
      <c r="X20" s="57"/>
      <c r="Y20" s="57"/>
      <c r="Z20" s="57"/>
      <c r="AA20" s="57"/>
      <c r="AB20" s="57"/>
    </row>
    <row r="21">
      <c r="A21" s="57"/>
      <c r="B21" s="57"/>
      <c r="C21" s="59"/>
      <c r="D21" s="78"/>
      <c r="E21" s="69"/>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57</v>
      </c>
      <c r="B22" s="63" t="s">
        <v>58</v>
      </c>
      <c r="C22" s="64" t="s">
        <v>21</v>
      </c>
      <c r="D22" s="79" t="s">
        <v>139</v>
      </c>
      <c r="E22" s="90">
        <f>IFERROR(__xludf.DUMMYFUNCTION("COUNTA(SPLIT(D22,"" ""))/COUNTA(SPLIT($B$22,"" ""))"),0.3463497453310696)</f>
        <v>0.3463497453</v>
      </c>
      <c r="F22" s="7">
        <v>4.0</v>
      </c>
      <c r="G22" s="7">
        <v>4.0</v>
      </c>
      <c r="H22" s="7">
        <v>5.0</v>
      </c>
      <c r="I22" s="7">
        <v>3.0</v>
      </c>
      <c r="J22" s="7">
        <v>5.0</v>
      </c>
      <c r="K22" s="67"/>
      <c r="L22" s="67"/>
      <c r="M22" s="67"/>
      <c r="N22" s="67"/>
      <c r="O22" s="67"/>
      <c r="P22" s="67"/>
      <c r="Q22" s="67"/>
      <c r="R22" s="67"/>
      <c r="S22" s="67"/>
      <c r="T22" s="67"/>
      <c r="U22" s="67"/>
      <c r="V22" s="67"/>
      <c r="W22" s="67"/>
      <c r="X22" s="67"/>
      <c r="Y22" s="67"/>
      <c r="Z22" s="67"/>
      <c r="AA22" s="67"/>
      <c r="AB22" s="67"/>
    </row>
    <row r="23" ht="225.0" customHeight="1">
      <c r="C23" s="7" t="s">
        <v>22</v>
      </c>
      <c r="D23" s="74" t="s">
        <v>140</v>
      </c>
      <c r="E23" s="84">
        <f>IFERROR(__xludf.DUMMYFUNCTION("COUNTA(SPLIT(D23,"" ""))/COUNTA(SPLIT($B$22,"" ""))"),0.15449915110356535)</f>
        <v>0.1544991511</v>
      </c>
      <c r="F23" s="7">
        <v>4.0</v>
      </c>
      <c r="G23" s="7">
        <v>4.0</v>
      </c>
      <c r="H23" s="7">
        <v>5.0</v>
      </c>
      <c r="I23" s="7">
        <v>3.0</v>
      </c>
      <c r="J23" s="7">
        <v>3.0</v>
      </c>
      <c r="K23" s="57"/>
      <c r="L23" s="57"/>
      <c r="M23" s="57"/>
      <c r="N23" s="57"/>
      <c r="O23" s="57"/>
      <c r="P23" s="57"/>
      <c r="Q23" s="57"/>
      <c r="R23" s="57"/>
      <c r="S23" s="57"/>
      <c r="T23" s="57"/>
      <c r="U23" s="57"/>
      <c r="V23" s="57"/>
      <c r="W23" s="57"/>
      <c r="X23" s="57"/>
      <c r="Y23" s="57"/>
      <c r="Z23" s="57"/>
      <c r="AA23" s="57"/>
      <c r="AB23" s="57"/>
    </row>
    <row r="24" ht="225.0" customHeight="1">
      <c r="C24" s="7" t="s">
        <v>8</v>
      </c>
      <c r="D24" s="74" t="s">
        <v>141</v>
      </c>
      <c r="E24" s="91">
        <f>IFERROR(__xludf.DUMMYFUNCTION("COUNTA(SPLIT(D24,"" ""))/COUNTA(SPLIT($B$22,"" ""))"),0.29711375212224106)</f>
        <v>0.2971137521</v>
      </c>
      <c r="F24" s="7">
        <v>3.0</v>
      </c>
      <c r="G24" s="7">
        <v>5.0</v>
      </c>
      <c r="H24" s="7">
        <v>5.0</v>
      </c>
      <c r="I24" s="7">
        <v>3.0</v>
      </c>
      <c r="J24" s="7">
        <v>4.0</v>
      </c>
      <c r="K24" s="57"/>
      <c r="L24" s="57"/>
      <c r="M24" s="57"/>
      <c r="N24" s="57"/>
      <c r="O24" s="57"/>
      <c r="P24" s="57"/>
      <c r="Q24" s="57"/>
      <c r="R24" s="57"/>
      <c r="S24" s="57"/>
      <c r="T24" s="57"/>
      <c r="U24" s="57"/>
      <c r="V24" s="57"/>
      <c r="W24" s="57"/>
      <c r="X24" s="57"/>
      <c r="Y24" s="57"/>
      <c r="Z24" s="57"/>
      <c r="AA24" s="57"/>
      <c r="AB24" s="57"/>
    </row>
    <row r="25" ht="225.0" customHeight="1">
      <c r="C25" s="7" t="s">
        <v>23</v>
      </c>
      <c r="D25" s="74" t="s">
        <v>142</v>
      </c>
      <c r="E25" s="92">
        <f>IFERROR(__xludf.DUMMYFUNCTION("COUNTA(SPLIT(D25,"" ""))/COUNTA(SPLIT($B$22,"" ""))"),0.1460101867572156)</f>
        <v>0.1460101868</v>
      </c>
      <c r="F25" s="7">
        <v>4.0</v>
      </c>
      <c r="G25" s="7">
        <v>5.0</v>
      </c>
      <c r="H25" s="7">
        <v>4.0</v>
      </c>
      <c r="I25" s="7">
        <v>4.0</v>
      </c>
      <c r="J25" s="7">
        <v>3.0</v>
      </c>
      <c r="K25" s="57"/>
      <c r="L25" s="57"/>
      <c r="M25" s="57"/>
      <c r="N25" s="57"/>
      <c r="O25" s="57"/>
      <c r="P25" s="57"/>
      <c r="Q25" s="57"/>
      <c r="R25" s="57"/>
      <c r="S25" s="57"/>
      <c r="T25" s="57"/>
      <c r="U25" s="57"/>
      <c r="V25" s="57"/>
      <c r="W25" s="57"/>
      <c r="X25" s="57"/>
      <c r="Y25" s="57"/>
      <c r="Z25" s="57"/>
      <c r="AA25" s="57"/>
      <c r="AB25" s="57"/>
    </row>
    <row r="26">
      <c r="A26" s="57"/>
      <c r="B26" s="57"/>
      <c r="C26" s="59"/>
      <c r="D26" s="78"/>
      <c r="E26" s="69"/>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8"/>
      <c r="E27" s="6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8"/>
      <c r="E28" s="6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8"/>
      <c r="E29" s="6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8"/>
      <c r="E30" s="6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8"/>
      <c r="E31" s="6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8"/>
      <c r="E32" s="6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8"/>
      <c r="E33" s="6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8"/>
      <c r="E34" s="6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8"/>
      <c r="E35" s="6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8"/>
      <c r="E36" s="6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8"/>
      <c r="E37" s="6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8"/>
      <c r="E38" s="6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8"/>
      <c r="E39" s="6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8"/>
      <c r="E40" s="6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8"/>
      <c r="E41" s="6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8"/>
      <c r="E42" s="6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8"/>
      <c r="E43" s="6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8"/>
      <c r="E44" s="6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8"/>
      <c r="E45" s="6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8"/>
      <c r="E46" s="6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8"/>
      <c r="E47" s="6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8"/>
      <c r="E48" s="6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8"/>
      <c r="E49" s="6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8"/>
      <c r="E50" s="6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8"/>
      <c r="E51" s="6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8"/>
      <c r="E52" s="6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8"/>
      <c r="E53" s="6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8"/>
      <c r="E54" s="6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8"/>
      <c r="E55" s="6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8"/>
      <c r="E56" s="6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8"/>
      <c r="E57" s="6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8"/>
      <c r="E58" s="6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8"/>
      <c r="E59" s="6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8"/>
      <c r="E60" s="6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8"/>
      <c r="E61" s="6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8"/>
      <c r="E62" s="6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8"/>
      <c r="E63" s="6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8"/>
      <c r="E64" s="6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8"/>
      <c r="E65" s="6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8"/>
      <c r="E66" s="6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8"/>
      <c r="E67" s="6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8"/>
      <c r="E68" s="6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8"/>
      <c r="E69" s="6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8"/>
      <c r="E70" s="6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8"/>
      <c r="E71" s="6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8"/>
      <c r="E72" s="6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8"/>
      <c r="E73" s="6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8"/>
      <c r="E74" s="6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8"/>
      <c r="E75" s="6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8"/>
      <c r="E76" s="6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8"/>
      <c r="E77" s="6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8"/>
      <c r="E78" s="6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8"/>
      <c r="E79" s="6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8"/>
      <c r="E80" s="6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8"/>
      <c r="E81" s="6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8"/>
      <c r="E82" s="6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8"/>
      <c r="E83" s="6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8"/>
      <c r="E84" s="6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8"/>
      <c r="E85" s="6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8"/>
      <c r="E86" s="6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8"/>
      <c r="E87" s="6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8"/>
      <c r="E88" s="6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8"/>
      <c r="E89" s="6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8"/>
      <c r="E90" s="6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8"/>
      <c r="E91" s="6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8"/>
      <c r="E92" s="6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8"/>
      <c r="E93" s="6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8"/>
      <c r="E94" s="6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8"/>
      <c r="E95" s="6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8"/>
      <c r="E96" s="6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8"/>
      <c r="E97" s="6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8"/>
      <c r="E98" s="6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8"/>
      <c r="E99" s="6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8"/>
      <c r="E100" s="6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8"/>
      <c r="E101" s="6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8"/>
      <c r="E102" s="6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8"/>
      <c r="E103" s="6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8"/>
      <c r="E104" s="6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8"/>
      <c r="E105" s="6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8"/>
      <c r="E106" s="6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8"/>
      <c r="E107" s="6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8"/>
      <c r="E108" s="6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8"/>
      <c r="E109" s="6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8"/>
      <c r="E110" s="6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8"/>
      <c r="E111" s="6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8"/>
      <c r="E112" s="6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8"/>
      <c r="E113" s="6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8"/>
      <c r="E114" s="6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8"/>
      <c r="E115" s="6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8"/>
      <c r="E116" s="6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8"/>
      <c r="E117" s="6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8"/>
      <c r="E118" s="6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8"/>
      <c r="E119" s="6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8"/>
      <c r="E120" s="6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8"/>
      <c r="E121" s="6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8"/>
      <c r="E122" s="6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8"/>
      <c r="E123" s="6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8"/>
      <c r="E124" s="6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8"/>
      <c r="E125" s="6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8"/>
      <c r="E126" s="6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8"/>
      <c r="E127" s="6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8"/>
      <c r="E128" s="6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8"/>
      <c r="E129" s="6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8"/>
      <c r="E130" s="6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8"/>
      <c r="E131" s="6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8"/>
      <c r="E132" s="6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8"/>
      <c r="E133" s="6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8"/>
      <c r="E134" s="6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8"/>
      <c r="E135" s="6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8"/>
      <c r="E136" s="6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8"/>
      <c r="E137" s="6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8"/>
      <c r="E138" s="6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8"/>
      <c r="E139" s="6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8"/>
      <c r="E140" s="6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8"/>
      <c r="E141" s="6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8"/>
      <c r="E142" s="6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8"/>
      <c r="E143" s="6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8"/>
      <c r="E144" s="6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8"/>
      <c r="E145" s="6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8"/>
      <c r="E146" s="6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8"/>
      <c r="E147" s="6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8"/>
      <c r="E148" s="6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8"/>
      <c r="E149" s="6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8"/>
      <c r="E150" s="6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8"/>
      <c r="E151" s="6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8"/>
      <c r="E152" s="6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8"/>
      <c r="E153" s="6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8"/>
      <c r="E154" s="6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8"/>
      <c r="E155" s="6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8"/>
      <c r="E156" s="6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8"/>
      <c r="E157" s="6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8"/>
      <c r="E158" s="6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8"/>
      <c r="E159" s="6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8"/>
      <c r="E160" s="6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8"/>
      <c r="E161" s="6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8"/>
      <c r="E162" s="6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8"/>
      <c r="E163" s="6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8"/>
      <c r="E164" s="6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8"/>
      <c r="E165" s="6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8"/>
      <c r="E166" s="6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8"/>
      <c r="E167" s="6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8"/>
      <c r="E168" s="6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8"/>
      <c r="E169" s="6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8"/>
      <c r="E170" s="6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8"/>
      <c r="E171" s="6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8"/>
      <c r="E172" s="6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8"/>
      <c r="E173" s="6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8"/>
      <c r="E174" s="6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8"/>
      <c r="E175" s="6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8"/>
      <c r="E176" s="6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8"/>
      <c r="E177" s="6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8"/>
      <c r="E178" s="6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8"/>
      <c r="E179" s="6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8"/>
      <c r="E180" s="6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8"/>
      <c r="E181" s="6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8"/>
      <c r="E182" s="6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8"/>
      <c r="E183" s="6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8"/>
      <c r="E184" s="6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8"/>
      <c r="E185" s="6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8"/>
      <c r="E186" s="6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8"/>
      <c r="E187" s="6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8"/>
      <c r="E188" s="6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8"/>
      <c r="E189" s="6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8"/>
      <c r="E190" s="6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8"/>
      <c r="E191" s="6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8"/>
      <c r="E192" s="6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8"/>
      <c r="E193" s="6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8"/>
      <c r="E194" s="6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8"/>
      <c r="E195" s="6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8"/>
      <c r="E196" s="6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8"/>
      <c r="E197" s="6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8"/>
      <c r="E198" s="6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8"/>
      <c r="E199" s="6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8"/>
      <c r="E200" s="6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8"/>
      <c r="E201" s="6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8"/>
      <c r="E202" s="6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8"/>
      <c r="E203" s="6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8"/>
      <c r="E204" s="6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8"/>
      <c r="E205" s="6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8"/>
      <c r="E206" s="6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8"/>
      <c r="E207" s="6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8"/>
      <c r="E208" s="6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8"/>
      <c r="E209" s="6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8"/>
      <c r="E210" s="6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8"/>
      <c r="E211" s="6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8"/>
      <c r="E212" s="6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8"/>
      <c r="E213" s="6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8"/>
      <c r="E214" s="6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8"/>
      <c r="E215" s="6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8"/>
      <c r="E216" s="6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8"/>
      <c r="E217" s="6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8"/>
      <c r="E218" s="6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8"/>
      <c r="E219" s="6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8"/>
      <c r="E220" s="6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8"/>
      <c r="E221" s="6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8"/>
      <c r="E222" s="6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8"/>
      <c r="E223" s="6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8"/>
      <c r="E224" s="6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8"/>
      <c r="E225" s="6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8"/>
      <c r="E226" s="6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8"/>
      <c r="E227" s="6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8"/>
      <c r="E228" s="6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8"/>
      <c r="E229" s="6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8"/>
      <c r="E230" s="6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8"/>
      <c r="E231" s="6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8"/>
      <c r="E232" s="6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8"/>
      <c r="E233" s="6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8"/>
      <c r="E234" s="6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8"/>
      <c r="E235" s="6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8"/>
      <c r="E236" s="6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8"/>
      <c r="E237" s="6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8"/>
      <c r="E238" s="6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8"/>
      <c r="E239" s="6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8"/>
      <c r="E240" s="6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8"/>
      <c r="E241" s="6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8"/>
      <c r="E242" s="6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8"/>
      <c r="E243" s="6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8"/>
      <c r="E244" s="6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8"/>
      <c r="E245" s="6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8"/>
      <c r="E246" s="6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8"/>
      <c r="E247" s="6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8"/>
      <c r="E248" s="6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8"/>
      <c r="E249" s="6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8"/>
      <c r="E250" s="6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8"/>
      <c r="E251" s="6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8"/>
      <c r="E252" s="6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8"/>
      <c r="E253" s="6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8"/>
      <c r="E254" s="6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8"/>
      <c r="E255" s="6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8"/>
      <c r="E256" s="6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8"/>
      <c r="E257" s="6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8"/>
      <c r="E258" s="6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8"/>
      <c r="E259" s="6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8"/>
      <c r="E260" s="6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8"/>
      <c r="E261" s="6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8"/>
      <c r="E262" s="6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8"/>
      <c r="E263" s="6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8"/>
      <c r="E264" s="6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8"/>
      <c r="E265" s="6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8"/>
      <c r="E266" s="6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8"/>
      <c r="E267" s="6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8"/>
      <c r="E268" s="6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8"/>
      <c r="E269" s="6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8"/>
      <c r="E270" s="6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8"/>
      <c r="E271" s="6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8"/>
      <c r="E272" s="6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8"/>
      <c r="E273" s="6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8"/>
      <c r="E274" s="6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8"/>
      <c r="E275" s="6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8"/>
      <c r="E276" s="6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8"/>
      <c r="E277" s="6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8"/>
      <c r="E278" s="6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8"/>
      <c r="E279" s="6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8"/>
      <c r="E280" s="6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8"/>
      <c r="E281" s="6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8"/>
      <c r="E282" s="6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8"/>
      <c r="E283" s="6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8"/>
      <c r="E284" s="6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8"/>
      <c r="E285" s="6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8"/>
      <c r="E286" s="6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8"/>
      <c r="E287" s="6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8"/>
      <c r="E288" s="6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8"/>
      <c r="E289" s="6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8"/>
      <c r="E290" s="6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8"/>
      <c r="E291" s="6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8"/>
      <c r="E292" s="6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8"/>
      <c r="E293" s="6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8"/>
      <c r="E294" s="6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8"/>
      <c r="E295" s="6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8"/>
      <c r="E296" s="6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8"/>
      <c r="E297" s="6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8"/>
      <c r="E298" s="6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8"/>
      <c r="E299" s="6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8"/>
      <c r="E300" s="6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8"/>
      <c r="E301" s="6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8"/>
      <c r="E302" s="6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8"/>
      <c r="E303" s="6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8"/>
      <c r="E304" s="6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8"/>
      <c r="E305" s="6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8"/>
      <c r="E306" s="6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8"/>
      <c r="E307" s="6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8"/>
      <c r="E308" s="6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8"/>
      <c r="E309" s="6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8"/>
      <c r="E310" s="6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8"/>
      <c r="E311" s="6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8"/>
      <c r="E312" s="6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8"/>
      <c r="E313" s="6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8"/>
      <c r="E314" s="6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8"/>
      <c r="E315" s="6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8"/>
      <c r="E316" s="6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8"/>
      <c r="E317" s="6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8"/>
      <c r="E318" s="6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8"/>
      <c r="E319" s="6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8"/>
      <c r="E320" s="6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8"/>
      <c r="E321" s="6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8"/>
      <c r="E322" s="6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8"/>
      <c r="E323" s="6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8"/>
      <c r="E324" s="6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8"/>
      <c r="E325" s="6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8"/>
      <c r="E326" s="6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8"/>
      <c r="E327" s="6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8"/>
      <c r="E328" s="6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8"/>
      <c r="E329" s="6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8"/>
      <c r="E330" s="6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8"/>
      <c r="E331" s="6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8"/>
      <c r="E332" s="6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8"/>
      <c r="E333" s="6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8"/>
      <c r="E334" s="6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8"/>
      <c r="E335" s="6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8"/>
      <c r="E336" s="6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8"/>
      <c r="E337" s="6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8"/>
      <c r="E338" s="6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8"/>
      <c r="E339" s="6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8"/>
      <c r="E340" s="6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8"/>
      <c r="E341" s="6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8"/>
      <c r="E342" s="6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8"/>
      <c r="E343" s="6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8"/>
      <c r="E344" s="6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8"/>
      <c r="E345" s="6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8"/>
      <c r="E346" s="6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8"/>
      <c r="E347" s="6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8"/>
      <c r="E348" s="6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8"/>
      <c r="E349" s="6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8"/>
      <c r="E350" s="6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8"/>
      <c r="E351" s="6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8"/>
      <c r="E352" s="6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8"/>
      <c r="E353" s="6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8"/>
      <c r="E354" s="6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8"/>
      <c r="E355" s="6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8"/>
      <c r="E356" s="6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8"/>
      <c r="E357" s="6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8"/>
      <c r="E358" s="6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8"/>
      <c r="E359" s="6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8"/>
      <c r="E360" s="6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8"/>
      <c r="E361" s="6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8"/>
      <c r="E362" s="6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8"/>
      <c r="E363" s="6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8"/>
      <c r="E364" s="6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8"/>
      <c r="E365" s="6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8"/>
      <c r="E366" s="6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8"/>
      <c r="E367" s="6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8"/>
      <c r="E368" s="6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8"/>
      <c r="E369" s="6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8"/>
      <c r="E370" s="6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8"/>
      <c r="E371" s="6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8"/>
      <c r="E372" s="6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8"/>
      <c r="E373" s="6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8"/>
      <c r="E374" s="6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8"/>
      <c r="E375" s="6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8"/>
      <c r="E376" s="6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8"/>
      <c r="E377" s="6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8"/>
      <c r="E378" s="6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8"/>
      <c r="E379" s="6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8"/>
      <c r="E380" s="6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8"/>
      <c r="E381" s="6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8"/>
      <c r="E382" s="6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8"/>
      <c r="E383" s="6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8"/>
      <c r="E384" s="6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8"/>
      <c r="E385" s="6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8"/>
      <c r="E386" s="6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8"/>
      <c r="E387" s="6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8"/>
      <c r="E388" s="6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8"/>
      <c r="E389" s="6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8"/>
      <c r="E390" s="6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8"/>
      <c r="E391" s="6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8"/>
      <c r="E392" s="6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8"/>
      <c r="E393" s="6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8"/>
      <c r="E394" s="6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8"/>
      <c r="E395" s="6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8"/>
      <c r="E396" s="6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8"/>
      <c r="E397" s="6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8"/>
      <c r="E398" s="6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8"/>
      <c r="E399" s="6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8"/>
      <c r="E400" s="6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8"/>
      <c r="E401" s="6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8"/>
      <c r="E402" s="6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8"/>
      <c r="E403" s="6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8"/>
      <c r="E404" s="6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8"/>
      <c r="E405" s="6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8"/>
      <c r="E406" s="6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8"/>
      <c r="E407" s="6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8"/>
      <c r="E408" s="6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8"/>
      <c r="E409" s="6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8"/>
      <c r="E410" s="6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8"/>
      <c r="E411" s="6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8"/>
      <c r="E412" s="6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8"/>
      <c r="E413" s="6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8"/>
      <c r="E414" s="6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8"/>
      <c r="E415" s="6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8"/>
      <c r="E416" s="6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8"/>
      <c r="E417" s="6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8"/>
      <c r="E418" s="6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8"/>
      <c r="E419" s="6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8"/>
      <c r="E420" s="6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8"/>
      <c r="E421" s="6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8"/>
      <c r="E422" s="6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8"/>
      <c r="E423" s="6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8"/>
      <c r="E424" s="6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8"/>
      <c r="E425" s="6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8"/>
      <c r="E426" s="6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8"/>
      <c r="E427" s="6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8"/>
      <c r="E428" s="6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8"/>
      <c r="E429" s="6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8"/>
      <c r="E430" s="6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8"/>
      <c r="E431" s="6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8"/>
      <c r="E432" s="6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8"/>
      <c r="E433" s="6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8"/>
      <c r="E434" s="6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8"/>
      <c r="E435" s="6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8"/>
      <c r="E436" s="6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8"/>
      <c r="E437" s="6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8"/>
      <c r="E438" s="6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8"/>
      <c r="E439" s="6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8"/>
      <c r="E440" s="6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8"/>
      <c r="E441" s="6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8"/>
      <c r="E442" s="6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8"/>
      <c r="E443" s="6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8"/>
      <c r="E444" s="6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8"/>
      <c r="E445" s="6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8"/>
      <c r="E446" s="6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8"/>
      <c r="E447" s="6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8"/>
      <c r="E448" s="6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8"/>
      <c r="E449" s="6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8"/>
      <c r="E450" s="6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8"/>
      <c r="E451" s="6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8"/>
      <c r="E452" s="6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8"/>
      <c r="E453" s="6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8"/>
      <c r="E454" s="6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8"/>
      <c r="E455" s="6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8"/>
      <c r="E456" s="6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8"/>
      <c r="E457" s="6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8"/>
      <c r="E458" s="6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8"/>
      <c r="E459" s="6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8"/>
      <c r="E460" s="6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8"/>
      <c r="E461" s="6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8"/>
      <c r="E462" s="6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8"/>
      <c r="E463" s="6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8"/>
      <c r="E464" s="6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8"/>
      <c r="E465" s="6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8"/>
      <c r="E466" s="6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8"/>
      <c r="E467" s="6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8"/>
      <c r="E468" s="6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8"/>
      <c r="E469" s="6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8"/>
      <c r="E470" s="6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8"/>
      <c r="E471" s="6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8"/>
      <c r="E472" s="6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8"/>
      <c r="E473" s="6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8"/>
      <c r="E474" s="6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8"/>
      <c r="E475" s="6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8"/>
      <c r="E476" s="6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8"/>
      <c r="E477" s="6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8"/>
      <c r="E478" s="6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8"/>
      <c r="E479" s="6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8"/>
      <c r="E480" s="6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8"/>
      <c r="E481" s="6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8"/>
      <c r="E482" s="6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8"/>
      <c r="E483" s="6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8"/>
      <c r="E484" s="6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8"/>
      <c r="E485" s="6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8"/>
      <c r="E486" s="6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8"/>
      <c r="E487" s="6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8"/>
      <c r="E488" s="6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8"/>
      <c r="E489" s="6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8"/>
      <c r="E490" s="6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8"/>
      <c r="E491" s="6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8"/>
      <c r="E492" s="6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8"/>
      <c r="E493" s="6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8"/>
      <c r="E494" s="6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8"/>
      <c r="E495" s="6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8"/>
      <c r="E496" s="6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8"/>
      <c r="E497" s="6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8"/>
      <c r="E498" s="6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8"/>
      <c r="E499" s="6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8"/>
      <c r="E500" s="6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8"/>
      <c r="E501" s="6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8"/>
      <c r="E502" s="6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8"/>
      <c r="E503" s="6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8"/>
      <c r="E504" s="6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8"/>
      <c r="E505" s="6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8"/>
      <c r="E506" s="6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8"/>
      <c r="E507" s="6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8"/>
      <c r="E508" s="6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8"/>
      <c r="E509" s="6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8"/>
      <c r="E510" s="6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8"/>
      <c r="E511" s="6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8"/>
      <c r="E512" s="6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8"/>
      <c r="E513" s="6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8"/>
      <c r="E514" s="6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8"/>
      <c r="E515" s="6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8"/>
      <c r="E516" s="6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8"/>
      <c r="E517" s="6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8"/>
      <c r="E518" s="6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8"/>
      <c r="E519" s="6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8"/>
      <c r="E520" s="6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8"/>
      <c r="E521" s="6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8"/>
      <c r="E522" s="6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8"/>
      <c r="E523" s="6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8"/>
      <c r="E524" s="6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8"/>
      <c r="E525" s="6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8"/>
      <c r="E526" s="6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8"/>
      <c r="E527" s="6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8"/>
      <c r="E528" s="6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8"/>
      <c r="E529" s="6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8"/>
      <c r="E530" s="6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8"/>
      <c r="E531" s="6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8"/>
      <c r="E532" s="6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8"/>
      <c r="E533" s="6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8"/>
      <c r="E534" s="6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8"/>
      <c r="E535" s="6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8"/>
      <c r="E536" s="6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8"/>
      <c r="E537" s="6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8"/>
      <c r="E538" s="6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8"/>
      <c r="E539" s="6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8"/>
      <c r="E540" s="6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8"/>
      <c r="E541" s="6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8"/>
      <c r="E542" s="6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8"/>
      <c r="E543" s="6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8"/>
      <c r="E544" s="6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8"/>
      <c r="E545" s="6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8"/>
      <c r="E546" s="6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8"/>
      <c r="E547" s="6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8"/>
      <c r="E548" s="6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8"/>
      <c r="E549" s="6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8"/>
      <c r="E550" s="6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8"/>
      <c r="E551" s="6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8"/>
      <c r="E552" s="6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8"/>
      <c r="E553" s="6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8"/>
      <c r="E554" s="6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8"/>
      <c r="E555" s="6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8"/>
      <c r="E556" s="6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8"/>
      <c r="E557" s="6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8"/>
      <c r="E558" s="6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8"/>
      <c r="E559" s="6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8"/>
      <c r="E560" s="6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8"/>
      <c r="E561" s="6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8"/>
      <c r="E562" s="6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8"/>
      <c r="E563" s="6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8"/>
      <c r="E564" s="6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8"/>
      <c r="E565" s="6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8"/>
      <c r="E566" s="6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8"/>
      <c r="E567" s="6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8"/>
      <c r="E568" s="6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8"/>
      <c r="E569" s="6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8"/>
      <c r="E570" s="6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8"/>
      <c r="E571" s="6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8"/>
      <c r="E572" s="6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8"/>
      <c r="E573" s="6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8"/>
      <c r="E574" s="6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8"/>
      <c r="E575" s="6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8"/>
      <c r="E576" s="6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8"/>
      <c r="E577" s="6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8"/>
      <c r="E578" s="6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8"/>
      <c r="E579" s="6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8"/>
      <c r="E580" s="6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8"/>
      <c r="E581" s="6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8"/>
      <c r="E582" s="6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8"/>
      <c r="E583" s="6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8"/>
      <c r="E584" s="6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8"/>
      <c r="E585" s="6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8"/>
      <c r="E586" s="6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8"/>
      <c r="E587" s="6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8"/>
      <c r="E588" s="6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8"/>
      <c r="E589" s="6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8"/>
      <c r="E590" s="6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8"/>
      <c r="E591" s="6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8"/>
      <c r="E592" s="6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8"/>
      <c r="E593" s="6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8"/>
      <c r="E594" s="6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8"/>
      <c r="E595" s="6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8"/>
      <c r="E596" s="6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8"/>
      <c r="E597" s="6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8"/>
      <c r="E598" s="6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8"/>
      <c r="E599" s="6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8"/>
      <c r="E600" s="6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8"/>
      <c r="E601" s="6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8"/>
      <c r="E602" s="6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8"/>
      <c r="E603" s="6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8"/>
      <c r="E604" s="6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8"/>
      <c r="E605" s="6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8"/>
      <c r="E606" s="6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8"/>
      <c r="E607" s="6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8"/>
      <c r="E608" s="6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8"/>
      <c r="E609" s="6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8"/>
      <c r="E610" s="6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8"/>
      <c r="E611" s="6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8"/>
      <c r="E612" s="6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8"/>
      <c r="E613" s="6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8"/>
      <c r="E614" s="6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8"/>
      <c r="E615" s="6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8"/>
      <c r="E616" s="6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8"/>
      <c r="E617" s="6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8"/>
      <c r="E618" s="6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8"/>
      <c r="E619" s="6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8"/>
      <c r="E620" s="6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8"/>
      <c r="E621" s="6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8"/>
      <c r="E622" s="6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8"/>
      <c r="E623" s="6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8"/>
      <c r="E624" s="6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8"/>
      <c r="E625" s="6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8"/>
      <c r="E626" s="6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8"/>
      <c r="E627" s="6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8"/>
      <c r="E628" s="6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8"/>
      <c r="E629" s="6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8"/>
      <c r="E630" s="6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8"/>
      <c r="E631" s="6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8"/>
      <c r="E632" s="6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8"/>
      <c r="E633" s="6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8"/>
      <c r="E634" s="6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8"/>
      <c r="E635" s="6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8"/>
      <c r="E636" s="6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8"/>
      <c r="E637" s="6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8"/>
      <c r="E638" s="6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8"/>
      <c r="E639" s="6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8"/>
      <c r="E640" s="6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8"/>
      <c r="E641" s="6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8"/>
      <c r="E642" s="6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8"/>
      <c r="E643" s="6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8"/>
      <c r="E644" s="6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8"/>
      <c r="E645" s="6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8"/>
      <c r="E646" s="6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8"/>
      <c r="E647" s="6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8"/>
      <c r="E648" s="6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8"/>
      <c r="E649" s="6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8"/>
      <c r="E650" s="6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8"/>
      <c r="E651" s="6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8"/>
      <c r="E652" s="6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8"/>
      <c r="E653" s="6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8"/>
      <c r="E654" s="6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8"/>
      <c r="E655" s="6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8"/>
      <c r="E656" s="6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8"/>
      <c r="E657" s="6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8"/>
      <c r="E658" s="6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8"/>
      <c r="E659" s="6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8"/>
      <c r="E660" s="6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8"/>
      <c r="E661" s="6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8"/>
      <c r="E662" s="6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8"/>
      <c r="E663" s="6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8"/>
      <c r="E664" s="6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8"/>
      <c r="E665" s="6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8"/>
      <c r="E666" s="6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8"/>
      <c r="E667" s="6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8"/>
      <c r="E668" s="6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8"/>
      <c r="E669" s="6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8"/>
      <c r="E670" s="6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8"/>
      <c r="E671" s="6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8"/>
      <c r="E672" s="6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8"/>
      <c r="E673" s="6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8"/>
      <c r="E674" s="6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8"/>
      <c r="E675" s="6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8"/>
      <c r="E676" s="6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8"/>
      <c r="E677" s="6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8"/>
      <c r="E678" s="6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8"/>
      <c r="E679" s="6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8"/>
      <c r="E680" s="6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8"/>
      <c r="E681" s="6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8"/>
      <c r="E682" s="6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8"/>
      <c r="E683" s="6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8"/>
      <c r="E684" s="6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8"/>
      <c r="E685" s="6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8"/>
      <c r="E686" s="6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8"/>
      <c r="E687" s="6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8"/>
      <c r="E688" s="6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8"/>
      <c r="E689" s="6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8"/>
      <c r="E690" s="6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8"/>
      <c r="E691" s="6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8"/>
      <c r="E692" s="6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8"/>
      <c r="E693" s="6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8"/>
      <c r="E694" s="6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8"/>
      <c r="E695" s="6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8"/>
      <c r="E696" s="6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8"/>
      <c r="E697" s="6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8"/>
      <c r="E698" s="6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8"/>
      <c r="E699" s="6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8"/>
      <c r="E700" s="6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8"/>
      <c r="E701" s="6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8"/>
      <c r="E702" s="6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8"/>
      <c r="E703" s="6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8"/>
      <c r="E704" s="6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8"/>
      <c r="E705" s="6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8"/>
      <c r="E706" s="6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8"/>
      <c r="E707" s="6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8"/>
      <c r="E708" s="6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8"/>
      <c r="E709" s="6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8"/>
      <c r="E710" s="6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8"/>
      <c r="E711" s="6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8"/>
      <c r="E712" s="6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8"/>
      <c r="E713" s="6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8"/>
      <c r="E714" s="6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8"/>
      <c r="E715" s="6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8"/>
      <c r="E716" s="6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8"/>
      <c r="E717" s="6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8"/>
      <c r="E718" s="6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8"/>
      <c r="E719" s="6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8"/>
      <c r="E720" s="6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8"/>
      <c r="E721" s="6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8"/>
      <c r="E722" s="6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8"/>
      <c r="E723" s="6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8"/>
      <c r="E724" s="6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8"/>
      <c r="E725" s="6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8"/>
      <c r="E726" s="6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8"/>
      <c r="E727" s="6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8"/>
      <c r="E728" s="6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8"/>
      <c r="E729" s="6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8"/>
      <c r="E730" s="6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8"/>
      <c r="E731" s="6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8"/>
      <c r="E732" s="6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8"/>
      <c r="E733" s="6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8"/>
      <c r="E734" s="6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8"/>
      <c r="E735" s="6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8"/>
      <c r="E736" s="6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8"/>
      <c r="E737" s="6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8"/>
      <c r="E738" s="6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8"/>
      <c r="E739" s="6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8"/>
      <c r="E740" s="6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8"/>
      <c r="E741" s="6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8"/>
      <c r="E742" s="6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8"/>
      <c r="E743" s="6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8"/>
      <c r="E744" s="6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8"/>
      <c r="E745" s="6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8"/>
      <c r="E746" s="6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8"/>
      <c r="E747" s="6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8"/>
      <c r="E748" s="6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8"/>
      <c r="E749" s="6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8"/>
      <c r="E750" s="6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8"/>
      <c r="E751" s="6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8"/>
      <c r="E752" s="6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8"/>
      <c r="E753" s="6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8"/>
      <c r="E754" s="6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8"/>
      <c r="E755" s="6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8"/>
      <c r="E756" s="6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8"/>
      <c r="E757" s="6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8"/>
      <c r="E758" s="6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8"/>
      <c r="E759" s="6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8"/>
      <c r="E760" s="6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8"/>
      <c r="E761" s="6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8"/>
      <c r="E762" s="6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8"/>
      <c r="E763" s="6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8"/>
      <c r="E764" s="6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8"/>
      <c r="E765" s="6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8"/>
      <c r="E766" s="6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8"/>
      <c r="E767" s="6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8"/>
      <c r="E768" s="6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8"/>
      <c r="E769" s="6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8"/>
      <c r="E770" s="6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8"/>
      <c r="E771" s="6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8"/>
      <c r="E772" s="6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8"/>
      <c r="E773" s="6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8"/>
      <c r="E774" s="6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8"/>
      <c r="E775" s="6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8"/>
      <c r="E776" s="6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8"/>
      <c r="E777" s="6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8"/>
      <c r="E778" s="6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8"/>
      <c r="E779" s="6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8"/>
      <c r="E780" s="6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8"/>
      <c r="E781" s="6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8"/>
      <c r="E782" s="6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8"/>
      <c r="E783" s="6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8"/>
      <c r="E784" s="6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8"/>
      <c r="E785" s="6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8"/>
      <c r="E786" s="6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8"/>
      <c r="E787" s="6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8"/>
      <c r="E788" s="6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8"/>
      <c r="E789" s="6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8"/>
      <c r="E790" s="6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8"/>
      <c r="E791" s="6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8"/>
      <c r="E792" s="6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8"/>
      <c r="E793" s="6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8"/>
      <c r="E794" s="6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8"/>
      <c r="E795" s="6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8"/>
      <c r="E796" s="6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8"/>
      <c r="E797" s="6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8"/>
      <c r="E798" s="6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8"/>
      <c r="E799" s="6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8"/>
      <c r="E800" s="6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8"/>
      <c r="E801" s="6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8"/>
      <c r="E802" s="6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8"/>
      <c r="E803" s="6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8"/>
      <c r="E804" s="6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8"/>
      <c r="E805" s="6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8"/>
      <c r="E806" s="6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8"/>
      <c r="E807" s="6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8"/>
      <c r="E808" s="6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8"/>
      <c r="E809" s="6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8"/>
      <c r="E810" s="6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8"/>
      <c r="E811" s="6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8"/>
      <c r="E812" s="6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8"/>
      <c r="E813" s="6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8"/>
      <c r="E814" s="6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8"/>
      <c r="E815" s="6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8"/>
      <c r="E816" s="6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8"/>
      <c r="E817" s="6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8"/>
      <c r="E818" s="6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8"/>
      <c r="E819" s="6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8"/>
      <c r="E820" s="6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8"/>
      <c r="E821" s="6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8"/>
      <c r="E822" s="6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8"/>
      <c r="E823" s="6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8"/>
      <c r="E824" s="6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8"/>
      <c r="E825" s="6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8"/>
      <c r="E826" s="6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8"/>
      <c r="E827" s="6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8"/>
      <c r="E828" s="6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8"/>
      <c r="E829" s="6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8"/>
      <c r="E830" s="6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8"/>
      <c r="E831" s="6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8"/>
      <c r="E832" s="6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8"/>
      <c r="E833" s="6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8"/>
      <c r="E834" s="6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8"/>
      <c r="E835" s="6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8"/>
      <c r="E836" s="6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8"/>
      <c r="E837" s="6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8"/>
      <c r="E838" s="6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8"/>
      <c r="E839" s="6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8"/>
      <c r="E840" s="6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8"/>
      <c r="E841" s="6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8"/>
      <c r="E842" s="6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8"/>
      <c r="E843" s="6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8"/>
      <c r="E844" s="6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8"/>
      <c r="E845" s="6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8"/>
      <c r="E846" s="6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8"/>
      <c r="E847" s="6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8"/>
      <c r="E848" s="6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8"/>
      <c r="E849" s="6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8"/>
      <c r="E850" s="6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8"/>
      <c r="E851" s="6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8"/>
      <c r="E852" s="6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8"/>
      <c r="E853" s="6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8"/>
      <c r="E854" s="6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8"/>
      <c r="E855" s="6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8"/>
      <c r="E856" s="6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8"/>
      <c r="E857" s="6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8"/>
      <c r="E858" s="6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8"/>
      <c r="E859" s="6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8"/>
      <c r="E860" s="6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8"/>
      <c r="E861" s="6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8"/>
      <c r="E862" s="6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8"/>
      <c r="E863" s="6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8"/>
      <c r="E864" s="6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8"/>
      <c r="E865" s="6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8"/>
      <c r="E866" s="6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8"/>
      <c r="E867" s="6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8"/>
      <c r="E868" s="6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8"/>
      <c r="E869" s="6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8"/>
      <c r="E870" s="6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8"/>
      <c r="E871" s="6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8"/>
      <c r="E872" s="6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8"/>
      <c r="E873" s="6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8"/>
      <c r="E874" s="6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8"/>
      <c r="E875" s="6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8"/>
      <c r="E876" s="6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8"/>
      <c r="E877" s="6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8"/>
      <c r="E878" s="6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8"/>
      <c r="E879" s="6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8"/>
      <c r="E880" s="6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8"/>
      <c r="E881" s="6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8"/>
      <c r="E882" s="6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8"/>
      <c r="E883" s="6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8"/>
      <c r="E884" s="6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8"/>
      <c r="E885" s="6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8"/>
      <c r="E886" s="6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8"/>
      <c r="E887" s="6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8"/>
      <c r="E888" s="6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8"/>
      <c r="E889" s="6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8"/>
      <c r="E890" s="6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8"/>
      <c r="E891" s="6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8"/>
      <c r="E892" s="6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8"/>
      <c r="E893" s="6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8"/>
      <c r="E894" s="6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8"/>
      <c r="E895" s="6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8"/>
      <c r="E896" s="6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8"/>
      <c r="E897" s="6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8"/>
      <c r="E898" s="6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8"/>
      <c r="E899" s="6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8"/>
      <c r="E900" s="6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8"/>
      <c r="E901" s="6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8"/>
      <c r="E902" s="6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8"/>
      <c r="E903" s="6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8"/>
      <c r="E904" s="6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8"/>
      <c r="E905" s="6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8"/>
      <c r="E906" s="6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8"/>
      <c r="E907" s="6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8"/>
      <c r="E908" s="6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8"/>
      <c r="E909" s="6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8"/>
      <c r="E910" s="6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8"/>
      <c r="E911" s="6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8"/>
      <c r="E912" s="6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8"/>
      <c r="E913" s="6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8"/>
      <c r="E914" s="6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8"/>
      <c r="E915" s="6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8"/>
      <c r="E916" s="6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8"/>
      <c r="E917" s="6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8"/>
      <c r="E918" s="6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8"/>
      <c r="E919" s="6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8"/>
      <c r="E920" s="6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8"/>
      <c r="E921" s="6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8"/>
      <c r="E922" s="6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8"/>
      <c r="E923" s="6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8"/>
      <c r="E924" s="6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8"/>
      <c r="E925" s="6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8"/>
      <c r="E926" s="6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8"/>
      <c r="E927" s="6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8"/>
      <c r="E928" s="6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8"/>
      <c r="E929" s="6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8"/>
      <c r="E930" s="6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8"/>
      <c r="E931" s="6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8"/>
      <c r="E932" s="6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8"/>
      <c r="E933" s="6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8"/>
      <c r="E934" s="6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8"/>
      <c r="E935" s="6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8"/>
      <c r="E936" s="6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8"/>
      <c r="E937" s="6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8"/>
      <c r="E938" s="6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8"/>
      <c r="E939" s="6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8"/>
      <c r="E940" s="6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8"/>
      <c r="E941" s="6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8"/>
      <c r="E942" s="6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8"/>
      <c r="E943" s="6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8"/>
      <c r="E944" s="6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8"/>
      <c r="E945" s="6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8"/>
      <c r="E946" s="6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8"/>
      <c r="E947" s="6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8"/>
      <c r="E948" s="6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8"/>
      <c r="E949" s="6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8"/>
      <c r="E950" s="6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8"/>
      <c r="E951" s="6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78"/>
      <c r="E952" s="6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78"/>
      <c r="E953" s="6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78"/>
      <c r="E954" s="6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78"/>
      <c r="E955" s="6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78"/>
      <c r="E956" s="6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78"/>
      <c r="E957" s="6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78"/>
      <c r="E958" s="6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78"/>
      <c r="E959" s="6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78"/>
      <c r="E960" s="6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78"/>
      <c r="E961" s="6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78"/>
      <c r="E962" s="6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78"/>
      <c r="E963" s="6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78"/>
      <c r="E964" s="6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78"/>
      <c r="E965" s="61"/>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78"/>
      <c r="E966" s="61"/>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78"/>
      <c r="E967" s="61"/>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78"/>
      <c r="E968" s="61"/>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78"/>
      <c r="E969" s="61"/>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78"/>
      <c r="E970" s="61"/>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78"/>
      <c r="E971" s="61"/>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78"/>
      <c r="E972" s="61"/>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78"/>
      <c r="E973" s="61"/>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78"/>
      <c r="E974" s="61"/>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78"/>
      <c r="E975" s="61"/>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78"/>
      <c r="E976" s="61"/>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76">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6">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73"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34</v>
      </c>
      <c r="C2" s="7" t="s">
        <v>21</v>
      </c>
      <c r="D2" s="74" t="s">
        <v>143</v>
      </c>
      <c r="E2" s="75">
        <f>IFERROR(__xludf.DUMMYFUNCTION("COUNTA(SPLIT(D2,"" ""))/COUNTA(SPLIT($B$2,"" ""))"),0.19811320754716982)</f>
        <v>0.1981132075</v>
      </c>
      <c r="F2" s="7">
        <v>5.0</v>
      </c>
      <c r="G2" s="7">
        <v>4.0</v>
      </c>
      <c r="H2" s="7">
        <v>5.0</v>
      </c>
      <c r="I2" s="7">
        <v>5.0</v>
      </c>
      <c r="J2" s="7">
        <v>3.0</v>
      </c>
      <c r="K2" s="57"/>
      <c r="L2" s="57"/>
      <c r="M2" s="57"/>
      <c r="N2" s="57"/>
      <c r="O2" s="57"/>
      <c r="P2" s="57"/>
      <c r="Q2" s="57"/>
      <c r="R2" s="57"/>
      <c r="S2" s="57"/>
      <c r="T2" s="57"/>
      <c r="U2" s="57"/>
      <c r="V2" s="57"/>
      <c r="W2" s="57"/>
      <c r="X2" s="57"/>
      <c r="Y2" s="57"/>
      <c r="Z2" s="57"/>
      <c r="AA2" s="57"/>
      <c r="AB2" s="57"/>
    </row>
    <row r="3" ht="225.0" customHeight="1">
      <c r="C3" s="7" t="s">
        <v>22</v>
      </c>
      <c r="D3" s="74" t="s">
        <v>144</v>
      </c>
      <c r="E3" s="76">
        <f>IFERROR(__xludf.DUMMYFUNCTION("COUNTA(SPLIT(D3,"" ""))/COUNTA(SPLIT($B$2,"" ""))"),0.1320754716981132)</f>
        <v>0.1320754717</v>
      </c>
      <c r="F3" s="7">
        <v>5.0</v>
      </c>
      <c r="G3" s="7">
        <v>3.0</v>
      </c>
      <c r="H3" s="7">
        <v>5.0</v>
      </c>
      <c r="I3" s="7">
        <v>5.0</v>
      </c>
      <c r="J3" s="7">
        <v>3.0</v>
      </c>
      <c r="K3" s="57"/>
      <c r="L3" s="57"/>
      <c r="M3" s="57"/>
      <c r="N3" s="57"/>
      <c r="O3" s="57"/>
      <c r="P3" s="57"/>
      <c r="Q3" s="57"/>
      <c r="R3" s="57"/>
      <c r="S3" s="57"/>
      <c r="T3" s="57"/>
      <c r="U3" s="57"/>
      <c r="V3" s="57"/>
      <c r="W3" s="57"/>
      <c r="X3" s="57"/>
      <c r="Y3" s="57"/>
      <c r="Z3" s="57"/>
      <c r="AA3" s="57"/>
      <c r="AB3" s="57"/>
    </row>
    <row r="4" ht="225.0" customHeight="1">
      <c r="C4" s="7" t="s">
        <v>8</v>
      </c>
      <c r="D4" s="74" t="s">
        <v>145</v>
      </c>
      <c r="E4" s="77">
        <f>IFERROR(__xludf.DUMMYFUNCTION("COUNTA(SPLIT(D4,"" ""))/COUNTA(SPLIT($B$2,"" ""))"),0.5471698113207547)</f>
        <v>0.5471698113</v>
      </c>
      <c r="F4" s="7">
        <v>2.0</v>
      </c>
      <c r="G4" s="7">
        <v>4.0</v>
      </c>
      <c r="H4" s="7">
        <v>4.0</v>
      </c>
      <c r="I4" s="7">
        <v>3.0</v>
      </c>
      <c r="J4" s="7">
        <v>3.0</v>
      </c>
      <c r="K4" s="57"/>
      <c r="L4" s="57"/>
      <c r="M4" s="57"/>
      <c r="N4" s="57"/>
      <c r="O4" s="57"/>
      <c r="P4" s="57"/>
      <c r="Q4" s="57"/>
      <c r="R4" s="57"/>
      <c r="S4" s="57"/>
      <c r="T4" s="57"/>
      <c r="U4" s="57"/>
      <c r="V4" s="57"/>
      <c r="W4" s="57"/>
      <c r="X4" s="57"/>
      <c r="Y4" s="57"/>
      <c r="Z4" s="57"/>
      <c r="AA4" s="57"/>
      <c r="AB4" s="57"/>
    </row>
    <row r="5" ht="225.0" customHeight="1">
      <c r="C5" s="7" t="s">
        <v>23</v>
      </c>
      <c r="D5" s="74" t="s">
        <v>146</v>
      </c>
      <c r="E5" s="77">
        <f>IFERROR(__xludf.DUMMYFUNCTION("COUNTA(SPLIT(D5,"" ""))/COUNTA(SPLIT($B$2,"" ""))"),0.22641509433962265)</f>
        <v>0.2264150943</v>
      </c>
      <c r="F5" s="7">
        <v>3.0</v>
      </c>
      <c r="G5" s="7">
        <v>3.0</v>
      </c>
      <c r="H5" s="7">
        <v>5.0</v>
      </c>
      <c r="I5" s="7">
        <v>5.0</v>
      </c>
      <c r="J5" s="7">
        <v>3.0</v>
      </c>
      <c r="K5" s="57"/>
      <c r="L5" s="57"/>
      <c r="M5" s="57"/>
      <c r="N5" s="57"/>
      <c r="O5" s="57"/>
      <c r="P5" s="57"/>
      <c r="Q5" s="57"/>
      <c r="R5" s="57"/>
      <c r="S5" s="57"/>
      <c r="T5" s="57"/>
      <c r="U5" s="57"/>
      <c r="V5" s="57"/>
      <c r="W5" s="57"/>
      <c r="X5" s="57"/>
      <c r="Y5" s="57"/>
      <c r="Z5" s="57"/>
      <c r="AA5" s="57"/>
      <c r="AB5" s="57"/>
    </row>
    <row r="6">
      <c r="A6" s="57"/>
      <c r="B6" s="57"/>
      <c r="C6" s="59"/>
      <c r="D6" s="78"/>
      <c r="E6" s="69"/>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39</v>
      </c>
      <c r="B7" s="63" t="s">
        <v>40</v>
      </c>
      <c r="C7" s="64" t="s">
        <v>21</v>
      </c>
      <c r="D7" s="79" t="s">
        <v>147</v>
      </c>
      <c r="E7" s="80">
        <f>IFERROR(__xludf.DUMMYFUNCTION("COUNTA(SPLIT(D7,"" ""))/COUNTA(SPLIT($B$7,"" ""))"),0.014678899082568808)</f>
        <v>0.01467889908</v>
      </c>
      <c r="F7" s="7">
        <v>5.0</v>
      </c>
      <c r="G7" s="7">
        <v>5.0</v>
      </c>
      <c r="H7" s="7">
        <v>5.0</v>
      </c>
      <c r="I7" s="7">
        <v>5.0</v>
      </c>
      <c r="J7" s="7">
        <v>2.0</v>
      </c>
      <c r="K7" s="67"/>
      <c r="L7" s="67"/>
      <c r="M7" s="67"/>
      <c r="N7" s="67"/>
      <c r="O7" s="67"/>
      <c r="P7" s="67"/>
      <c r="Q7" s="67"/>
      <c r="R7" s="67"/>
      <c r="S7" s="67"/>
      <c r="T7" s="67"/>
      <c r="U7" s="67"/>
      <c r="V7" s="67"/>
      <c r="W7" s="67"/>
      <c r="X7" s="67"/>
      <c r="Y7" s="67"/>
      <c r="Z7" s="67"/>
      <c r="AA7" s="67"/>
      <c r="AB7" s="67"/>
    </row>
    <row r="8" ht="225.0" customHeight="1">
      <c r="C8" s="7" t="s">
        <v>22</v>
      </c>
      <c r="D8" s="74" t="s">
        <v>148</v>
      </c>
      <c r="E8" s="75">
        <f>IFERROR(__xludf.DUMMYFUNCTION("COUNTA(SPLIT(D8,"" ""))/COUNTA(SPLIT($B$7,"" ""))"),0.025688073394495414)</f>
        <v>0.02568807339</v>
      </c>
      <c r="F8" s="7">
        <v>5.0</v>
      </c>
      <c r="G8" s="7">
        <v>5.0</v>
      </c>
      <c r="H8" s="7">
        <v>4.0</v>
      </c>
      <c r="I8" s="7">
        <v>5.0</v>
      </c>
      <c r="J8" s="7">
        <v>2.0</v>
      </c>
      <c r="K8" s="57"/>
      <c r="L8" s="57"/>
      <c r="M8" s="57"/>
      <c r="N8" s="57"/>
      <c r="O8" s="57"/>
      <c r="P8" s="57"/>
      <c r="Q8" s="57"/>
      <c r="R8" s="57"/>
      <c r="S8" s="57"/>
      <c r="T8" s="57"/>
      <c r="U8" s="57"/>
      <c r="V8" s="57"/>
      <c r="W8" s="57"/>
      <c r="X8" s="57"/>
      <c r="Y8" s="57"/>
      <c r="Z8" s="57"/>
      <c r="AA8" s="57"/>
      <c r="AB8" s="57"/>
    </row>
    <row r="9" ht="225.0" customHeight="1">
      <c r="C9" s="7" t="s">
        <v>8</v>
      </c>
      <c r="D9" s="74" t="s">
        <v>149</v>
      </c>
      <c r="E9" s="81">
        <f>IFERROR(__xludf.DUMMYFUNCTION("COUNTA(SPLIT(D9,"" ""))/COUNTA(SPLIT($B$7,"" ""))"),0.2)</f>
        <v>0.2</v>
      </c>
      <c r="F9" s="7">
        <v>2.0</v>
      </c>
      <c r="G9" s="7">
        <v>4.0</v>
      </c>
      <c r="H9" s="7">
        <v>3.0</v>
      </c>
      <c r="I9" s="7">
        <v>3.0</v>
      </c>
      <c r="J9" s="7">
        <v>4.0</v>
      </c>
      <c r="K9" s="57"/>
      <c r="L9" s="57"/>
      <c r="M9" s="57"/>
      <c r="N9" s="57"/>
      <c r="O9" s="57"/>
      <c r="P9" s="57"/>
      <c r="Q9" s="57"/>
      <c r="R9" s="57"/>
      <c r="S9" s="57"/>
      <c r="T9" s="57"/>
      <c r="U9" s="57"/>
      <c r="V9" s="57"/>
      <c r="W9" s="57"/>
      <c r="X9" s="57"/>
      <c r="Y9" s="57"/>
      <c r="Z9" s="57"/>
      <c r="AA9" s="57"/>
      <c r="AB9" s="57"/>
    </row>
    <row r="10" ht="225.0" customHeight="1">
      <c r="C10" s="7" t="s">
        <v>23</v>
      </c>
      <c r="D10" s="74" t="s">
        <v>150</v>
      </c>
      <c r="E10" s="82">
        <f>IFERROR(__xludf.DUMMYFUNCTION("COUNTA(SPLIT(D10,"" ""))/COUNTA(SPLIT($B$7,"" ""))"),0.08073394495412844)</f>
        <v>0.08073394495</v>
      </c>
      <c r="F10" s="7">
        <v>4.0</v>
      </c>
      <c r="G10" s="7">
        <v>4.0</v>
      </c>
      <c r="H10" s="7">
        <v>4.0</v>
      </c>
      <c r="I10" s="7">
        <v>4.0</v>
      </c>
      <c r="J10" s="7">
        <v>3.0</v>
      </c>
      <c r="K10" s="57"/>
      <c r="L10" s="57"/>
      <c r="M10" s="57"/>
      <c r="N10" s="57"/>
      <c r="O10" s="57"/>
      <c r="P10" s="57"/>
      <c r="Q10" s="57"/>
      <c r="R10" s="57"/>
      <c r="S10" s="57"/>
      <c r="T10" s="57"/>
      <c r="U10" s="57"/>
      <c r="V10" s="57"/>
      <c r="W10" s="57"/>
      <c r="X10" s="57"/>
      <c r="Y10" s="57"/>
      <c r="Z10" s="57"/>
      <c r="AA10" s="57"/>
      <c r="AB10" s="57"/>
    </row>
    <row r="11">
      <c r="A11" s="57"/>
      <c r="B11" s="57"/>
      <c r="C11" s="59"/>
      <c r="D11" s="78"/>
      <c r="E11" s="69"/>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45</v>
      </c>
      <c r="B12" s="63" t="s">
        <v>46</v>
      </c>
      <c r="C12" s="64" t="s">
        <v>21</v>
      </c>
      <c r="D12" s="79" t="s">
        <v>151</v>
      </c>
      <c r="E12" s="83">
        <f>IFERROR(__xludf.DUMMYFUNCTION("COUNTA(SPLIT(D12,"" ""))/COUNTA(SPLIT($B$12,"" ""))"),0.1686046511627907)</f>
        <v>0.1686046512</v>
      </c>
      <c r="F12" s="7">
        <v>4.0</v>
      </c>
      <c r="G12" s="7">
        <v>5.0</v>
      </c>
      <c r="H12" s="7">
        <v>4.0</v>
      </c>
      <c r="I12" s="7">
        <v>4.0</v>
      </c>
      <c r="J12" s="7">
        <v>4.0</v>
      </c>
      <c r="K12" s="67"/>
      <c r="L12" s="67"/>
      <c r="M12" s="67"/>
      <c r="N12" s="67"/>
      <c r="O12" s="67"/>
      <c r="P12" s="67"/>
      <c r="Q12" s="67"/>
      <c r="R12" s="67"/>
      <c r="S12" s="67"/>
      <c r="T12" s="67"/>
      <c r="U12" s="67"/>
      <c r="V12" s="67"/>
      <c r="W12" s="67"/>
      <c r="X12" s="67"/>
      <c r="Y12" s="67"/>
      <c r="Z12" s="67"/>
      <c r="AA12" s="67"/>
      <c r="AB12" s="67"/>
    </row>
    <row r="13" ht="225.0" customHeight="1">
      <c r="C13" s="7" t="s">
        <v>22</v>
      </c>
      <c r="D13" s="74" t="s">
        <v>152</v>
      </c>
      <c r="E13" s="84">
        <f>IFERROR(__xludf.DUMMYFUNCTION("COUNTA(SPLIT(D13,"" ""))/COUNTA(SPLIT($B$12,"" ""))"),0.046511627906976744)</f>
        <v>0.04651162791</v>
      </c>
      <c r="F13" s="7">
        <v>5.0</v>
      </c>
      <c r="G13" s="7">
        <v>5.0</v>
      </c>
      <c r="H13" s="7">
        <v>5.0</v>
      </c>
      <c r="I13" s="7">
        <v>4.0</v>
      </c>
      <c r="J13" s="7">
        <v>2.0</v>
      </c>
      <c r="K13" s="57"/>
      <c r="L13" s="57"/>
      <c r="M13" s="57"/>
      <c r="N13" s="57"/>
      <c r="O13" s="57"/>
      <c r="P13" s="57"/>
      <c r="Q13" s="57"/>
      <c r="R13" s="57"/>
      <c r="S13" s="57"/>
      <c r="T13" s="57"/>
      <c r="U13" s="57"/>
      <c r="V13" s="57"/>
      <c r="W13" s="57"/>
      <c r="X13" s="57"/>
      <c r="Y13" s="57"/>
      <c r="Z13" s="57"/>
      <c r="AA13" s="57"/>
      <c r="AB13" s="57"/>
    </row>
    <row r="14" ht="225.0" customHeight="1">
      <c r="C14" s="7" t="s">
        <v>8</v>
      </c>
      <c r="D14" s="74" t="s">
        <v>153</v>
      </c>
      <c r="E14" s="85">
        <f>IFERROR(__xludf.DUMMYFUNCTION("COUNTA(SPLIT(D14,"" ""))/COUNTA(SPLIT($B$12,"" ""))"),0.39244186046511625)</f>
        <v>0.3924418605</v>
      </c>
      <c r="F14" s="7">
        <v>3.0</v>
      </c>
      <c r="G14" s="7">
        <v>5.0</v>
      </c>
      <c r="H14" s="7">
        <v>4.0</v>
      </c>
      <c r="I14" s="7">
        <v>3.0</v>
      </c>
      <c r="J14" s="7">
        <v>5.0</v>
      </c>
      <c r="K14" s="57"/>
      <c r="L14" s="57"/>
      <c r="M14" s="57"/>
      <c r="N14" s="57"/>
      <c r="O14" s="57"/>
      <c r="P14" s="57"/>
      <c r="Q14" s="57"/>
      <c r="R14" s="57"/>
      <c r="S14" s="57"/>
      <c r="T14" s="57"/>
      <c r="U14" s="57"/>
      <c r="V14" s="57"/>
      <c r="W14" s="57"/>
      <c r="X14" s="57"/>
      <c r="Y14" s="57"/>
      <c r="Z14" s="57"/>
      <c r="AA14" s="57"/>
      <c r="AB14" s="57"/>
    </row>
    <row r="15" ht="225.0" customHeight="1">
      <c r="C15" s="7" t="s">
        <v>23</v>
      </c>
      <c r="D15" s="74" t="s">
        <v>154</v>
      </c>
      <c r="E15" s="86">
        <f>IFERROR(__xludf.DUMMYFUNCTION("COUNTA(SPLIT(D15,"" ""))/COUNTA(SPLIT($B$12,"" ""))"),0.06395348837209303)</f>
        <v>0.06395348837</v>
      </c>
      <c r="F15" s="7">
        <v>4.0</v>
      </c>
      <c r="G15" s="7">
        <v>5.0</v>
      </c>
      <c r="H15" s="7">
        <v>5.0</v>
      </c>
      <c r="I15" s="7">
        <v>5.0</v>
      </c>
      <c r="J15" s="7">
        <v>2.0</v>
      </c>
      <c r="K15" s="57"/>
      <c r="L15" s="57"/>
      <c r="M15" s="57"/>
      <c r="N15" s="57"/>
      <c r="O15" s="57"/>
      <c r="P15" s="57"/>
      <c r="Q15" s="57"/>
      <c r="R15" s="57"/>
      <c r="S15" s="57"/>
      <c r="T15" s="57"/>
      <c r="U15" s="57"/>
      <c r="V15" s="57"/>
      <c r="W15" s="57"/>
      <c r="X15" s="57"/>
      <c r="Y15" s="57"/>
      <c r="Z15" s="57"/>
      <c r="AA15" s="57"/>
      <c r="AB15" s="57"/>
    </row>
    <row r="16">
      <c r="A16" s="57"/>
      <c r="B16" s="57"/>
      <c r="C16" s="59"/>
      <c r="D16" s="78"/>
      <c r="E16" s="69"/>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51</v>
      </c>
      <c r="B17" s="63" t="s">
        <v>52</v>
      </c>
      <c r="C17" s="64" t="s">
        <v>21</v>
      </c>
      <c r="D17" s="79" t="s">
        <v>52</v>
      </c>
      <c r="E17" s="87">
        <f>IFERROR(__xludf.DUMMYFUNCTION("COUNTA(SPLIT(D17,"" ""))/COUNTA(SPLIT($B$17,"" ""))"),1.0)</f>
        <v>1</v>
      </c>
      <c r="F17" s="7">
        <v>4.0</v>
      </c>
      <c r="G17" s="7">
        <v>5.0</v>
      </c>
      <c r="H17" s="7">
        <v>5.0</v>
      </c>
      <c r="I17" s="7">
        <v>1.0</v>
      </c>
      <c r="J17" s="7">
        <v>5.0</v>
      </c>
      <c r="K17" s="67"/>
      <c r="L17" s="67"/>
      <c r="M17" s="67"/>
      <c r="N17" s="67"/>
      <c r="O17" s="67"/>
      <c r="P17" s="67"/>
      <c r="Q17" s="67"/>
      <c r="R17" s="67"/>
      <c r="S17" s="67"/>
      <c r="T17" s="67"/>
      <c r="U17" s="67"/>
      <c r="V17" s="67"/>
      <c r="W17" s="67"/>
      <c r="X17" s="67"/>
      <c r="Y17" s="67"/>
      <c r="Z17" s="67"/>
      <c r="AA17" s="67"/>
      <c r="AB17" s="67"/>
    </row>
    <row r="18" ht="225.0" customHeight="1">
      <c r="C18" s="7" t="s">
        <v>22</v>
      </c>
      <c r="D18" s="74" t="s">
        <v>155</v>
      </c>
      <c r="E18" s="82">
        <f>IFERROR(__xludf.DUMMYFUNCTION("COUNTA(SPLIT(D18,"" ""))/COUNTA(SPLIT($B$17,"" ""))"),0.09326424870466321)</f>
        <v>0.0932642487</v>
      </c>
      <c r="F18" s="7">
        <v>5.0</v>
      </c>
      <c r="G18" s="7">
        <v>5.0</v>
      </c>
      <c r="H18" s="7">
        <v>5.0</v>
      </c>
      <c r="I18" s="7">
        <v>5.0</v>
      </c>
      <c r="J18" s="7">
        <v>2.0</v>
      </c>
      <c r="K18" s="57"/>
      <c r="L18" s="57"/>
      <c r="M18" s="57"/>
      <c r="N18" s="57"/>
      <c r="O18" s="57"/>
      <c r="P18" s="57"/>
      <c r="Q18" s="57"/>
      <c r="R18" s="57"/>
      <c r="S18" s="57"/>
      <c r="T18" s="57"/>
      <c r="U18" s="57"/>
      <c r="V18" s="57"/>
      <c r="W18" s="57"/>
      <c r="X18" s="57"/>
      <c r="Y18" s="57"/>
      <c r="Z18" s="57"/>
      <c r="AA18" s="57"/>
      <c r="AB18" s="57"/>
    </row>
    <row r="19" ht="225.0" customHeight="1">
      <c r="C19" s="7" t="s">
        <v>8</v>
      </c>
      <c r="D19" s="74" t="s">
        <v>156</v>
      </c>
      <c r="E19" s="88">
        <f>IFERROR(__xludf.DUMMYFUNCTION("COUNTA(SPLIT(D19,"" ""))/COUNTA(SPLIT($B$17,"" ""))"),0.41968911917098445)</f>
        <v>0.4196891192</v>
      </c>
      <c r="F19" s="7">
        <v>3.0</v>
      </c>
      <c r="G19" s="7">
        <v>4.0</v>
      </c>
      <c r="H19" s="7">
        <v>5.0</v>
      </c>
      <c r="I19" s="7">
        <v>3.0</v>
      </c>
      <c r="J19" s="7">
        <v>3.0</v>
      </c>
      <c r="K19" s="57"/>
      <c r="L19" s="57"/>
      <c r="M19" s="57"/>
      <c r="N19" s="57"/>
      <c r="O19" s="57"/>
      <c r="P19" s="57"/>
      <c r="Q19" s="57"/>
      <c r="R19" s="57"/>
      <c r="S19" s="57"/>
      <c r="T19" s="57"/>
      <c r="U19" s="57"/>
      <c r="V19" s="57"/>
      <c r="W19" s="57"/>
      <c r="X19" s="57"/>
      <c r="Y19" s="57"/>
      <c r="Z19" s="57"/>
      <c r="AA19" s="57"/>
      <c r="AB19" s="57"/>
    </row>
    <row r="20" ht="225.0" customHeight="1">
      <c r="C20" s="7" t="s">
        <v>23</v>
      </c>
      <c r="D20" s="74" t="s">
        <v>157</v>
      </c>
      <c r="E20" s="89">
        <f>IFERROR(__xludf.DUMMYFUNCTION("COUNTA(SPLIT(D20,"" ""))/COUNTA(SPLIT($B$17,"" ""))"),0.08290155440414508)</f>
        <v>0.0829015544</v>
      </c>
      <c r="F20" s="7">
        <v>5.0</v>
      </c>
      <c r="G20" s="7">
        <v>4.0</v>
      </c>
      <c r="H20" s="7">
        <v>5.0</v>
      </c>
      <c r="I20" s="7">
        <v>5.0</v>
      </c>
      <c r="J20" s="7">
        <v>2.0</v>
      </c>
      <c r="K20" s="57"/>
      <c r="L20" s="57"/>
      <c r="M20" s="57"/>
      <c r="N20" s="57"/>
      <c r="O20" s="57"/>
      <c r="P20" s="57"/>
      <c r="Q20" s="57"/>
      <c r="R20" s="57"/>
      <c r="S20" s="57"/>
      <c r="T20" s="57"/>
      <c r="U20" s="57"/>
      <c r="V20" s="57"/>
      <c r="W20" s="57"/>
      <c r="X20" s="57"/>
      <c r="Y20" s="57"/>
      <c r="Z20" s="57"/>
      <c r="AA20" s="57"/>
      <c r="AB20" s="57"/>
    </row>
    <row r="21">
      <c r="A21" s="57"/>
      <c r="B21" s="57"/>
      <c r="C21" s="59"/>
      <c r="D21" s="78"/>
      <c r="E21" s="69"/>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57</v>
      </c>
      <c r="B22" s="63" t="s">
        <v>58</v>
      </c>
      <c r="C22" s="64" t="s">
        <v>21</v>
      </c>
      <c r="D22" s="79" t="s">
        <v>158</v>
      </c>
      <c r="E22" s="90">
        <f>IFERROR(__xludf.DUMMYFUNCTION("COUNTA(SPLIT(D22,"" ""))/COUNTA(SPLIT($B$22,"" ""))"),0.10696095076400679)</f>
        <v>0.1069609508</v>
      </c>
      <c r="F22" s="7">
        <v>4.0</v>
      </c>
      <c r="G22" s="7">
        <v>4.0</v>
      </c>
      <c r="H22" s="7">
        <v>4.0</v>
      </c>
      <c r="I22" s="7">
        <v>4.0</v>
      </c>
      <c r="J22" s="7">
        <v>3.0</v>
      </c>
      <c r="K22" s="67"/>
      <c r="L22" s="67"/>
      <c r="M22" s="67"/>
      <c r="N22" s="67"/>
      <c r="O22" s="67"/>
      <c r="P22" s="67"/>
      <c r="Q22" s="67"/>
      <c r="R22" s="67"/>
      <c r="S22" s="67"/>
      <c r="T22" s="67"/>
      <c r="U22" s="67"/>
      <c r="V22" s="67"/>
      <c r="W22" s="67"/>
      <c r="X22" s="67"/>
      <c r="Y22" s="67"/>
      <c r="Z22" s="67"/>
      <c r="AA22" s="67"/>
      <c r="AB22" s="67"/>
    </row>
    <row r="23" ht="225.0" customHeight="1">
      <c r="C23" s="7" t="s">
        <v>22</v>
      </c>
      <c r="D23" s="74" t="s">
        <v>159</v>
      </c>
      <c r="E23" s="84">
        <f>IFERROR(__xludf.DUMMYFUNCTION("COUNTA(SPLIT(D23,"" ""))/COUNTA(SPLIT($B$22,"" ""))"),0.059422750424448216)</f>
        <v>0.05942275042</v>
      </c>
      <c r="F23" s="7">
        <v>4.0</v>
      </c>
      <c r="G23" s="7">
        <v>4.0</v>
      </c>
      <c r="H23" s="7">
        <v>5.0</v>
      </c>
      <c r="I23" s="7">
        <v>5.0</v>
      </c>
      <c r="J23" s="7">
        <v>2.0</v>
      </c>
      <c r="K23" s="57"/>
      <c r="L23" s="57"/>
      <c r="M23" s="57"/>
      <c r="N23" s="57"/>
      <c r="O23" s="57"/>
      <c r="P23" s="57"/>
      <c r="Q23" s="57"/>
      <c r="R23" s="57"/>
      <c r="S23" s="57"/>
      <c r="T23" s="57"/>
      <c r="U23" s="57"/>
      <c r="V23" s="57"/>
      <c r="W23" s="57"/>
      <c r="X23" s="57"/>
      <c r="Y23" s="57"/>
      <c r="Z23" s="57"/>
      <c r="AA23" s="57"/>
      <c r="AB23" s="57"/>
    </row>
    <row r="24" ht="225.0" customHeight="1">
      <c r="C24" s="7" t="s">
        <v>8</v>
      </c>
      <c r="D24" s="74" t="s">
        <v>160</v>
      </c>
      <c r="E24" s="91">
        <f>IFERROR(__xludf.DUMMYFUNCTION("COUNTA(SPLIT(D24,"" ""))/COUNTA(SPLIT($B$22,"" ""))"),0.15449915110356535)</f>
        <v>0.1544991511</v>
      </c>
      <c r="F24" s="7">
        <v>3.0</v>
      </c>
      <c r="G24" s="7">
        <v>5.0</v>
      </c>
      <c r="H24" s="7">
        <v>5.0</v>
      </c>
      <c r="I24" s="7">
        <v>3.0</v>
      </c>
      <c r="J24" s="7">
        <v>3.0</v>
      </c>
      <c r="K24" s="57"/>
      <c r="L24" s="57"/>
      <c r="M24" s="57"/>
      <c r="N24" s="57"/>
      <c r="O24" s="57"/>
      <c r="P24" s="57"/>
      <c r="Q24" s="57"/>
      <c r="R24" s="57"/>
      <c r="S24" s="57"/>
      <c r="T24" s="57"/>
      <c r="U24" s="57"/>
      <c r="V24" s="57"/>
      <c r="W24" s="57"/>
      <c r="X24" s="57"/>
      <c r="Y24" s="57"/>
      <c r="Z24" s="57"/>
      <c r="AA24" s="57"/>
      <c r="AB24" s="57"/>
    </row>
    <row r="25" ht="225.0" customHeight="1">
      <c r="C25" s="7" t="s">
        <v>23</v>
      </c>
      <c r="D25" s="74" t="s">
        <v>161</v>
      </c>
      <c r="E25" s="92">
        <f>IFERROR(__xludf.DUMMYFUNCTION("COUNTA(SPLIT(D25,"" ""))/COUNTA(SPLIT($B$22,"" ""))"),0.07979626485568761)</f>
        <v>0.07979626486</v>
      </c>
      <c r="F25" s="7">
        <v>4.0</v>
      </c>
      <c r="G25" s="7">
        <v>4.0</v>
      </c>
      <c r="H25" s="7">
        <v>4.0</v>
      </c>
      <c r="I25" s="7">
        <v>4.0</v>
      </c>
      <c r="J25" s="7">
        <v>3.0</v>
      </c>
      <c r="K25" s="57"/>
      <c r="L25" s="57"/>
      <c r="M25" s="57"/>
      <c r="N25" s="57"/>
      <c r="O25" s="57"/>
      <c r="P25" s="57"/>
      <c r="Q25" s="57"/>
      <c r="R25" s="57"/>
      <c r="S25" s="57"/>
      <c r="T25" s="57"/>
      <c r="U25" s="57"/>
      <c r="V25" s="57"/>
      <c r="W25" s="57"/>
      <c r="X25" s="57"/>
      <c r="Y25" s="57"/>
      <c r="Z25" s="57"/>
      <c r="AA25" s="57"/>
      <c r="AB25" s="57"/>
    </row>
    <row r="26">
      <c r="A26" s="57"/>
      <c r="B26" s="57"/>
      <c r="C26" s="59"/>
      <c r="D26" s="78"/>
      <c r="E26" s="69"/>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8"/>
      <c r="E27" s="6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8"/>
      <c r="E28" s="6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8"/>
      <c r="E29" s="6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8"/>
      <c r="E30" s="6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8"/>
      <c r="E31" s="6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8"/>
      <c r="E32" s="6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8"/>
      <c r="E33" s="6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8"/>
      <c r="E34" s="6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8"/>
      <c r="E35" s="6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8"/>
      <c r="E36" s="6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8"/>
      <c r="E37" s="6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8"/>
      <c r="E38" s="6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8"/>
      <c r="E39" s="6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8"/>
      <c r="E40" s="6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8"/>
      <c r="E41" s="6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8"/>
      <c r="E42" s="6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8"/>
      <c r="E43" s="6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8"/>
      <c r="E44" s="6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8"/>
      <c r="E45" s="6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8"/>
      <c r="E46" s="6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8"/>
      <c r="E47" s="6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8"/>
      <c r="E48" s="6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8"/>
      <c r="E49" s="6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8"/>
      <c r="E50" s="6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8"/>
      <c r="E51" s="6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8"/>
      <c r="E52" s="6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8"/>
      <c r="E53" s="6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8"/>
      <c r="E54" s="6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8"/>
      <c r="E55" s="6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8"/>
      <c r="E56" s="6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8"/>
      <c r="E57" s="6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8"/>
      <c r="E58" s="6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8"/>
      <c r="E59" s="6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8"/>
      <c r="E60" s="6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8"/>
      <c r="E61" s="6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8"/>
      <c r="E62" s="6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8"/>
      <c r="E63" s="6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8"/>
      <c r="E64" s="6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8"/>
      <c r="E65" s="6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8"/>
      <c r="E66" s="6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8"/>
      <c r="E67" s="6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8"/>
      <c r="E68" s="6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8"/>
      <c r="E69" s="6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8"/>
      <c r="E70" s="6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8"/>
      <c r="E71" s="6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8"/>
      <c r="E72" s="6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8"/>
      <c r="E73" s="6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8"/>
      <c r="E74" s="6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8"/>
      <c r="E75" s="6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8"/>
      <c r="E76" s="6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8"/>
      <c r="E77" s="6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8"/>
      <c r="E78" s="6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8"/>
      <c r="E79" s="6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8"/>
      <c r="E80" s="6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8"/>
      <c r="E81" s="6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8"/>
      <c r="E82" s="6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8"/>
      <c r="E83" s="6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8"/>
      <c r="E84" s="6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8"/>
      <c r="E85" s="6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8"/>
      <c r="E86" s="6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8"/>
      <c r="E87" s="6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8"/>
      <c r="E88" s="6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8"/>
      <c r="E89" s="6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8"/>
      <c r="E90" s="6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8"/>
      <c r="E91" s="6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8"/>
      <c r="E92" s="6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8"/>
      <c r="E93" s="6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8"/>
      <c r="E94" s="6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8"/>
      <c r="E95" s="6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8"/>
      <c r="E96" s="6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8"/>
      <c r="E97" s="6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8"/>
      <c r="E98" s="6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8"/>
      <c r="E99" s="6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8"/>
      <c r="E100" s="6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8"/>
      <c r="E101" s="6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8"/>
      <c r="E102" s="6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8"/>
      <c r="E103" s="6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8"/>
      <c r="E104" s="6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8"/>
      <c r="E105" s="6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8"/>
      <c r="E106" s="6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8"/>
      <c r="E107" s="6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8"/>
      <c r="E108" s="6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8"/>
      <c r="E109" s="6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8"/>
      <c r="E110" s="6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8"/>
      <c r="E111" s="6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8"/>
      <c r="E112" s="6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8"/>
      <c r="E113" s="6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8"/>
      <c r="E114" s="6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8"/>
      <c r="E115" s="6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8"/>
      <c r="E116" s="6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8"/>
      <c r="E117" s="6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8"/>
      <c r="E118" s="6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8"/>
      <c r="E119" s="6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8"/>
      <c r="E120" s="6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8"/>
      <c r="E121" s="6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8"/>
      <c r="E122" s="6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8"/>
      <c r="E123" s="6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8"/>
      <c r="E124" s="6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8"/>
      <c r="E125" s="6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8"/>
      <c r="E126" s="6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8"/>
      <c r="E127" s="6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8"/>
      <c r="E128" s="6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8"/>
      <c r="E129" s="6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8"/>
      <c r="E130" s="6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8"/>
      <c r="E131" s="6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8"/>
      <c r="E132" s="6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8"/>
      <c r="E133" s="6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8"/>
      <c r="E134" s="6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8"/>
      <c r="E135" s="6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8"/>
      <c r="E136" s="6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8"/>
      <c r="E137" s="6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8"/>
      <c r="E138" s="6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8"/>
      <c r="E139" s="6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8"/>
      <c r="E140" s="6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8"/>
      <c r="E141" s="6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8"/>
      <c r="E142" s="6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8"/>
      <c r="E143" s="6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8"/>
      <c r="E144" s="6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8"/>
      <c r="E145" s="6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8"/>
      <c r="E146" s="6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8"/>
      <c r="E147" s="6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8"/>
      <c r="E148" s="6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8"/>
      <c r="E149" s="6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8"/>
      <c r="E150" s="6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8"/>
      <c r="E151" s="6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8"/>
      <c r="E152" s="6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8"/>
      <c r="E153" s="6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8"/>
      <c r="E154" s="6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8"/>
      <c r="E155" s="6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8"/>
      <c r="E156" s="6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8"/>
      <c r="E157" s="6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8"/>
      <c r="E158" s="6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8"/>
      <c r="E159" s="6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8"/>
      <c r="E160" s="6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8"/>
      <c r="E161" s="6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8"/>
      <c r="E162" s="6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8"/>
      <c r="E163" s="6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8"/>
      <c r="E164" s="6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8"/>
      <c r="E165" s="6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8"/>
      <c r="E166" s="6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8"/>
      <c r="E167" s="6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8"/>
      <c r="E168" s="6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8"/>
      <c r="E169" s="6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8"/>
      <c r="E170" s="6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8"/>
      <c r="E171" s="6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8"/>
      <c r="E172" s="6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8"/>
      <c r="E173" s="6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8"/>
      <c r="E174" s="6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8"/>
      <c r="E175" s="6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8"/>
      <c r="E176" s="6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8"/>
      <c r="E177" s="6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8"/>
      <c r="E178" s="6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8"/>
      <c r="E179" s="6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8"/>
      <c r="E180" s="6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8"/>
      <c r="E181" s="6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8"/>
      <c r="E182" s="6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8"/>
      <c r="E183" s="6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8"/>
      <c r="E184" s="6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8"/>
      <c r="E185" s="6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8"/>
      <c r="E186" s="6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8"/>
      <c r="E187" s="6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8"/>
      <c r="E188" s="6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8"/>
      <c r="E189" s="6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8"/>
      <c r="E190" s="6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8"/>
      <c r="E191" s="6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8"/>
      <c r="E192" s="6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8"/>
      <c r="E193" s="6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8"/>
      <c r="E194" s="6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8"/>
      <c r="E195" s="6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8"/>
      <c r="E196" s="6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8"/>
      <c r="E197" s="6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8"/>
      <c r="E198" s="6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8"/>
      <c r="E199" s="6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8"/>
      <c r="E200" s="6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8"/>
      <c r="E201" s="6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8"/>
      <c r="E202" s="6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8"/>
      <c r="E203" s="6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8"/>
      <c r="E204" s="6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8"/>
      <c r="E205" s="6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8"/>
      <c r="E206" s="6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8"/>
      <c r="E207" s="6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8"/>
      <c r="E208" s="6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8"/>
      <c r="E209" s="6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8"/>
      <c r="E210" s="6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8"/>
      <c r="E211" s="6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8"/>
      <c r="E212" s="6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8"/>
      <c r="E213" s="6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8"/>
      <c r="E214" s="6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8"/>
      <c r="E215" s="6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8"/>
      <c r="E216" s="6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8"/>
      <c r="E217" s="6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8"/>
      <c r="E218" s="6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8"/>
      <c r="E219" s="6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8"/>
      <c r="E220" s="6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8"/>
      <c r="E221" s="6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8"/>
      <c r="E222" s="6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8"/>
      <c r="E223" s="6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8"/>
      <c r="E224" s="6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8"/>
      <c r="E225" s="6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8"/>
      <c r="E226" s="6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8"/>
      <c r="E227" s="6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8"/>
      <c r="E228" s="6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8"/>
      <c r="E229" s="6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8"/>
      <c r="E230" s="6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8"/>
      <c r="E231" s="6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8"/>
      <c r="E232" s="6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8"/>
      <c r="E233" s="6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8"/>
      <c r="E234" s="6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8"/>
      <c r="E235" s="6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8"/>
      <c r="E236" s="6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8"/>
      <c r="E237" s="6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8"/>
      <c r="E238" s="6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8"/>
      <c r="E239" s="6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8"/>
      <c r="E240" s="6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8"/>
      <c r="E241" s="6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8"/>
      <c r="E242" s="6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8"/>
      <c r="E243" s="6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8"/>
      <c r="E244" s="6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8"/>
      <c r="E245" s="6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8"/>
      <c r="E246" s="6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8"/>
      <c r="E247" s="6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8"/>
      <c r="E248" s="6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8"/>
      <c r="E249" s="6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8"/>
      <c r="E250" s="6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8"/>
      <c r="E251" s="6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8"/>
      <c r="E252" s="6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8"/>
      <c r="E253" s="6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8"/>
      <c r="E254" s="6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8"/>
      <c r="E255" s="6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8"/>
      <c r="E256" s="6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8"/>
      <c r="E257" s="6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8"/>
      <c r="E258" s="6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8"/>
      <c r="E259" s="6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8"/>
      <c r="E260" s="6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8"/>
      <c r="E261" s="6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8"/>
      <c r="E262" s="6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8"/>
      <c r="E263" s="6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8"/>
      <c r="E264" s="6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8"/>
      <c r="E265" s="6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8"/>
      <c r="E266" s="6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8"/>
      <c r="E267" s="6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8"/>
      <c r="E268" s="6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8"/>
      <c r="E269" s="6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8"/>
      <c r="E270" s="6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8"/>
      <c r="E271" s="6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8"/>
      <c r="E272" s="6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8"/>
      <c r="E273" s="6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8"/>
      <c r="E274" s="6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8"/>
      <c r="E275" s="6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8"/>
      <c r="E276" s="6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8"/>
      <c r="E277" s="6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8"/>
      <c r="E278" s="6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8"/>
      <c r="E279" s="6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8"/>
      <c r="E280" s="6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8"/>
      <c r="E281" s="6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8"/>
      <c r="E282" s="6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8"/>
      <c r="E283" s="6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8"/>
      <c r="E284" s="6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8"/>
      <c r="E285" s="6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8"/>
      <c r="E286" s="6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8"/>
      <c r="E287" s="6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8"/>
      <c r="E288" s="6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8"/>
      <c r="E289" s="6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8"/>
      <c r="E290" s="6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8"/>
      <c r="E291" s="6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8"/>
      <c r="E292" s="6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8"/>
      <c r="E293" s="6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8"/>
      <c r="E294" s="6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8"/>
      <c r="E295" s="6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8"/>
      <c r="E296" s="6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8"/>
      <c r="E297" s="6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8"/>
      <c r="E298" s="6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8"/>
      <c r="E299" s="6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8"/>
      <c r="E300" s="6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8"/>
      <c r="E301" s="6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8"/>
      <c r="E302" s="6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8"/>
      <c r="E303" s="6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8"/>
      <c r="E304" s="6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8"/>
      <c r="E305" s="6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8"/>
      <c r="E306" s="6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8"/>
      <c r="E307" s="6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8"/>
      <c r="E308" s="6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8"/>
      <c r="E309" s="6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8"/>
      <c r="E310" s="6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8"/>
      <c r="E311" s="6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8"/>
      <c r="E312" s="6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8"/>
      <c r="E313" s="6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8"/>
      <c r="E314" s="6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8"/>
      <c r="E315" s="6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8"/>
      <c r="E316" s="6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8"/>
      <c r="E317" s="6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8"/>
      <c r="E318" s="6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8"/>
      <c r="E319" s="6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8"/>
      <c r="E320" s="6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8"/>
      <c r="E321" s="6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8"/>
      <c r="E322" s="6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8"/>
      <c r="E323" s="6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8"/>
      <c r="E324" s="6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8"/>
      <c r="E325" s="6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8"/>
      <c r="E326" s="6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8"/>
      <c r="E327" s="6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8"/>
      <c r="E328" s="6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8"/>
      <c r="E329" s="6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8"/>
      <c r="E330" s="6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8"/>
      <c r="E331" s="6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8"/>
      <c r="E332" s="6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8"/>
      <c r="E333" s="6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8"/>
      <c r="E334" s="6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8"/>
      <c r="E335" s="6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8"/>
      <c r="E336" s="6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8"/>
      <c r="E337" s="6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8"/>
      <c r="E338" s="6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8"/>
      <c r="E339" s="6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8"/>
      <c r="E340" s="6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8"/>
      <c r="E341" s="6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8"/>
      <c r="E342" s="6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8"/>
      <c r="E343" s="6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8"/>
      <c r="E344" s="6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8"/>
      <c r="E345" s="6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8"/>
      <c r="E346" s="6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8"/>
      <c r="E347" s="6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8"/>
      <c r="E348" s="6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8"/>
      <c r="E349" s="6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8"/>
      <c r="E350" s="6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8"/>
      <c r="E351" s="6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8"/>
      <c r="E352" s="6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8"/>
      <c r="E353" s="6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8"/>
      <c r="E354" s="6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8"/>
      <c r="E355" s="6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8"/>
      <c r="E356" s="6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8"/>
      <c r="E357" s="6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8"/>
      <c r="E358" s="6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8"/>
      <c r="E359" s="6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8"/>
      <c r="E360" s="6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8"/>
      <c r="E361" s="6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8"/>
      <c r="E362" s="6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8"/>
      <c r="E363" s="6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8"/>
      <c r="E364" s="6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8"/>
      <c r="E365" s="6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8"/>
      <c r="E366" s="6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8"/>
      <c r="E367" s="6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8"/>
      <c r="E368" s="6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8"/>
      <c r="E369" s="6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8"/>
      <c r="E370" s="6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8"/>
      <c r="E371" s="6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8"/>
      <c r="E372" s="6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8"/>
      <c r="E373" s="6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8"/>
      <c r="E374" s="6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8"/>
      <c r="E375" s="6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8"/>
      <c r="E376" s="6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8"/>
      <c r="E377" s="6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8"/>
      <c r="E378" s="6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8"/>
      <c r="E379" s="6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8"/>
      <c r="E380" s="6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8"/>
      <c r="E381" s="6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8"/>
      <c r="E382" s="6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8"/>
      <c r="E383" s="6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8"/>
      <c r="E384" s="6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8"/>
      <c r="E385" s="6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8"/>
      <c r="E386" s="6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8"/>
      <c r="E387" s="6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8"/>
      <c r="E388" s="6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8"/>
      <c r="E389" s="6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8"/>
      <c r="E390" s="6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8"/>
      <c r="E391" s="6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8"/>
      <c r="E392" s="6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8"/>
      <c r="E393" s="6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8"/>
      <c r="E394" s="6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8"/>
      <c r="E395" s="6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8"/>
      <c r="E396" s="6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8"/>
      <c r="E397" s="6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8"/>
      <c r="E398" s="6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8"/>
      <c r="E399" s="6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8"/>
      <c r="E400" s="6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8"/>
      <c r="E401" s="6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8"/>
      <c r="E402" s="6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8"/>
      <c r="E403" s="6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8"/>
      <c r="E404" s="6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8"/>
      <c r="E405" s="6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8"/>
      <c r="E406" s="6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8"/>
      <c r="E407" s="6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8"/>
      <c r="E408" s="6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8"/>
      <c r="E409" s="6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8"/>
      <c r="E410" s="6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8"/>
      <c r="E411" s="6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8"/>
      <c r="E412" s="6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8"/>
      <c r="E413" s="6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8"/>
      <c r="E414" s="6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8"/>
      <c r="E415" s="6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8"/>
      <c r="E416" s="6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8"/>
      <c r="E417" s="6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8"/>
      <c r="E418" s="6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8"/>
      <c r="E419" s="6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8"/>
      <c r="E420" s="6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8"/>
      <c r="E421" s="6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8"/>
      <c r="E422" s="6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8"/>
      <c r="E423" s="6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8"/>
      <c r="E424" s="6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8"/>
      <c r="E425" s="6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8"/>
      <c r="E426" s="6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8"/>
      <c r="E427" s="6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8"/>
      <c r="E428" s="6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8"/>
      <c r="E429" s="6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8"/>
      <c r="E430" s="6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8"/>
      <c r="E431" s="6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8"/>
      <c r="E432" s="6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8"/>
      <c r="E433" s="6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8"/>
      <c r="E434" s="6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8"/>
      <c r="E435" s="6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8"/>
      <c r="E436" s="6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8"/>
      <c r="E437" s="6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8"/>
      <c r="E438" s="6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8"/>
      <c r="E439" s="6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8"/>
      <c r="E440" s="6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8"/>
      <c r="E441" s="6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8"/>
      <c r="E442" s="6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8"/>
      <c r="E443" s="6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8"/>
      <c r="E444" s="6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8"/>
      <c r="E445" s="6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8"/>
      <c r="E446" s="6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8"/>
      <c r="E447" s="6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8"/>
      <c r="E448" s="6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8"/>
      <c r="E449" s="6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8"/>
      <c r="E450" s="6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8"/>
      <c r="E451" s="6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8"/>
      <c r="E452" s="6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8"/>
      <c r="E453" s="6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8"/>
      <c r="E454" s="6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8"/>
      <c r="E455" s="6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8"/>
      <c r="E456" s="6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8"/>
      <c r="E457" s="6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8"/>
      <c r="E458" s="6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8"/>
      <c r="E459" s="6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8"/>
      <c r="E460" s="6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8"/>
      <c r="E461" s="6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8"/>
      <c r="E462" s="6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8"/>
      <c r="E463" s="6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8"/>
      <c r="E464" s="6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8"/>
      <c r="E465" s="6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8"/>
      <c r="E466" s="6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8"/>
      <c r="E467" s="6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8"/>
      <c r="E468" s="6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8"/>
      <c r="E469" s="6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8"/>
      <c r="E470" s="6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8"/>
      <c r="E471" s="6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8"/>
      <c r="E472" s="6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8"/>
      <c r="E473" s="6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8"/>
      <c r="E474" s="6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8"/>
      <c r="E475" s="6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8"/>
      <c r="E476" s="6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8"/>
      <c r="E477" s="6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8"/>
      <c r="E478" s="6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8"/>
      <c r="E479" s="6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8"/>
      <c r="E480" s="6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8"/>
      <c r="E481" s="6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8"/>
      <c r="E482" s="6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8"/>
      <c r="E483" s="6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8"/>
      <c r="E484" s="6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8"/>
      <c r="E485" s="6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8"/>
      <c r="E486" s="6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8"/>
      <c r="E487" s="6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8"/>
      <c r="E488" s="6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8"/>
      <c r="E489" s="6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8"/>
      <c r="E490" s="6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8"/>
      <c r="E491" s="6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8"/>
      <c r="E492" s="6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8"/>
      <c r="E493" s="6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8"/>
      <c r="E494" s="6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8"/>
      <c r="E495" s="6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8"/>
      <c r="E496" s="6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8"/>
      <c r="E497" s="6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8"/>
      <c r="E498" s="6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8"/>
      <c r="E499" s="6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8"/>
      <c r="E500" s="6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8"/>
      <c r="E501" s="6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8"/>
      <c r="E502" s="6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8"/>
      <c r="E503" s="6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8"/>
      <c r="E504" s="6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8"/>
      <c r="E505" s="6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8"/>
      <c r="E506" s="6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8"/>
      <c r="E507" s="6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8"/>
      <c r="E508" s="6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8"/>
      <c r="E509" s="6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8"/>
      <c r="E510" s="6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8"/>
      <c r="E511" s="6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8"/>
      <c r="E512" s="6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8"/>
      <c r="E513" s="6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8"/>
      <c r="E514" s="6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8"/>
      <c r="E515" s="6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8"/>
      <c r="E516" s="6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8"/>
      <c r="E517" s="6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8"/>
      <c r="E518" s="6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8"/>
      <c r="E519" s="6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8"/>
      <c r="E520" s="6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8"/>
      <c r="E521" s="6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8"/>
      <c r="E522" s="6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8"/>
      <c r="E523" s="6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8"/>
      <c r="E524" s="6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8"/>
      <c r="E525" s="6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8"/>
      <c r="E526" s="6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8"/>
      <c r="E527" s="6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8"/>
      <c r="E528" s="6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8"/>
      <c r="E529" s="6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8"/>
      <c r="E530" s="6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8"/>
      <c r="E531" s="6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8"/>
      <c r="E532" s="6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8"/>
      <c r="E533" s="6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8"/>
      <c r="E534" s="6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8"/>
      <c r="E535" s="6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8"/>
      <c r="E536" s="6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8"/>
      <c r="E537" s="6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8"/>
      <c r="E538" s="6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8"/>
      <c r="E539" s="6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8"/>
      <c r="E540" s="6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8"/>
      <c r="E541" s="6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8"/>
      <c r="E542" s="6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8"/>
      <c r="E543" s="6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8"/>
      <c r="E544" s="6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8"/>
      <c r="E545" s="6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8"/>
      <c r="E546" s="6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8"/>
      <c r="E547" s="6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8"/>
      <c r="E548" s="6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8"/>
      <c r="E549" s="6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8"/>
      <c r="E550" s="6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8"/>
      <c r="E551" s="6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8"/>
      <c r="E552" s="6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8"/>
      <c r="E553" s="6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8"/>
      <c r="E554" s="6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8"/>
      <c r="E555" s="6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8"/>
      <c r="E556" s="6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8"/>
      <c r="E557" s="6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8"/>
      <c r="E558" s="6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8"/>
      <c r="E559" s="6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8"/>
      <c r="E560" s="6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8"/>
      <c r="E561" s="6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8"/>
      <c r="E562" s="6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8"/>
      <c r="E563" s="6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8"/>
      <c r="E564" s="6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8"/>
      <c r="E565" s="6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8"/>
      <c r="E566" s="6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8"/>
      <c r="E567" s="6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8"/>
      <c r="E568" s="6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8"/>
      <c r="E569" s="6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8"/>
      <c r="E570" s="6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8"/>
      <c r="E571" s="6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8"/>
      <c r="E572" s="6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8"/>
      <c r="E573" s="6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8"/>
      <c r="E574" s="6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8"/>
      <c r="E575" s="6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8"/>
      <c r="E576" s="6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8"/>
      <c r="E577" s="6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8"/>
      <c r="E578" s="6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8"/>
      <c r="E579" s="6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8"/>
      <c r="E580" s="6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8"/>
      <c r="E581" s="6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8"/>
      <c r="E582" s="6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8"/>
      <c r="E583" s="6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8"/>
      <c r="E584" s="6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8"/>
      <c r="E585" s="6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8"/>
      <c r="E586" s="6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8"/>
      <c r="E587" s="6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8"/>
      <c r="E588" s="6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8"/>
      <c r="E589" s="6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8"/>
      <c r="E590" s="6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8"/>
      <c r="E591" s="6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8"/>
      <c r="E592" s="6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8"/>
      <c r="E593" s="6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8"/>
      <c r="E594" s="6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8"/>
      <c r="E595" s="6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8"/>
      <c r="E596" s="6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8"/>
      <c r="E597" s="6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8"/>
      <c r="E598" s="6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8"/>
      <c r="E599" s="6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8"/>
      <c r="E600" s="6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8"/>
      <c r="E601" s="6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8"/>
      <c r="E602" s="6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8"/>
      <c r="E603" s="6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8"/>
      <c r="E604" s="6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8"/>
      <c r="E605" s="6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8"/>
      <c r="E606" s="6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8"/>
      <c r="E607" s="6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8"/>
      <c r="E608" s="6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8"/>
      <c r="E609" s="6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8"/>
      <c r="E610" s="6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8"/>
      <c r="E611" s="6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8"/>
      <c r="E612" s="6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8"/>
      <c r="E613" s="6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8"/>
      <c r="E614" s="6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8"/>
      <c r="E615" s="6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8"/>
      <c r="E616" s="6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8"/>
      <c r="E617" s="6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8"/>
      <c r="E618" s="6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8"/>
      <c r="E619" s="6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8"/>
      <c r="E620" s="6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8"/>
      <c r="E621" s="6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8"/>
      <c r="E622" s="6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8"/>
      <c r="E623" s="6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8"/>
      <c r="E624" s="6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8"/>
      <c r="E625" s="6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8"/>
      <c r="E626" s="6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8"/>
      <c r="E627" s="6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8"/>
      <c r="E628" s="6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8"/>
      <c r="E629" s="6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8"/>
      <c r="E630" s="6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8"/>
      <c r="E631" s="6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8"/>
      <c r="E632" s="6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8"/>
      <c r="E633" s="6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8"/>
      <c r="E634" s="6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8"/>
      <c r="E635" s="6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8"/>
      <c r="E636" s="6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8"/>
      <c r="E637" s="6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8"/>
      <c r="E638" s="6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8"/>
      <c r="E639" s="6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8"/>
      <c r="E640" s="6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8"/>
      <c r="E641" s="6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8"/>
      <c r="E642" s="6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8"/>
      <c r="E643" s="6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8"/>
      <c r="E644" s="6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8"/>
      <c r="E645" s="6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8"/>
      <c r="E646" s="6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8"/>
      <c r="E647" s="6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8"/>
      <c r="E648" s="6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8"/>
      <c r="E649" s="6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8"/>
      <c r="E650" s="6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8"/>
      <c r="E651" s="6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8"/>
      <c r="E652" s="6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8"/>
      <c r="E653" s="6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8"/>
      <c r="E654" s="6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8"/>
      <c r="E655" s="6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8"/>
      <c r="E656" s="6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8"/>
      <c r="E657" s="6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8"/>
      <c r="E658" s="6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8"/>
      <c r="E659" s="6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8"/>
      <c r="E660" s="6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8"/>
      <c r="E661" s="6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8"/>
      <c r="E662" s="6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8"/>
      <c r="E663" s="6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8"/>
      <c r="E664" s="6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8"/>
      <c r="E665" s="6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8"/>
      <c r="E666" s="6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8"/>
      <c r="E667" s="6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8"/>
      <c r="E668" s="6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8"/>
      <c r="E669" s="6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8"/>
      <c r="E670" s="6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8"/>
      <c r="E671" s="6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8"/>
      <c r="E672" s="6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8"/>
      <c r="E673" s="6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8"/>
      <c r="E674" s="6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8"/>
      <c r="E675" s="6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8"/>
      <c r="E676" s="6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8"/>
      <c r="E677" s="6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8"/>
      <c r="E678" s="6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8"/>
      <c r="E679" s="6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8"/>
      <c r="E680" s="6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8"/>
      <c r="E681" s="6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8"/>
      <c r="E682" s="6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8"/>
      <c r="E683" s="6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8"/>
      <c r="E684" s="6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8"/>
      <c r="E685" s="6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8"/>
      <c r="E686" s="6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8"/>
      <c r="E687" s="6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8"/>
      <c r="E688" s="6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8"/>
      <c r="E689" s="6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8"/>
      <c r="E690" s="6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8"/>
      <c r="E691" s="6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8"/>
      <c r="E692" s="6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8"/>
      <c r="E693" s="6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8"/>
      <c r="E694" s="6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8"/>
      <c r="E695" s="6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8"/>
      <c r="E696" s="6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8"/>
      <c r="E697" s="6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8"/>
      <c r="E698" s="6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8"/>
      <c r="E699" s="6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8"/>
      <c r="E700" s="6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8"/>
      <c r="E701" s="6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8"/>
      <c r="E702" s="6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8"/>
      <c r="E703" s="6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8"/>
      <c r="E704" s="6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8"/>
      <c r="E705" s="6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8"/>
      <c r="E706" s="6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8"/>
      <c r="E707" s="6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8"/>
      <c r="E708" s="6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8"/>
      <c r="E709" s="6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8"/>
      <c r="E710" s="6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8"/>
      <c r="E711" s="6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8"/>
      <c r="E712" s="6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8"/>
      <c r="E713" s="6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8"/>
      <c r="E714" s="6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8"/>
      <c r="E715" s="6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8"/>
      <c r="E716" s="6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8"/>
      <c r="E717" s="6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8"/>
      <c r="E718" s="6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8"/>
      <c r="E719" s="6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8"/>
      <c r="E720" s="6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8"/>
      <c r="E721" s="6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8"/>
      <c r="E722" s="6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8"/>
      <c r="E723" s="6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8"/>
      <c r="E724" s="6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8"/>
      <c r="E725" s="6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8"/>
      <c r="E726" s="6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8"/>
      <c r="E727" s="6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8"/>
      <c r="E728" s="6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8"/>
      <c r="E729" s="6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8"/>
      <c r="E730" s="6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8"/>
      <c r="E731" s="6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8"/>
      <c r="E732" s="6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8"/>
      <c r="E733" s="6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8"/>
      <c r="E734" s="6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8"/>
      <c r="E735" s="6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8"/>
      <c r="E736" s="6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8"/>
      <c r="E737" s="6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8"/>
      <c r="E738" s="6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8"/>
      <c r="E739" s="6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8"/>
      <c r="E740" s="6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8"/>
      <c r="E741" s="6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8"/>
      <c r="E742" s="6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8"/>
      <c r="E743" s="6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8"/>
      <c r="E744" s="6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8"/>
      <c r="E745" s="6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8"/>
      <c r="E746" s="6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8"/>
      <c r="E747" s="6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8"/>
      <c r="E748" s="6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8"/>
      <c r="E749" s="6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8"/>
      <c r="E750" s="6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8"/>
      <c r="E751" s="6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8"/>
      <c r="E752" s="6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8"/>
      <c r="E753" s="6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8"/>
      <c r="E754" s="6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8"/>
      <c r="E755" s="6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8"/>
      <c r="E756" s="6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8"/>
      <c r="E757" s="6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8"/>
      <c r="E758" s="6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8"/>
      <c r="E759" s="6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8"/>
      <c r="E760" s="6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8"/>
      <c r="E761" s="6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8"/>
      <c r="E762" s="6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8"/>
      <c r="E763" s="6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8"/>
      <c r="E764" s="6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8"/>
      <c r="E765" s="6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8"/>
      <c r="E766" s="6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8"/>
      <c r="E767" s="6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8"/>
      <c r="E768" s="6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8"/>
      <c r="E769" s="6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8"/>
      <c r="E770" s="6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8"/>
      <c r="E771" s="6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8"/>
      <c r="E772" s="6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8"/>
      <c r="E773" s="6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8"/>
      <c r="E774" s="6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8"/>
      <c r="E775" s="6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8"/>
      <c r="E776" s="6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8"/>
      <c r="E777" s="6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8"/>
      <c r="E778" s="6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8"/>
      <c r="E779" s="6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8"/>
      <c r="E780" s="6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8"/>
      <c r="E781" s="6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8"/>
      <c r="E782" s="6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8"/>
      <c r="E783" s="6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8"/>
      <c r="E784" s="6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8"/>
      <c r="E785" s="6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8"/>
      <c r="E786" s="6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8"/>
      <c r="E787" s="6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8"/>
      <c r="E788" s="6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8"/>
      <c r="E789" s="6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8"/>
      <c r="E790" s="6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8"/>
      <c r="E791" s="6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8"/>
      <c r="E792" s="6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8"/>
      <c r="E793" s="6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8"/>
      <c r="E794" s="6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8"/>
      <c r="E795" s="6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8"/>
      <c r="E796" s="6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8"/>
      <c r="E797" s="6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8"/>
      <c r="E798" s="6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8"/>
      <c r="E799" s="6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8"/>
      <c r="E800" s="6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8"/>
      <c r="E801" s="6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8"/>
      <c r="E802" s="6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8"/>
      <c r="E803" s="6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8"/>
      <c r="E804" s="6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8"/>
      <c r="E805" s="6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8"/>
      <c r="E806" s="6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8"/>
      <c r="E807" s="6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8"/>
      <c r="E808" s="6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8"/>
      <c r="E809" s="6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8"/>
      <c r="E810" s="6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8"/>
      <c r="E811" s="6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8"/>
      <c r="E812" s="6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8"/>
      <c r="E813" s="6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8"/>
      <c r="E814" s="6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8"/>
      <c r="E815" s="6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8"/>
      <c r="E816" s="6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8"/>
      <c r="E817" s="6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8"/>
      <c r="E818" s="6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8"/>
      <c r="E819" s="6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8"/>
      <c r="E820" s="6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8"/>
      <c r="E821" s="6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8"/>
      <c r="E822" s="6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8"/>
      <c r="E823" s="6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8"/>
      <c r="E824" s="6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8"/>
      <c r="E825" s="6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8"/>
      <c r="E826" s="6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8"/>
      <c r="E827" s="6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8"/>
      <c r="E828" s="6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8"/>
      <c r="E829" s="6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8"/>
      <c r="E830" s="6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8"/>
      <c r="E831" s="6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8"/>
      <c r="E832" s="6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8"/>
      <c r="E833" s="6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8"/>
      <c r="E834" s="6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8"/>
      <c r="E835" s="6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8"/>
      <c r="E836" s="6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8"/>
      <c r="E837" s="6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8"/>
      <c r="E838" s="6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8"/>
      <c r="E839" s="6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8"/>
      <c r="E840" s="6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8"/>
      <c r="E841" s="6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8"/>
      <c r="E842" s="6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8"/>
      <c r="E843" s="6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8"/>
      <c r="E844" s="6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8"/>
      <c r="E845" s="6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8"/>
      <c r="E846" s="6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8"/>
      <c r="E847" s="6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8"/>
      <c r="E848" s="6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8"/>
      <c r="E849" s="6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8"/>
      <c r="E850" s="6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8"/>
      <c r="E851" s="6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8"/>
      <c r="E852" s="6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8"/>
      <c r="E853" s="6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8"/>
      <c r="E854" s="6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8"/>
      <c r="E855" s="6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8"/>
      <c r="E856" s="6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8"/>
      <c r="E857" s="6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8"/>
      <c r="E858" s="6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8"/>
      <c r="E859" s="6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8"/>
      <c r="E860" s="6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8"/>
      <c r="E861" s="6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8"/>
      <c r="E862" s="6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8"/>
      <c r="E863" s="6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8"/>
      <c r="E864" s="6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8"/>
      <c r="E865" s="6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8"/>
      <c r="E866" s="6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8"/>
      <c r="E867" s="6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8"/>
      <c r="E868" s="6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8"/>
      <c r="E869" s="6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8"/>
      <c r="E870" s="6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8"/>
      <c r="E871" s="6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8"/>
      <c r="E872" s="6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8"/>
      <c r="E873" s="6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8"/>
      <c r="E874" s="6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8"/>
      <c r="E875" s="6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8"/>
      <c r="E876" s="6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8"/>
      <c r="E877" s="6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8"/>
      <c r="E878" s="6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8"/>
      <c r="E879" s="6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8"/>
      <c r="E880" s="6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8"/>
      <c r="E881" s="6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8"/>
      <c r="E882" s="6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8"/>
      <c r="E883" s="6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8"/>
      <c r="E884" s="6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8"/>
      <c r="E885" s="6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8"/>
      <c r="E886" s="6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8"/>
      <c r="E887" s="6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8"/>
      <c r="E888" s="6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8"/>
      <c r="E889" s="6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8"/>
      <c r="E890" s="6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8"/>
      <c r="E891" s="6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8"/>
      <c r="E892" s="6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8"/>
      <c r="E893" s="6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8"/>
      <c r="E894" s="6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8"/>
      <c r="E895" s="6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8"/>
      <c r="E896" s="6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8"/>
      <c r="E897" s="6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8"/>
      <c r="E898" s="6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8"/>
      <c r="E899" s="6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8"/>
      <c r="E900" s="6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8"/>
      <c r="E901" s="6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8"/>
      <c r="E902" s="6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8"/>
      <c r="E903" s="6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8"/>
      <c r="E904" s="6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8"/>
      <c r="E905" s="6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8"/>
      <c r="E906" s="6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8"/>
      <c r="E907" s="6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8"/>
      <c r="E908" s="6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8"/>
      <c r="E909" s="6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8"/>
      <c r="E910" s="6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8"/>
      <c r="E911" s="6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8"/>
      <c r="E912" s="6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8"/>
      <c r="E913" s="6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8"/>
      <c r="E914" s="6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8"/>
      <c r="E915" s="6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8"/>
      <c r="E916" s="6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8"/>
      <c r="E917" s="6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8"/>
      <c r="E918" s="6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8"/>
      <c r="E919" s="6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8"/>
      <c r="E920" s="6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8"/>
      <c r="E921" s="6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8"/>
      <c r="E922" s="6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8"/>
      <c r="E923" s="6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8"/>
      <c r="E924" s="6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8"/>
      <c r="E925" s="6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8"/>
      <c r="E926" s="6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8"/>
      <c r="E927" s="6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8"/>
      <c r="E928" s="6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8"/>
      <c r="E929" s="6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8"/>
      <c r="E930" s="6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8"/>
      <c r="E931" s="6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8"/>
      <c r="E932" s="6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8"/>
      <c r="E933" s="6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8"/>
      <c r="E934" s="6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8"/>
      <c r="E935" s="6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8"/>
      <c r="E936" s="6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8"/>
      <c r="E937" s="6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8"/>
      <c r="E938" s="6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8"/>
      <c r="E939" s="6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8"/>
      <c r="E940" s="6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8"/>
      <c r="E941" s="6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8"/>
      <c r="E942" s="6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8"/>
      <c r="E943" s="6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8"/>
      <c r="E944" s="6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8"/>
      <c r="E945" s="6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8"/>
      <c r="E946" s="6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8"/>
      <c r="E947" s="6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8"/>
      <c r="E948" s="6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8"/>
      <c r="E949" s="6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8"/>
      <c r="E950" s="6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8"/>
      <c r="E951" s="6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78"/>
      <c r="E952" s="6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78"/>
      <c r="E953" s="6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78"/>
      <c r="E954" s="6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78"/>
      <c r="E955" s="6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78"/>
      <c r="E956" s="6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78"/>
      <c r="E957" s="6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78"/>
      <c r="E958" s="6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78"/>
      <c r="E959" s="6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78"/>
      <c r="E960" s="6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78"/>
      <c r="E961" s="6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78"/>
      <c r="E962" s="6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78"/>
      <c r="E963" s="6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78"/>
      <c r="E964" s="6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78"/>
      <c r="E965" s="61"/>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78"/>
      <c r="E966" s="61"/>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78"/>
      <c r="E967" s="61"/>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78"/>
      <c r="E968" s="61"/>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78"/>
      <c r="E969" s="61"/>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78"/>
      <c r="E970" s="61"/>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78"/>
      <c r="E971" s="61"/>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78"/>
      <c r="E972" s="61"/>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78"/>
      <c r="E973" s="61"/>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78"/>
      <c r="E974" s="61"/>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78"/>
      <c r="E975" s="61"/>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78"/>
      <c r="E976" s="61"/>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sheetData>
  <mergeCells count="10">
    <mergeCell ref="A17:A20"/>
    <mergeCell ref="A22:A25"/>
    <mergeCell ref="B22:B25"/>
    <mergeCell ref="A2:A5"/>
    <mergeCell ref="B2:B5"/>
    <mergeCell ref="A7:A10"/>
    <mergeCell ref="B7:B10"/>
    <mergeCell ref="A12:A15"/>
    <mergeCell ref="B12:B15"/>
    <mergeCell ref="B17:B20"/>
  </mergeCells>
  <conditionalFormatting sqref="E7:E10 E12:E15 E17:E20 E22:E25">
    <cfRule type="colorScale" priority="1">
      <colorScale>
        <cfvo type="formula" val="0"/>
        <cfvo type="formula" val="0.5"/>
        <cfvo type="formula" val="1"/>
        <color rgb="FFFFFFFF"/>
        <color rgb="FFF3BEB9"/>
        <color rgb="FFE67C73"/>
      </colorScale>
    </cfRule>
  </conditionalFormatting>
  <conditionalFormatting sqref="E2:E976">
    <cfRule type="colorScale" priority="2">
      <colorScale>
        <cfvo type="formula" val="0"/>
        <cfvo type="formula" val="1"/>
        <color rgb="FFFFFFFF"/>
        <color rgb="FFE67C73"/>
      </colorScale>
    </cfRule>
  </conditionalFormatting>
  <dataValidations>
    <dataValidation type="list" allowBlank="1" showErrorMessage="1" sqref="F2:J976">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88"/>
    <col hidden="1" min="10" max="11" width="12.63"/>
  </cols>
  <sheetData>
    <row r="1">
      <c r="A1" s="1" t="s">
        <v>0</v>
      </c>
      <c r="B1" s="1" t="s">
        <v>1</v>
      </c>
      <c r="C1" s="1" t="s">
        <v>2</v>
      </c>
      <c r="D1" s="1" t="s">
        <v>3</v>
      </c>
      <c r="E1" s="2" t="s">
        <v>4</v>
      </c>
      <c r="F1" s="2" t="s">
        <v>5</v>
      </c>
      <c r="G1" s="2" t="s">
        <v>6</v>
      </c>
      <c r="H1" s="2" t="s">
        <v>7</v>
      </c>
      <c r="I1" s="2" t="s">
        <v>8</v>
      </c>
      <c r="J1" s="1" t="s">
        <v>162</v>
      </c>
      <c r="K1" s="1" t="s">
        <v>163</v>
      </c>
    </row>
    <row r="2">
      <c r="A2" s="93" t="str">
        <f>'🤖 Claude Sonnet 3.5'!$A$2</f>
        <v>www.berria.eus/euskal-herria/ehunka-herritarrek-etxebarriko-sexu-erasoa-salatu-dute_2126343_102.html</v>
      </c>
      <c r="B2" s="6" t="str">
        <f t="shared" ref="B2:B5" si="1">"Claude Sonnet 3.5"</f>
        <v>Claude Sonnet 3.5</v>
      </c>
      <c r="C2" s="7" t="str">
        <f>'🤖 Claude Sonnet 3.5'!C2</f>
        <v>Base</v>
      </c>
      <c r="D2" s="94">
        <f>'🤖 Claude Sonnet 3.5'!E2</f>
        <v>1.056603774</v>
      </c>
      <c r="E2" s="7">
        <f>'🤖 Claude Sonnet 3.5'!F2</f>
        <v>2</v>
      </c>
      <c r="F2" s="7">
        <f>'🤖 Claude Sonnet 3.5'!G2</f>
        <v>4</v>
      </c>
      <c r="G2" s="7">
        <f>'🤖 Claude Sonnet 3.5'!H2</f>
        <v>5</v>
      </c>
      <c r="H2" s="7">
        <f>'🤖 Claude Sonnet 3.5'!I2</f>
        <v>3</v>
      </c>
      <c r="I2" s="7">
        <f>'🤖 Claude Sonnet 3.5'!J2</f>
        <v>5</v>
      </c>
      <c r="J2" s="11">
        <f>VLOOKUP(B2,'__lookup__'!A:B,2,FALSE)</f>
        <v>1</v>
      </c>
      <c r="K2" s="11">
        <f>VLOOKUP(C2,'__lookup__'!A:B,2,FALSE)</f>
        <v>10</v>
      </c>
      <c r="M2" s="95"/>
      <c r="N2" s="95"/>
      <c r="O2" s="95"/>
      <c r="P2" s="95"/>
      <c r="Q2" s="95"/>
      <c r="R2" s="95"/>
      <c r="S2" s="95"/>
    </row>
    <row r="3">
      <c r="A3" s="93" t="str">
        <f>'🤖 Claude Sonnet 3.5'!$A$2</f>
        <v>www.berria.eus/euskal-herria/ehunka-herritarrek-etxebarriko-sexu-erasoa-salatu-dute_2126343_102.html</v>
      </c>
      <c r="B3" s="6" t="str">
        <f t="shared" si="1"/>
        <v>Claude Sonnet 3.5</v>
      </c>
      <c r="C3" s="7" t="str">
        <f>'🤖 Claude Sonnet 3.5'!C3</f>
        <v>CoT</v>
      </c>
      <c r="D3" s="94">
        <f>'🤖 Claude Sonnet 3.5'!E3</f>
        <v>0.5377358491</v>
      </c>
      <c r="E3" s="7">
        <f>'🤖 Claude Sonnet 3.5'!F3</f>
        <v>4</v>
      </c>
      <c r="F3" s="7">
        <f>'🤖 Claude Sonnet 3.5'!G3</f>
        <v>4</v>
      </c>
      <c r="G3" s="7">
        <f>'🤖 Claude Sonnet 3.5'!H3</f>
        <v>4</v>
      </c>
      <c r="H3" s="7">
        <f>'🤖 Claude Sonnet 3.5'!I3</f>
        <v>3</v>
      </c>
      <c r="I3" s="7">
        <f>'🤖 Claude Sonnet 3.5'!J3</f>
        <v>5</v>
      </c>
    </row>
    <row r="4">
      <c r="A4" s="93" t="str">
        <f>'🤖 Claude Sonnet 3.5'!$A$2</f>
        <v>www.berria.eus/euskal-herria/ehunka-herritarrek-etxebarriko-sexu-erasoa-salatu-dute_2126343_102.html</v>
      </c>
      <c r="B4" s="6" t="str">
        <f t="shared" si="1"/>
        <v>Claude Sonnet 3.5</v>
      </c>
      <c r="C4" s="7" t="str">
        <f>'🤖 Claude Sonnet 3.5'!C4</f>
        <v>5W1H</v>
      </c>
      <c r="D4" s="94">
        <f>'🤖 Claude Sonnet 3.5'!E4</f>
        <v>1.235849057</v>
      </c>
      <c r="E4" s="7">
        <f>'🤖 Claude Sonnet 3.5'!F4</f>
        <v>1</v>
      </c>
      <c r="F4" s="7">
        <f>'🤖 Claude Sonnet 3.5'!G4</f>
        <v>4</v>
      </c>
      <c r="G4" s="7">
        <f>'🤖 Claude Sonnet 3.5'!H4</f>
        <v>4</v>
      </c>
      <c r="H4" s="7">
        <f>'🤖 Claude Sonnet 3.5'!I4</f>
        <v>3</v>
      </c>
      <c r="I4" s="7">
        <f>'🤖 Claude Sonnet 3.5'!J4</f>
        <v>5</v>
      </c>
    </row>
    <row r="5">
      <c r="A5" s="93" t="str">
        <f>'🤖 Claude Sonnet 3.5'!$A$2</f>
        <v>www.berria.eus/euskal-herria/ehunka-herritarrek-etxebarriko-sexu-erasoa-salatu-dute_2126343_102.html</v>
      </c>
      <c r="B5" s="6" t="str">
        <f t="shared" si="1"/>
        <v>Claude Sonnet 3.5</v>
      </c>
      <c r="C5" s="7" t="str">
        <f>'🤖 Claude Sonnet 3.5'!C5</f>
        <v>tldr</v>
      </c>
      <c r="D5" s="94">
        <f>'🤖 Claude Sonnet 3.5'!E5</f>
        <v>0.5754716981</v>
      </c>
      <c r="E5" s="7">
        <f>'🤖 Claude Sonnet 3.5'!F5</f>
        <v>3</v>
      </c>
      <c r="F5" s="7">
        <f>'🤖 Claude Sonnet 3.5'!G5</f>
        <v>4</v>
      </c>
      <c r="G5" s="7">
        <f>'🤖 Claude Sonnet 3.5'!H5</f>
        <v>4</v>
      </c>
      <c r="H5" s="7">
        <f>'🤖 Claude Sonnet 3.5'!I5</f>
        <v>3</v>
      </c>
      <c r="I5" s="7">
        <f>'🤖 Claude Sonnet 3.5'!J5</f>
        <v>5</v>
      </c>
    </row>
    <row r="6">
      <c r="A6" s="96"/>
      <c r="B6" s="6"/>
      <c r="C6" s="7"/>
      <c r="D6" s="3"/>
      <c r="E6" s="7"/>
      <c r="F6" s="7"/>
      <c r="G6" s="7"/>
      <c r="H6" s="7"/>
      <c r="I6" s="7"/>
    </row>
    <row r="7">
      <c r="A7" s="93" t="str">
        <f>'🤖 Claude Sonnet 3.5'!$A$7</f>
        <v>https://www.berria.eus/euskal-herria/erramun-baxok-ohorezko-euskaltzaina-zendu-da_2126101_102.html</v>
      </c>
      <c r="B7" s="6" t="str">
        <f t="shared" ref="B7:B10" si="2">"Claude Sonnet 3.5"</f>
        <v>Claude Sonnet 3.5</v>
      </c>
      <c r="C7" s="7" t="str">
        <f>'🤖 Claude Sonnet 3.5'!C7</f>
        <v>Base</v>
      </c>
      <c r="D7" s="94">
        <f>'🤖 Claude Sonnet 3.5'!E7</f>
        <v>0.2862385321</v>
      </c>
      <c r="E7" s="7">
        <f>'🤖 Claude Sonnet 3.5'!F7</f>
        <v>2</v>
      </c>
      <c r="F7" s="7">
        <f>'🤖 Claude Sonnet 3.5'!G7</f>
        <v>5</v>
      </c>
      <c r="G7" s="7">
        <f>'🤖 Claude Sonnet 3.5'!H7</f>
        <v>5</v>
      </c>
      <c r="H7" s="7">
        <f>'🤖 Claude Sonnet 3.5'!I7</f>
        <v>2</v>
      </c>
      <c r="I7" s="7">
        <f>'🤖 Claude Sonnet 3.5'!J7</f>
        <v>5</v>
      </c>
    </row>
    <row r="8">
      <c r="A8" s="93" t="str">
        <f>'🤖 Claude Sonnet 3.5'!$A$7</f>
        <v>https://www.berria.eus/euskal-herria/erramun-baxok-ohorezko-euskaltzaina-zendu-da_2126101_102.html</v>
      </c>
      <c r="B8" s="6" t="str">
        <f t="shared" si="2"/>
        <v>Claude Sonnet 3.5</v>
      </c>
      <c r="C8" s="7" t="str">
        <f>'🤖 Claude Sonnet 3.5'!C8</f>
        <v>CoT</v>
      </c>
      <c r="D8" s="94">
        <f>'🤖 Claude Sonnet 3.5'!E8</f>
        <v>0.1541284404</v>
      </c>
      <c r="E8" s="7">
        <f>'🤖 Claude Sonnet 3.5'!F8</f>
        <v>4</v>
      </c>
      <c r="F8" s="7">
        <f>'🤖 Claude Sonnet 3.5'!G8</f>
        <v>5</v>
      </c>
      <c r="G8" s="7">
        <f>'🤖 Claude Sonnet 3.5'!H8</f>
        <v>4</v>
      </c>
      <c r="H8" s="7">
        <f>'🤖 Claude Sonnet 3.5'!I8</f>
        <v>5</v>
      </c>
      <c r="I8" s="7">
        <f>'🤖 Claude Sonnet 3.5'!J8</f>
        <v>4</v>
      </c>
    </row>
    <row r="9">
      <c r="A9" s="93" t="str">
        <f>'🤖 Claude Sonnet 3.5'!$A$7</f>
        <v>https://www.berria.eus/euskal-herria/erramun-baxok-ohorezko-euskaltzaina-zendu-da_2126101_102.html</v>
      </c>
      <c r="B9" s="6" t="str">
        <f t="shared" si="2"/>
        <v>Claude Sonnet 3.5</v>
      </c>
      <c r="C9" s="7" t="str">
        <f>'🤖 Claude Sonnet 3.5'!C9</f>
        <v>5W1H</v>
      </c>
      <c r="D9" s="94">
        <f>'🤖 Claude Sonnet 3.5'!E9</f>
        <v>0.2752293578</v>
      </c>
      <c r="E9" s="7">
        <f>'🤖 Claude Sonnet 3.5'!F9</f>
        <v>1</v>
      </c>
      <c r="F9" s="7">
        <f>'🤖 Claude Sonnet 3.5'!G9</f>
        <v>4</v>
      </c>
      <c r="G9" s="7">
        <f>'🤖 Claude Sonnet 3.5'!H9</f>
        <v>5</v>
      </c>
      <c r="H9" s="7">
        <f>'🤖 Claude Sonnet 3.5'!I9</f>
        <v>2</v>
      </c>
      <c r="I9" s="7">
        <f>'🤖 Claude Sonnet 3.5'!J9</f>
        <v>5</v>
      </c>
      <c r="N9" s="95"/>
      <c r="O9" s="95"/>
      <c r="P9" s="95"/>
      <c r="Q9" s="95"/>
      <c r="R9" s="95"/>
      <c r="S9" s="95"/>
      <c r="T9" s="95"/>
    </row>
    <row r="10">
      <c r="A10" s="93" t="str">
        <f>'🤖 Claude Sonnet 3.5'!$A$7</f>
        <v>https://www.berria.eus/euskal-herria/erramun-baxok-ohorezko-euskaltzaina-zendu-da_2126101_102.html</v>
      </c>
      <c r="B10" s="6" t="str">
        <f t="shared" si="2"/>
        <v>Claude Sonnet 3.5</v>
      </c>
      <c r="C10" s="7" t="str">
        <f>'🤖 Claude Sonnet 3.5'!C10</f>
        <v>tldr</v>
      </c>
      <c r="D10" s="94">
        <f>'🤖 Claude Sonnet 3.5'!E10</f>
        <v>0.1853211009</v>
      </c>
      <c r="E10" s="7">
        <f>'🤖 Claude Sonnet 3.5'!F10</f>
        <v>3</v>
      </c>
      <c r="F10" s="7">
        <f>'🤖 Claude Sonnet 3.5'!G10</f>
        <v>5</v>
      </c>
      <c r="G10" s="7">
        <f>'🤖 Claude Sonnet 3.5'!H10</f>
        <v>5</v>
      </c>
      <c r="H10" s="7">
        <f>'🤖 Claude Sonnet 3.5'!I10</f>
        <v>4</v>
      </c>
      <c r="I10" s="7">
        <f>'🤖 Claude Sonnet 3.5'!J10</f>
        <v>5</v>
      </c>
    </row>
    <row r="11">
      <c r="A11" s="96"/>
      <c r="B11" s="6"/>
      <c r="C11" s="7"/>
      <c r="D11" s="3"/>
      <c r="E11" s="7"/>
      <c r="F11" s="7"/>
      <c r="G11" s="7"/>
      <c r="H11" s="7"/>
      <c r="I11" s="7"/>
    </row>
    <row r="12">
      <c r="A12" s="93" t="str">
        <f>'🤖 Claude Sonnet 3.5'!$A$12</f>
        <v>https://www.berria.eus/euskal-herria/etxelekuren-kargugabetzea-kritikatu-dute-errobiko-bederatzi-hautetsik_2125690_102.html</v>
      </c>
      <c r="B12" s="6" t="str">
        <f t="shared" ref="B12:B15" si="3">"Claude Sonnet 3.5"</f>
        <v>Claude Sonnet 3.5</v>
      </c>
      <c r="C12" s="7" t="str">
        <f>'🤖 Claude Sonnet 3.5'!C12</f>
        <v>Base</v>
      </c>
      <c r="D12" s="94">
        <f>'🤖 Claude Sonnet 3.5'!E12</f>
        <v>0.4127906977</v>
      </c>
      <c r="E12" s="7">
        <f>'🤖 Claude Sonnet 3.5'!F12</f>
        <v>3</v>
      </c>
      <c r="F12" s="7">
        <f>'🤖 Claude Sonnet 3.5'!G12</f>
        <v>5</v>
      </c>
      <c r="G12" s="7">
        <f>'🤖 Claude Sonnet 3.5'!H12</f>
        <v>5</v>
      </c>
      <c r="H12" s="7">
        <f>'🤖 Claude Sonnet 3.5'!I12</f>
        <v>3</v>
      </c>
      <c r="I12" s="7">
        <f>'🤖 Claude Sonnet 3.5'!J12</f>
        <v>5</v>
      </c>
    </row>
    <row r="13">
      <c r="A13" s="93" t="str">
        <f>'🤖 Claude Sonnet 3.5'!$A$12</f>
        <v>https://www.berria.eus/euskal-herria/etxelekuren-kargugabetzea-kritikatu-dute-errobiko-bederatzi-hautetsik_2125690_102.html</v>
      </c>
      <c r="B13" s="6" t="str">
        <f t="shared" si="3"/>
        <v>Claude Sonnet 3.5</v>
      </c>
      <c r="C13" s="7" t="str">
        <f>'🤖 Claude Sonnet 3.5'!C13</f>
        <v>CoT</v>
      </c>
      <c r="D13" s="94">
        <f>'🤖 Claude Sonnet 3.5'!E13</f>
        <v>0.1918604651</v>
      </c>
      <c r="E13" s="7">
        <f>'🤖 Claude Sonnet 3.5'!F13</f>
        <v>4</v>
      </c>
      <c r="F13" s="7">
        <f>'🤖 Claude Sonnet 3.5'!G13</f>
        <v>5</v>
      </c>
      <c r="G13" s="7">
        <f>'🤖 Claude Sonnet 3.5'!H13</f>
        <v>5</v>
      </c>
      <c r="H13" s="7">
        <f>'🤖 Claude Sonnet 3.5'!I13</f>
        <v>5</v>
      </c>
      <c r="I13" s="7">
        <f>'🤖 Claude Sonnet 3.5'!J13</f>
        <v>5</v>
      </c>
    </row>
    <row r="14">
      <c r="A14" s="93" t="str">
        <f>'🤖 Claude Sonnet 3.5'!$A$12</f>
        <v>https://www.berria.eus/euskal-herria/etxelekuren-kargugabetzea-kritikatu-dute-errobiko-bederatzi-hautetsik_2125690_102.html</v>
      </c>
      <c r="B14" s="6" t="str">
        <f t="shared" si="3"/>
        <v>Claude Sonnet 3.5</v>
      </c>
      <c r="C14" s="7" t="str">
        <f>'🤖 Claude Sonnet 3.5'!C14</f>
        <v>5W1H</v>
      </c>
      <c r="D14" s="94">
        <f>'🤖 Claude Sonnet 3.5'!E14</f>
        <v>0.4186046512</v>
      </c>
      <c r="E14" s="7">
        <f>'🤖 Claude Sonnet 3.5'!F14</f>
        <v>3</v>
      </c>
      <c r="F14" s="7">
        <f>'🤖 Claude Sonnet 3.5'!G14</f>
        <v>5</v>
      </c>
      <c r="G14" s="7">
        <f>'🤖 Claude Sonnet 3.5'!H14</f>
        <v>5</v>
      </c>
      <c r="H14" s="7">
        <f>'🤖 Claude Sonnet 3.5'!I14</f>
        <v>3</v>
      </c>
      <c r="I14" s="7">
        <f>'🤖 Claude Sonnet 3.5'!J14</f>
        <v>4</v>
      </c>
    </row>
    <row r="15">
      <c r="A15" s="93" t="str">
        <f>'🤖 Claude Sonnet 3.5'!$A$12</f>
        <v>https://www.berria.eus/euskal-herria/etxelekuren-kargugabetzea-kritikatu-dute-errobiko-bederatzi-hautetsik_2125690_102.html</v>
      </c>
      <c r="B15" s="6" t="str">
        <f t="shared" si="3"/>
        <v>Claude Sonnet 3.5</v>
      </c>
      <c r="C15" s="7" t="str">
        <f>'🤖 Claude Sonnet 3.5'!C15</f>
        <v>tldr</v>
      </c>
      <c r="D15" s="94">
        <f>'🤖 Claude Sonnet 3.5'!E15</f>
        <v>0.3023255814</v>
      </c>
      <c r="E15" s="7">
        <f>'🤖 Claude Sonnet 3.5'!F15</f>
        <v>3</v>
      </c>
      <c r="F15" s="7">
        <f>'🤖 Claude Sonnet 3.5'!G15</f>
        <v>5</v>
      </c>
      <c r="G15" s="7">
        <f>'🤖 Claude Sonnet 3.5'!H15</f>
        <v>5</v>
      </c>
      <c r="H15" s="7">
        <f>'🤖 Claude Sonnet 3.5'!I15</f>
        <v>4</v>
      </c>
      <c r="I15" s="7">
        <f>'🤖 Claude Sonnet 3.5'!J15</f>
        <v>5</v>
      </c>
    </row>
    <row r="16">
      <c r="A16" s="96"/>
      <c r="B16" s="6"/>
      <c r="C16" s="7"/>
      <c r="D16" s="3"/>
      <c r="E16" s="7"/>
      <c r="F16" s="7"/>
      <c r="G16" s="7"/>
      <c r="H16" s="7"/>
      <c r="I16" s="7"/>
    </row>
    <row r="17">
      <c r="A17" s="93" t="str">
        <f>'🤖 Claude Sonnet 3.5'!$A$17</f>
        <v>https://www.berria.eus/euskal-herria/itziar-lakari-eman-diote-eusko-ikaskuntzaren-saria_2125317_102.html</v>
      </c>
      <c r="B17" s="6" t="str">
        <f t="shared" ref="B17:B20" si="4">"Claude Sonnet 3.5"</f>
        <v>Claude Sonnet 3.5</v>
      </c>
      <c r="C17" s="7" t="str">
        <f>'🤖 Claude Sonnet 3.5'!C17</f>
        <v>Base</v>
      </c>
      <c r="D17" s="94">
        <f>'🤖 Claude Sonnet 3.5'!E17</f>
        <v>0.6683937824</v>
      </c>
      <c r="E17" s="7">
        <f>'🤖 Claude Sonnet 3.5'!F17</f>
        <v>4</v>
      </c>
      <c r="F17" s="7">
        <f>'🤖 Claude Sonnet 3.5'!G17</f>
        <v>5</v>
      </c>
      <c r="G17" s="7">
        <f>'🤖 Claude Sonnet 3.5'!H17</f>
        <v>5</v>
      </c>
      <c r="H17" s="7">
        <f>'🤖 Claude Sonnet 3.5'!I17</f>
        <v>3</v>
      </c>
      <c r="I17" s="7">
        <f>'🤖 Claude Sonnet 3.5'!J17</f>
        <v>5</v>
      </c>
    </row>
    <row r="18">
      <c r="A18" s="93" t="str">
        <f>'🤖 Claude Sonnet 3.5'!$A$17</f>
        <v>https://www.berria.eus/euskal-herria/itziar-lakari-eman-diote-eusko-ikaskuntzaren-saria_2125317_102.html</v>
      </c>
      <c r="B18" s="6" t="str">
        <f t="shared" si="4"/>
        <v>Claude Sonnet 3.5</v>
      </c>
      <c r="C18" s="7" t="str">
        <f>'🤖 Claude Sonnet 3.5'!C18</f>
        <v>CoT</v>
      </c>
      <c r="D18" s="94">
        <f>'🤖 Claude Sonnet 3.5'!E18</f>
        <v>0.4507772021</v>
      </c>
      <c r="E18" s="7">
        <f>'🤖 Claude Sonnet 3.5'!F18</f>
        <v>4</v>
      </c>
      <c r="F18" s="7">
        <f>'🤖 Claude Sonnet 3.5'!G18</f>
        <v>5</v>
      </c>
      <c r="G18" s="7">
        <f>'🤖 Claude Sonnet 3.5'!H18</f>
        <v>4</v>
      </c>
      <c r="H18" s="7">
        <f>'🤖 Claude Sonnet 3.5'!I18</f>
        <v>4</v>
      </c>
      <c r="I18" s="7">
        <f>'🤖 Claude Sonnet 3.5'!J18</f>
        <v>4</v>
      </c>
    </row>
    <row r="19">
      <c r="A19" s="93" t="str">
        <f>'🤖 Claude Sonnet 3.5'!$A$17</f>
        <v>https://www.berria.eus/euskal-herria/itziar-lakari-eman-diote-eusko-ikaskuntzaren-saria_2125317_102.html</v>
      </c>
      <c r="B19" s="6" t="str">
        <f t="shared" si="4"/>
        <v>Claude Sonnet 3.5</v>
      </c>
      <c r="C19" s="7" t="str">
        <f>'🤖 Claude Sonnet 3.5'!C19</f>
        <v>5W1H</v>
      </c>
      <c r="D19" s="94">
        <f>'🤖 Claude Sonnet 3.5'!E19</f>
        <v>0.8601036269</v>
      </c>
      <c r="E19" s="7">
        <f>'🤖 Claude Sonnet 3.5'!F19</f>
        <v>2</v>
      </c>
      <c r="F19" s="7">
        <f>'🤖 Claude Sonnet 3.5'!G19</f>
        <v>5</v>
      </c>
      <c r="G19" s="7">
        <f>'🤖 Claude Sonnet 3.5'!H19</f>
        <v>5</v>
      </c>
      <c r="H19" s="7">
        <f>'🤖 Claude Sonnet 3.5'!I19</f>
        <v>3</v>
      </c>
      <c r="I19" s="7">
        <f>'🤖 Claude Sonnet 3.5'!J19</f>
        <v>4</v>
      </c>
    </row>
    <row r="20">
      <c r="A20" s="93" t="str">
        <f>'🤖 Claude Sonnet 3.5'!$A$17</f>
        <v>https://www.berria.eus/euskal-herria/itziar-lakari-eman-diote-eusko-ikaskuntzaren-saria_2125317_102.html</v>
      </c>
      <c r="B20" s="6" t="str">
        <f t="shared" si="4"/>
        <v>Claude Sonnet 3.5</v>
      </c>
      <c r="C20" s="7" t="str">
        <f>'🤖 Claude Sonnet 3.5'!C20</f>
        <v>tldr</v>
      </c>
      <c r="D20" s="94">
        <f>'🤖 Claude Sonnet 3.5'!E20</f>
        <v>0.4766839378</v>
      </c>
      <c r="E20" s="7">
        <f>'🤖 Claude Sonnet 3.5'!F20</f>
        <v>3</v>
      </c>
      <c r="F20" s="7">
        <f>'🤖 Claude Sonnet 3.5'!G20</f>
        <v>5</v>
      </c>
      <c r="G20" s="7">
        <f>'🤖 Claude Sonnet 3.5'!H20</f>
        <v>5</v>
      </c>
      <c r="H20" s="7">
        <f>'🤖 Claude Sonnet 3.5'!I20</f>
        <v>3</v>
      </c>
      <c r="I20" s="7">
        <f>'🤖 Claude Sonnet 3.5'!J20</f>
        <v>5</v>
      </c>
    </row>
    <row r="21">
      <c r="A21" s="96"/>
      <c r="B21" s="6"/>
      <c r="C21" s="7"/>
      <c r="D21" s="3"/>
      <c r="E21" s="7"/>
      <c r="F21" s="7"/>
      <c r="G21" s="7"/>
      <c r="H21" s="7"/>
      <c r="I21" s="7"/>
    </row>
    <row r="22">
      <c r="A22" s="93" t="str">
        <f>'🤖 Claude Sonnet 3.5'!$A$22</f>
        <v>https://www.berria.eus/euskal-herria/sexu-indarkeriaren-biktimentzako-zentro-bat-zabaldu-dute-araban_2124914_102.html</v>
      </c>
      <c r="B22" s="6" t="str">
        <f t="shared" ref="B22:B25" si="5">"Claude Sonnet 3.5"</f>
        <v>Claude Sonnet 3.5</v>
      </c>
      <c r="C22" s="7" t="str">
        <f>'🤖 Claude Sonnet 3.5'!C22</f>
        <v>Base</v>
      </c>
      <c r="D22" s="94">
        <f>'🤖 Claude Sonnet 3.5'!E22</f>
        <v>0.273344652</v>
      </c>
      <c r="E22" s="7">
        <f>'🤖 Claude Sonnet 3.5'!F22</f>
        <v>3</v>
      </c>
      <c r="F22" s="7">
        <f>'🤖 Claude Sonnet 3.5'!G22</f>
        <v>5</v>
      </c>
      <c r="G22" s="7">
        <f>'🤖 Claude Sonnet 3.5'!H22</f>
        <v>5</v>
      </c>
      <c r="H22" s="7">
        <f>'🤖 Claude Sonnet 3.5'!I22</f>
        <v>3</v>
      </c>
      <c r="I22" s="7">
        <f>'🤖 Claude Sonnet 3.5'!J22</f>
        <v>4</v>
      </c>
    </row>
    <row r="23">
      <c r="A23" s="93" t="str">
        <f>'🤖 Claude Sonnet 3.5'!$A$22</f>
        <v>https://www.berria.eus/euskal-herria/sexu-indarkeriaren-biktimentzako-zentro-bat-zabaldu-dute-araban_2124914_102.html</v>
      </c>
      <c r="B23" s="6" t="str">
        <f t="shared" si="5"/>
        <v>Claude Sonnet 3.5</v>
      </c>
      <c r="C23" s="7" t="str">
        <f>'🤖 Claude Sonnet 3.5'!C23</f>
        <v>CoT</v>
      </c>
      <c r="D23" s="94">
        <f>'🤖 Claude Sonnet 3.5'!E23</f>
        <v>0.2241086587</v>
      </c>
      <c r="E23" s="7">
        <f>'🤖 Claude Sonnet 3.5'!F23</f>
        <v>4</v>
      </c>
      <c r="F23" s="7">
        <f>'🤖 Claude Sonnet 3.5'!G23</f>
        <v>5</v>
      </c>
      <c r="G23" s="7">
        <f>'🤖 Claude Sonnet 3.5'!H23</f>
        <v>5</v>
      </c>
      <c r="H23" s="7">
        <f>'🤖 Claude Sonnet 3.5'!I23</f>
        <v>3</v>
      </c>
      <c r="I23" s="7">
        <f>'🤖 Claude Sonnet 3.5'!J23</f>
        <v>4</v>
      </c>
    </row>
    <row r="24">
      <c r="A24" s="93" t="str">
        <f>'🤖 Claude Sonnet 3.5'!$A$22</f>
        <v>https://www.berria.eus/euskal-herria/sexu-indarkeriaren-biktimentzako-zentro-bat-zabaldu-dute-araban_2124914_102.html</v>
      </c>
      <c r="B24" s="6" t="str">
        <f t="shared" si="5"/>
        <v>Claude Sonnet 3.5</v>
      </c>
      <c r="C24" s="7" t="str">
        <f>'🤖 Claude Sonnet 3.5'!C24</f>
        <v>5W1H</v>
      </c>
      <c r="D24" s="94">
        <f>'🤖 Claude Sonnet 3.5'!E24</f>
        <v>0.3157894737</v>
      </c>
      <c r="E24" s="7">
        <f>'🤖 Claude Sonnet 3.5'!F24</f>
        <v>3</v>
      </c>
      <c r="F24" s="7">
        <f>'🤖 Claude Sonnet 3.5'!G24</f>
        <v>5</v>
      </c>
      <c r="G24" s="7">
        <f>'🤖 Claude Sonnet 3.5'!H24</f>
        <v>4</v>
      </c>
      <c r="H24" s="7">
        <f>'🤖 Claude Sonnet 3.5'!I24</f>
        <v>3</v>
      </c>
      <c r="I24" s="7">
        <f>'🤖 Claude Sonnet 3.5'!J24</f>
        <v>5</v>
      </c>
    </row>
    <row r="25">
      <c r="A25" s="93" t="str">
        <f>'🤖 Claude Sonnet 3.5'!$A$22</f>
        <v>https://www.berria.eus/euskal-herria/sexu-indarkeriaren-biktimentzako-zentro-bat-zabaldu-dute-araban_2124914_102.html</v>
      </c>
      <c r="B25" s="6" t="str">
        <f t="shared" si="5"/>
        <v>Claude Sonnet 3.5</v>
      </c>
      <c r="C25" s="7" t="str">
        <f>'🤖 Claude Sonnet 3.5'!C25</f>
        <v>tldr</v>
      </c>
      <c r="D25" s="94">
        <f>'🤖 Claude Sonnet 3.5'!E25</f>
        <v>0.2258064516</v>
      </c>
      <c r="E25" s="7">
        <f>'🤖 Claude Sonnet 3.5'!F25</f>
        <v>3</v>
      </c>
      <c r="F25" s="7">
        <f>'🤖 Claude Sonnet 3.5'!G25</f>
        <v>5</v>
      </c>
      <c r="G25" s="7">
        <f>'🤖 Claude Sonnet 3.5'!H25</f>
        <v>5</v>
      </c>
      <c r="H25" s="7">
        <f>'🤖 Claude Sonnet 3.5'!I25</f>
        <v>3</v>
      </c>
      <c r="I25" s="7">
        <f>'🤖 Claude Sonnet 3.5'!J25</f>
        <v>4</v>
      </c>
    </row>
    <row r="26">
      <c r="A26" s="96"/>
      <c r="B26" s="6"/>
      <c r="C26" s="7"/>
      <c r="D26" s="3"/>
      <c r="E26" s="7"/>
      <c r="F26" s="7"/>
      <c r="G26" s="7"/>
      <c r="H26" s="7"/>
      <c r="I26" s="7"/>
    </row>
    <row r="27">
      <c r="A27" s="96"/>
      <c r="B27" s="6"/>
      <c r="C27" s="7"/>
      <c r="D27" s="3"/>
      <c r="E27" s="7"/>
      <c r="F27" s="7"/>
      <c r="G27" s="7"/>
      <c r="H27" s="7"/>
      <c r="I27" s="7"/>
    </row>
    <row r="28">
      <c r="A28" s="96"/>
      <c r="B28" s="6"/>
      <c r="C28" s="7"/>
      <c r="D28" s="3"/>
      <c r="E28" s="7"/>
      <c r="F28" s="7"/>
      <c r="G28" s="7"/>
      <c r="H28" s="7"/>
      <c r="I28" s="7"/>
    </row>
    <row r="29">
      <c r="A29" s="96"/>
      <c r="B29" s="6"/>
      <c r="C29" s="7"/>
      <c r="D29" s="3"/>
      <c r="E29" s="7"/>
      <c r="F29" s="7"/>
      <c r="G29" s="7"/>
      <c r="H29" s="7"/>
      <c r="I29" s="7"/>
    </row>
    <row r="30">
      <c r="A30" s="96"/>
      <c r="B30" s="6"/>
      <c r="C30" s="7"/>
      <c r="D30" s="3"/>
      <c r="E30" s="7"/>
      <c r="F30" s="7"/>
      <c r="G30" s="7"/>
      <c r="H30" s="7"/>
      <c r="I30" s="7"/>
    </row>
    <row r="31">
      <c r="A31" s="96"/>
      <c r="B31" s="6"/>
      <c r="C31" s="7"/>
      <c r="D31" s="3"/>
      <c r="E31" s="7"/>
      <c r="F31" s="7"/>
      <c r="G31" s="7"/>
      <c r="H31" s="7"/>
      <c r="I31" s="7"/>
    </row>
    <row r="32">
      <c r="A32" s="96"/>
      <c r="B32" s="6"/>
      <c r="C32" s="7"/>
      <c r="D32" s="3"/>
      <c r="E32" s="7"/>
      <c r="F32" s="7"/>
      <c r="G32" s="7"/>
      <c r="H32" s="7"/>
      <c r="I32" s="7"/>
    </row>
    <row r="33">
      <c r="A33" s="96"/>
      <c r="B33" s="6"/>
      <c r="C33" s="7"/>
      <c r="D33" s="3"/>
      <c r="E33" s="7"/>
      <c r="F33" s="7"/>
      <c r="G33" s="7"/>
      <c r="H33" s="7"/>
      <c r="I33" s="7"/>
    </row>
    <row r="34">
      <c r="A34" s="96"/>
      <c r="B34" s="6"/>
      <c r="C34" s="7"/>
      <c r="D34" s="3"/>
      <c r="E34" s="7"/>
      <c r="F34" s="7"/>
      <c r="G34" s="7"/>
      <c r="H34" s="7"/>
      <c r="I34" s="7"/>
    </row>
    <row r="35">
      <c r="A35" s="96"/>
      <c r="B35" s="6"/>
      <c r="C35" s="7"/>
      <c r="D35" s="3"/>
      <c r="E35" s="7"/>
      <c r="F35" s="7"/>
      <c r="G35" s="7"/>
      <c r="H35" s="7"/>
      <c r="I35" s="7"/>
    </row>
    <row r="36">
      <c r="A36" s="96"/>
      <c r="B36" s="6"/>
      <c r="C36" s="7"/>
      <c r="D36" s="3"/>
      <c r="E36" s="7"/>
      <c r="F36" s="7"/>
      <c r="G36" s="7"/>
      <c r="H36" s="7"/>
      <c r="I36" s="7"/>
    </row>
    <row r="37">
      <c r="A37" s="96"/>
      <c r="B37" s="6"/>
      <c r="C37" s="7"/>
      <c r="D37" s="3"/>
      <c r="E37" s="7"/>
      <c r="F37" s="7"/>
      <c r="G37" s="7"/>
      <c r="H37" s="7"/>
      <c r="I37" s="7"/>
    </row>
    <row r="38">
      <c r="A38" s="96"/>
      <c r="B38" s="6"/>
      <c r="C38" s="7"/>
      <c r="D38" s="3"/>
      <c r="E38" s="7"/>
      <c r="F38" s="7"/>
      <c r="G38" s="7"/>
      <c r="H38" s="7"/>
      <c r="I38" s="7"/>
    </row>
    <row r="39">
      <c r="A39" s="96"/>
      <c r="B39" s="6"/>
      <c r="C39" s="7"/>
      <c r="D39" s="3"/>
      <c r="E39" s="7"/>
      <c r="F39" s="7"/>
      <c r="G39" s="7"/>
      <c r="H39" s="7"/>
      <c r="I39" s="7"/>
    </row>
    <row r="40">
      <c r="A40" s="96"/>
      <c r="B40" s="6"/>
      <c r="C40" s="7"/>
      <c r="D40" s="3"/>
      <c r="E40" s="7"/>
      <c r="F40" s="7"/>
      <c r="G40" s="7"/>
      <c r="H40" s="7"/>
      <c r="I40" s="7"/>
    </row>
    <row r="41">
      <c r="A41" s="96"/>
      <c r="B41" s="6"/>
      <c r="C41" s="7"/>
      <c r="D41" s="3"/>
      <c r="E41" s="7"/>
      <c r="F41" s="7"/>
      <c r="G41" s="7"/>
      <c r="H41" s="7"/>
      <c r="I41" s="7"/>
    </row>
    <row r="42">
      <c r="A42" s="96"/>
      <c r="B42" s="6"/>
      <c r="C42" s="7"/>
      <c r="D42" s="3"/>
      <c r="E42" s="7"/>
      <c r="F42" s="7"/>
      <c r="G42" s="7"/>
      <c r="H42" s="7"/>
      <c r="I42" s="7"/>
    </row>
    <row r="43">
      <c r="A43" s="96"/>
      <c r="B43" s="6"/>
      <c r="C43" s="7"/>
      <c r="D43" s="3"/>
      <c r="E43" s="7"/>
      <c r="F43" s="7"/>
      <c r="G43" s="7"/>
      <c r="H43" s="7"/>
      <c r="I43" s="7"/>
    </row>
    <row r="44">
      <c r="A44" s="96"/>
      <c r="B44" s="6"/>
      <c r="C44" s="7"/>
      <c r="D44" s="3"/>
      <c r="E44" s="7"/>
      <c r="F44" s="7"/>
      <c r="G44" s="7"/>
      <c r="H44" s="7"/>
      <c r="I44" s="7"/>
    </row>
    <row r="45">
      <c r="A45" s="96"/>
      <c r="B45" s="6"/>
      <c r="C45" s="7"/>
      <c r="D45" s="3"/>
      <c r="E45" s="7"/>
      <c r="F45" s="7"/>
      <c r="G45" s="7"/>
      <c r="H45" s="7"/>
      <c r="I45" s="7"/>
    </row>
    <row r="46">
      <c r="A46" s="96"/>
      <c r="B46" s="6"/>
      <c r="C46" s="7"/>
      <c r="D46" s="3"/>
      <c r="E46" s="7"/>
      <c r="F46" s="7"/>
      <c r="G46" s="7"/>
      <c r="H46" s="7"/>
      <c r="I46" s="7"/>
    </row>
    <row r="47">
      <c r="A47" s="96"/>
      <c r="B47" s="6"/>
      <c r="C47" s="7"/>
      <c r="D47" s="3"/>
      <c r="E47" s="7"/>
      <c r="F47" s="7"/>
      <c r="G47" s="7"/>
      <c r="H47" s="7"/>
      <c r="I47" s="7"/>
    </row>
    <row r="48">
      <c r="A48" s="96"/>
      <c r="B48" s="6"/>
      <c r="C48" s="7"/>
      <c r="D48" s="3"/>
      <c r="E48" s="7"/>
      <c r="F48" s="7"/>
      <c r="G48" s="7"/>
      <c r="H48" s="7"/>
      <c r="I48" s="7"/>
    </row>
    <row r="49">
      <c r="A49" s="96"/>
      <c r="B49" s="6"/>
      <c r="C49" s="7"/>
      <c r="D49" s="3"/>
      <c r="E49" s="7"/>
      <c r="F49" s="7"/>
      <c r="G49" s="7"/>
      <c r="H49" s="7"/>
      <c r="I49" s="7"/>
    </row>
    <row r="50">
      <c r="A50" s="96"/>
      <c r="B50" s="6"/>
      <c r="C50" s="7"/>
      <c r="D50" s="3"/>
      <c r="E50" s="7"/>
      <c r="F50" s="7"/>
      <c r="G50" s="7"/>
      <c r="H50" s="7"/>
      <c r="I50" s="7"/>
    </row>
    <row r="51">
      <c r="A51" s="96"/>
      <c r="B51" s="6"/>
      <c r="C51" s="7"/>
      <c r="D51" s="3"/>
      <c r="E51" s="7"/>
      <c r="F51" s="7"/>
      <c r="G51" s="7"/>
      <c r="H51" s="7"/>
      <c r="I51" s="7"/>
    </row>
    <row r="52">
      <c r="A52" s="93" t="str">
        <f>'🤖 Command R+'!$A$2</f>
        <v>www.berria.eus/euskal-herria/ehunka-herritarrek-etxebarriko-sexu-erasoa-salatu-dute_2126343_102.html</v>
      </c>
      <c r="B52" s="6" t="s">
        <v>24</v>
      </c>
      <c r="C52" s="7" t="str">
        <f>'🤖 Command R+'!C2</f>
        <v>Base</v>
      </c>
      <c r="D52" s="94">
        <f>'🤖 Command R+'!E2</f>
        <v>1.028301887</v>
      </c>
      <c r="E52" s="7">
        <f>'🤖 Command R+'!F2</f>
        <v>3</v>
      </c>
      <c r="F52" s="7">
        <f>'🤖 Command R+'!G2</f>
        <v>3</v>
      </c>
      <c r="G52" s="7">
        <f>'🤖 Command R+'!H2</f>
        <v>2</v>
      </c>
      <c r="H52" s="7">
        <f>'🤖 Command R+'!I2</f>
        <v>3</v>
      </c>
      <c r="I52" s="7">
        <f>'🤖 Command R+'!J2</f>
        <v>5</v>
      </c>
      <c r="J52" s="11">
        <f>VLOOKUP(B52,'__lookup__'!A:B,2,FALSE)</f>
        <v>2</v>
      </c>
      <c r="K52" s="11">
        <f>VLOOKUP(C52,'__lookup__'!A:B,2,FALSE)</f>
        <v>10</v>
      </c>
    </row>
    <row r="53">
      <c r="A53" s="93" t="str">
        <f>'🤖 Command R+'!$A$2</f>
        <v>www.berria.eus/euskal-herria/ehunka-herritarrek-etxebarriko-sexu-erasoa-salatu-dute_2126343_102.html</v>
      </c>
      <c r="B53" s="6" t="s">
        <v>24</v>
      </c>
      <c r="C53" s="7" t="str">
        <f>'🤖 Command R+'!C3</f>
        <v>CoT</v>
      </c>
      <c r="D53" s="94">
        <f>'🤖 Command R+'!E3</f>
        <v>1.028301887</v>
      </c>
      <c r="E53" s="7">
        <f>'🤖 Command R+'!F3</f>
        <v>2</v>
      </c>
      <c r="F53" s="7">
        <f>'🤖 Command R+'!G3</f>
        <v>2</v>
      </c>
      <c r="G53" s="7">
        <f>'🤖 Command R+'!H3</f>
        <v>1</v>
      </c>
      <c r="H53" s="7">
        <f>'🤖 Command R+'!I3</f>
        <v>2</v>
      </c>
      <c r="I53" s="7">
        <f>'🤖 Command R+'!J3</f>
        <v>2</v>
      </c>
    </row>
    <row r="54">
      <c r="A54" s="93" t="str">
        <f>'🤖 Command R+'!$A$2</f>
        <v>www.berria.eus/euskal-herria/ehunka-herritarrek-etxebarriko-sexu-erasoa-salatu-dute_2126343_102.html</v>
      </c>
      <c r="B54" s="6" t="s">
        <v>24</v>
      </c>
      <c r="C54" s="7" t="str">
        <f>'🤖 Command R+'!C4</f>
        <v>5W1H</v>
      </c>
      <c r="D54" s="94">
        <f>'🤖 Command R+'!E4</f>
        <v>0.5</v>
      </c>
      <c r="E54" s="7">
        <f>'🤖 Command R+'!F4</f>
        <v>1</v>
      </c>
      <c r="F54" s="7">
        <f>'🤖 Command R+'!G4</f>
        <v>3</v>
      </c>
      <c r="G54" s="7">
        <f>'🤖 Command R+'!H4</f>
        <v>5</v>
      </c>
      <c r="H54" s="7">
        <f>'🤖 Command R+'!I4</f>
        <v>5</v>
      </c>
      <c r="I54" s="7">
        <f>'🤖 Command R+'!J4</f>
        <v>4</v>
      </c>
    </row>
    <row r="55">
      <c r="A55" s="93" t="str">
        <f>'🤖 Command R+'!$A$2</f>
        <v>www.berria.eus/euskal-herria/ehunka-herritarrek-etxebarriko-sexu-erasoa-salatu-dute_2126343_102.html</v>
      </c>
      <c r="B55" s="6" t="s">
        <v>24</v>
      </c>
      <c r="C55" s="7" t="str">
        <f>'🤖 Command R+'!C5</f>
        <v>tldr</v>
      </c>
      <c r="D55" s="94">
        <f>'🤖 Command R+'!E5</f>
        <v>0.6037735849</v>
      </c>
      <c r="E55" s="7">
        <f>'🤖 Command R+'!F5</f>
        <v>4</v>
      </c>
      <c r="F55" s="7">
        <f>'🤖 Command R+'!G5</f>
        <v>5</v>
      </c>
      <c r="G55" s="7">
        <f>'🤖 Command R+'!H5</f>
        <v>1</v>
      </c>
      <c r="H55" s="7">
        <f>'🤖 Command R+'!I5</f>
        <v>4</v>
      </c>
      <c r="I55" s="7">
        <f>'🤖 Command R+'!J5</f>
        <v>5</v>
      </c>
    </row>
    <row r="56">
      <c r="A56" s="96"/>
      <c r="B56" s="6"/>
      <c r="C56" s="7"/>
      <c r="D56" s="3"/>
      <c r="E56" s="7"/>
      <c r="F56" s="7"/>
      <c r="G56" s="7"/>
      <c r="H56" s="7"/>
      <c r="I56" s="7"/>
    </row>
    <row r="57">
      <c r="A57" s="93" t="str">
        <f>'🤖 Command R+'!$A$7</f>
        <v>https://www.berria.eus/euskal-herria/erramun-baxok-ohorezko-euskaltzaina-zendu-da_2126101_102.html</v>
      </c>
      <c r="B57" s="6" t="s">
        <v>24</v>
      </c>
      <c r="C57" s="7" t="str">
        <f>'🤖 Command R+'!C7</f>
        <v>Base</v>
      </c>
      <c r="D57" s="94">
        <f>'🤖 Command R+'!E7</f>
        <v>0.5155963303</v>
      </c>
      <c r="E57" s="7">
        <f>'🤖 Command R+'!F7</f>
        <v>4</v>
      </c>
      <c r="F57" s="7">
        <f>'🤖 Command R+'!G7</f>
        <v>3</v>
      </c>
      <c r="G57" s="7">
        <f>'🤖 Command R+'!H7</f>
        <v>4</v>
      </c>
      <c r="H57" s="7">
        <f>'🤖 Command R+'!I7</f>
        <v>2</v>
      </c>
      <c r="I57" s="7">
        <f>'🤖 Command R+'!J7</f>
        <v>5</v>
      </c>
    </row>
    <row r="58">
      <c r="A58" s="93" t="str">
        <f>'🤖 Command R+'!$A$7</f>
        <v>https://www.berria.eus/euskal-herria/erramun-baxok-ohorezko-euskaltzaina-zendu-da_2126101_102.html</v>
      </c>
      <c r="B58" s="6" t="s">
        <v>24</v>
      </c>
      <c r="C58" s="7" t="str">
        <f>'🤖 Command R+'!C8</f>
        <v>CoT</v>
      </c>
      <c r="D58" s="94">
        <f>'🤖 Command R+'!E8</f>
        <v>0.2073394495</v>
      </c>
      <c r="E58" s="7">
        <f>'🤖 Command R+'!F8</f>
        <v>3</v>
      </c>
      <c r="F58" s="7">
        <f>'🤖 Command R+'!G8</f>
        <v>5</v>
      </c>
      <c r="G58" s="7">
        <f>'🤖 Command R+'!H8</f>
        <v>3</v>
      </c>
      <c r="H58" s="7">
        <f>'🤖 Command R+'!I8</f>
        <v>3</v>
      </c>
      <c r="I58" s="7">
        <f>'🤖 Command R+'!J8</f>
        <v>4</v>
      </c>
    </row>
    <row r="59">
      <c r="A59" s="93" t="str">
        <f>'🤖 Command R+'!$A$7</f>
        <v>https://www.berria.eus/euskal-herria/erramun-baxok-ohorezko-euskaltzaina-zendu-da_2126101_102.html</v>
      </c>
      <c r="B59" s="6" t="s">
        <v>24</v>
      </c>
      <c r="C59" s="7" t="str">
        <f>'🤖 Command R+'!C9</f>
        <v>5W1H</v>
      </c>
      <c r="D59" s="94">
        <f>'🤖 Command R+'!E9</f>
        <v>0.1633027523</v>
      </c>
      <c r="E59" s="7">
        <f>'🤖 Command R+'!F9</f>
        <v>2</v>
      </c>
      <c r="F59" s="7">
        <f>'🤖 Command R+'!G9</f>
        <v>4</v>
      </c>
      <c r="G59" s="7">
        <f>'🤖 Command R+'!H9</f>
        <v>2</v>
      </c>
      <c r="H59" s="7">
        <f>'🤖 Command R+'!I9</f>
        <v>4</v>
      </c>
      <c r="I59" s="7">
        <f>'🤖 Command R+'!J9</f>
        <v>3</v>
      </c>
    </row>
    <row r="60">
      <c r="A60" s="93" t="str">
        <f>'🤖 Command R+'!$A$7</f>
        <v>https://www.berria.eus/euskal-herria/erramun-baxok-ohorezko-euskaltzaina-zendu-da_2126101_102.html</v>
      </c>
      <c r="B60" s="6" t="s">
        <v>24</v>
      </c>
      <c r="C60" s="7" t="str">
        <f>'🤖 Command R+'!C10</f>
        <v>tldr</v>
      </c>
      <c r="D60" s="94">
        <f>'🤖 Command R+'!E10</f>
        <v>0.1541284404</v>
      </c>
      <c r="E60" s="7">
        <f>'🤖 Command R+'!F10</f>
        <v>3</v>
      </c>
      <c r="F60" s="7">
        <f>'🤖 Command R+'!G10</f>
        <v>4</v>
      </c>
      <c r="G60" s="7">
        <f>'🤖 Command R+'!H10</f>
        <v>3</v>
      </c>
      <c r="H60" s="7">
        <f>'🤖 Command R+'!I10</f>
        <v>4</v>
      </c>
      <c r="I60" s="7">
        <f>'🤖 Command R+'!J10</f>
        <v>3</v>
      </c>
    </row>
    <row r="61">
      <c r="A61" s="96"/>
      <c r="B61" s="6"/>
      <c r="C61" s="7"/>
      <c r="D61" s="3"/>
      <c r="E61" s="7"/>
      <c r="F61" s="7"/>
      <c r="G61" s="7"/>
      <c r="H61" s="7"/>
      <c r="I61" s="7"/>
    </row>
    <row r="62">
      <c r="A62" s="93" t="str">
        <f>'🤖 Command R+'!$A$12</f>
        <v>https://www.berria.eus/euskal-herria/etxelekuren-kargugabetzea-kritikatu-dute-errobiko-bederatzi-hautetsik_2125690_102.html</v>
      </c>
      <c r="B62" s="6" t="s">
        <v>24</v>
      </c>
      <c r="C62" s="7" t="str">
        <f>'🤖 Command R+'!C12</f>
        <v>Base</v>
      </c>
      <c r="D62" s="94">
        <f>'🤖 Command R+'!E12</f>
        <v>0.5843023256</v>
      </c>
      <c r="E62" s="7">
        <f>'🤖 Command R+'!F12</f>
        <v>2</v>
      </c>
      <c r="F62" s="7">
        <f>'🤖 Command R+'!G12</f>
        <v>3</v>
      </c>
      <c r="G62" s="7">
        <f>'🤖 Command R+'!H12</f>
        <v>2</v>
      </c>
      <c r="H62" s="7">
        <f>'🤖 Command R+'!I12</f>
        <v>2</v>
      </c>
      <c r="I62" s="7">
        <f>'🤖 Command R+'!J12</f>
        <v>4</v>
      </c>
    </row>
    <row r="63">
      <c r="A63" s="93" t="str">
        <f>'🤖 Command R+'!$A$12</f>
        <v>https://www.berria.eus/euskal-herria/etxelekuren-kargugabetzea-kritikatu-dute-errobiko-bederatzi-hautetsik_2125690_102.html</v>
      </c>
      <c r="B63" s="6" t="s">
        <v>24</v>
      </c>
      <c r="C63" s="7" t="str">
        <f>'🤖 Command R+'!C13</f>
        <v>CoT</v>
      </c>
      <c r="D63" s="94">
        <f>'🤖 Command R+'!E13</f>
        <v>0.7151162791</v>
      </c>
      <c r="E63" s="7">
        <f>'🤖 Command R+'!F13</f>
        <v>2</v>
      </c>
      <c r="F63" s="7">
        <f>'🤖 Command R+'!G13</f>
        <v>2</v>
      </c>
      <c r="G63" s="7">
        <f>'🤖 Command R+'!H13</f>
        <v>2</v>
      </c>
      <c r="H63" s="7">
        <f>'🤖 Command R+'!I13</f>
        <v>2</v>
      </c>
      <c r="I63" s="7">
        <f>'🤖 Command R+'!J13</f>
        <v>3</v>
      </c>
    </row>
    <row r="64">
      <c r="A64" s="93" t="str">
        <f>'🤖 Command R+'!$A$12</f>
        <v>https://www.berria.eus/euskal-herria/etxelekuren-kargugabetzea-kritikatu-dute-errobiko-bederatzi-hautetsik_2125690_102.html</v>
      </c>
      <c r="B64" s="6" t="s">
        <v>24</v>
      </c>
      <c r="C64" s="7" t="str">
        <f>'🤖 Command R+'!C14</f>
        <v>5W1H</v>
      </c>
      <c r="D64" s="94">
        <f>'🤖 Command R+'!E14</f>
        <v>0.2470930233</v>
      </c>
      <c r="E64" s="7">
        <f>'🤖 Command R+'!F14</f>
        <v>2</v>
      </c>
      <c r="F64" s="7">
        <f>'🤖 Command R+'!G14</f>
        <v>3</v>
      </c>
      <c r="G64" s="7">
        <f>'🤖 Command R+'!H14</f>
        <v>3</v>
      </c>
      <c r="H64" s="7">
        <f>'🤖 Command R+'!I14</f>
        <v>4</v>
      </c>
      <c r="I64" s="7">
        <f>'🤖 Command R+'!J14</f>
        <v>4</v>
      </c>
    </row>
    <row r="65">
      <c r="A65" s="93" t="str">
        <f>'🤖 Command R+'!$A$12</f>
        <v>https://www.berria.eus/euskal-herria/etxelekuren-kargugabetzea-kritikatu-dute-errobiko-bederatzi-hautetsik_2125690_102.html</v>
      </c>
      <c r="B65" s="6" t="s">
        <v>24</v>
      </c>
      <c r="C65" s="7" t="str">
        <f>'🤖 Command R+'!C15</f>
        <v>tldr</v>
      </c>
      <c r="D65" s="94">
        <f>'🤖 Command R+'!E15</f>
        <v>0.4244186047</v>
      </c>
      <c r="E65" s="7">
        <f>'🤖 Command R+'!F15</f>
        <v>4</v>
      </c>
      <c r="F65" s="7">
        <f>'🤖 Command R+'!G15</f>
        <v>3</v>
      </c>
      <c r="G65" s="7">
        <f>'🤖 Command R+'!H15</f>
        <v>3</v>
      </c>
      <c r="H65" s="7">
        <f>'🤖 Command R+'!I15</f>
        <v>3</v>
      </c>
      <c r="I65" s="7">
        <f>'🤖 Command R+'!J15</f>
        <v>4</v>
      </c>
    </row>
    <row r="66">
      <c r="A66" s="96"/>
      <c r="B66" s="6"/>
      <c r="C66" s="7"/>
      <c r="D66" s="3"/>
      <c r="E66" s="7"/>
      <c r="F66" s="7"/>
      <c r="G66" s="7"/>
      <c r="H66" s="7"/>
      <c r="I66" s="7"/>
    </row>
    <row r="67">
      <c r="A67" s="93" t="str">
        <f>'🤖 Command R+'!$A$17</f>
        <v>https://www.berria.eus/euskal-herria/itziar-lakari-eman-diote-eusko-ikaskuntzaren-saria_2125317_102.html</v>
      </c>
      <c r="B67" s="6" t="s">
        <v>24</v>
      </c>
      <c r="C67" s="7" t="str">
        <f>'🤖 Command R+'!C17</f>
        <v>Base</v>
      </c>
      <c r="D67" s="94">
        <f>'🤖 Command R+'!E17</f>
        <v>0.7616580311</v>
      </c>
      <c r="E67" s="7">
        <f>'🤖 Command R+'!F17</f>
        <v>3</v>
      </c>
      <c r="F67" s="7">
        <f>'🤖 Command R+'!G17</f>
        <v>3</v>
      </c>
      <c r="G67" s="7">
        <f>'🤖 Command R+'!H17</f>
        <v>2</v>
      </c>
      <c r="H67" s="7">
        <f>'🤖 Command R+'!I17</f>
        <v>3</v>
      </c>
      <c r="I67" s="7">
        <f>'🤖 Command R+'!J17</f>
        <v>4</v>
      </c>
    </row>
    <row r="68">
      <c r="A68" s="93" t="str">
        <f>'🤖 Command R+'!$A$17</f>
        <v>https://www.berria.eus/euskal-herria/itziar-lakari-eman-diote-eusko-ikaskuntzaren-saria_2125317_102.html</v>
      </c>
      <c r="B68" s="6" t="s">
        <v>24</v>
      </c>
      <c r="C68" s="7" t="str">
        <f>'🤖 Command R+'!C18</f>
        <v>CoT</v>
      </c>
      <c r="D68" s="94">
        <f>'🤖 Command R+'!E18</f>
        <v>0.5025906736</v>
      </c>
      <c r="E68" s="7">
        <f>'🤖 Command R+'!F18</f>
        <v>2</v>
      </c>
      <c r="F68" s="7">
        <f>'🤖 Command R+'!G18</f>
        <v>4</v>
      </c>
      <c r="G68" s="7">
        <f>'🤖 Command R+'!H18</f>
        <v>2</v>
      </c>
      <c r="H68" s="7">
        <f>'🤖 Command R+'!I18</f>
        <v>2</v>
      </c>
      <c r="I68" s="7">
        <f>'🤖 Command R+'!J18</f>
        <v>2</v>
      </c>
    </row>
    <row r="69">
      <c r="A69" s="93" t="str">
        <f>'🤖 Command R+'!$A$17</f>
        <v>https://www.berria.eus/euskal-herria/itziar-lakari-eman-diote-eusko-ikaskuntzaren-saria_2125317_102.html</v>
      </c>
      <c r="B69" s="6" t="s">
        <v>24</v>
      </c>
      <c r="C69" s="7" t="str">
        <f>'🤖 Command R+'!C19</f>
        <v>5W1H</v>
      </c>
      <c r="D69" s="94">
        <f>'🤖 Command R+'!E19</f>
        <v>0.7564766839</v>
      </c>
      <c r="E69" s="7">
        <f>'🤖 Command R+'!F19</f>
        <v>3</v>
      </c>
      <c r="F69" s="7">
        <f>'🤖 Command R+'!G19</f>
        <v>4</v>
      </c>
      <c r="G69" s="7">
        <f>'🤖 Command R+'!H19</f>
        <v>2</v>
      </c>
      <c r="H69" s="7">
        <f>'🤖 Command R+'!I19</f>
        <v>3</v>
      </c>
      <c r="I69" s="7">
        <f>'🤖 Command R+'!J19</f>
        <v>4</v>
      </c>
    </row>
    <row r="70">
      <c r="A70" s="93" t="str">
        <f>'🤖 Command R+'!$A$17</f>
        <v>https://www.berria.eus/euskal-herria/itziar-lakari-eman-diote-eusko-ikaskuntzaren-saria_2125317_102.html</v>
      </c>
      <c r="B70" s="6" t="s">
        <v>24</v>
      </c>
      <c r="C70" s="7" t="str">
        <f>'🤖 Command R+'!C20</f>
        <v>tldr</v>
      </c>
      <c r="D70" s="94">
        <f>'🤖 Command R+'!E20</f>
        <v>0.7564766839</v>
      </c>
      <c r="E70" s="7">
        <f>'🤖 Command R+'!F20</f>
        <v>3</v>
      </c>
      <c r="F70" s="7">
        <f>'🤖 Command R+'!G20</f>
        <v>4</v>
      </c>
      <c r="G70" s="7">
        <f>'🤖 Command R+'!H20</f>
        <v>2</v>
      </c>
      <c r="H70" s="7">
        <f>'🤖 Command R+'!I20</f>
        <v>3</v>
      </c>
      <c r="I70" s="7">
        <f>'🤖 Command R+'!J20</f>
        <v>5</v>
      </c>
    </row>
    <row r="71">
      <c r="A71" s="96"/>
      <c r="B71" s="6"/>
      <c r="C71" s="7"/>
      <c r="D71" s="3"/>
      <c r="E71" s="7"/>
      <c r="F71" s="7"/>
      <c r="G71" s="7"/>
      <c r="H71" s="7"/>
      <c r="I71" s="7"/>
    </row>
    <row r="72">
      <c r="A72" s="93" t="str">
        <f>'🤖 Command R+'!$A$22</f>
        <v>https://www.berria.eus/euskal-herria/sexu-indarkeriaren-biktimentzako-zentro-bat-zabaldu-dute-araban_2124914_102.html</v>
      </c>
      <c r="B72" s="6" t="s">
        <v>24</v>
      </c>
      <c r="C72" s="7" t="str">
        <f>'🤖 Command R+'!C22</f>
        <v>Base</v>
      </c>
      <c r="D72" s="94">
        <f>'🤖 Command R+'!E22</f>
        <v>0.6655348048</v>
      </c>
      <c r="E72" s="7">
        <f>'🤖 Command R+'!F22</f>
        <v>2</v>
      </c>
      <c r="F72" s="7">
        <f>'🤖 Command R+'!G22</f>
        <v>3</v>
      </c>
      <c r="G72" s="7">
        <f>'🤖 Command R+'!H22</f>
        <v>3</v>
      </c>
      <c r="H72" s="7">
        <f>'🤖 Command R+'!I22</f>
        <v>2</v>
      </c>
      <c r="I72" s="7">
        <f>'🤖 Command R+'!J22</f>
        <v>2</v>
      </c>
    </row>
    <row r="73">
      <c r="A73" s="93" t="str">
        <f>'🤖 Command R+'!$A$22</f>
        <v>https://www.berria.eus/euskal-herria/sexu-indarkeriaren-biktimentzako-zentro-bat-zabaldu-dute-araban_2124914_102.html</v>
      </c>
      <c r="B73" s="6" t="s">
        <v>24</v>
      </c>
      <c r="C73" s="7" t="str">
        <f>'🤖 Command R+'!C23</f>
        <v>CoT</v>
      </c>
      <c r="D73" s="94">
        <f>'🤖 Command R+'!E23</f>
        <v>0.4210526316</v>
      </c>
      <c r="E73" s="7">
        <f>'🤖 Command R+'!F23</f>
        <v>2</v>
      </c>
      <c r="F73" s="7">
        <f>'🤖 Command R+'!G23</f>
        <v>5</v>
      </c>
      <c r="G73" s="7">
        <f>'🤖 Command R+'!H23</f>
        <v>3</v>
      </c>
      <c r="H73" s="7">
        <f>'🤖 Command R+'!I23</f>
        <v>2</v>
      </c>
      <c r="I73" s="7">
        <f>'🤖 Command R+'!J23</f>
        <v>3</v>
      </c>
    </row>
    <row r="74">
      <c r="A74" s="93" t="str">
        <f>'🤖 Command R+'!$A$22</f>
        <v>https://www.berria.eus/euskal-herria/sexu-indarkeriaren-biktimentzako-zentro-bat-zabaldu-dute-araban_2124914_102.html</v>
      </c>
      <c r="B74" s="6" t="s">
        <v>24</v>
      </c>
      <c r="C74" s="7" t="str">
        <f>'🤖 Command R+'!C24</f>
        <v>5W1H</v>
      </c>
      <c r="D74" s="94">
        <f>'🤖 Command R+'!E24</f>
        <v>0.1901528014</v>
      </c>
      <c r="E74" s="7">
        <f>'🤖 Command R+'!F24</f>
        <v>3</v>
      </c>
      <c r="F74" s="7">
        <f>'🤖 Command R+'!G24</f>
        <v>4</v>
      </c>
      <c r="G74" s="7">
        <f>'🤖 Command R+'!H24</f>
        <v>3</v>
      </c>
      <c r="H74" s="7">
        <f>'🤖 Command R+'!I24</f>
        <v>3</v>
      </c>
      <c r="I74" s="7">
        <f>'🤖 Command R+'!J24</f>
        <v>3</v>
      </c>
    </row>
    <row r="75">
      <c r="A75" s="93" t="str">
        <f>'🤖 Command R+'!$A$22</f>
        <v>https://www.berria.eus/euskal-herria/sexu-indarkeriaren-biktimentzako-zentro-bat-zabaldu-dute-araban_2124914_102.html</v>
      </c>
      <c r="B75" s="6" t="s">
        <v>24</v>
      </c>
      <c r="C75" s="7" t="str">
        <f>'🤖 Command R+'!C25</f>
        <v>tldr</v>
      </c>
      <c r="D75" s="94">
        <f>'🤖 Command R+'!E25</f>
        <v>0.4176570458</v>
      </c>
      <c r="E75" s="7">
        <f>'🤖 Command R+'!F25</f>
        <v>4</v>
      </c>
      <c r="F75" s="7">
        <f>'🤖 Command R+'!G25</f>
        <v>4</v>
      </c>
      <c r="G75" s="7">
        <f>'🤖 Command R+'!H25</f>
        <v>3</v>
      </c>
      <c r="H75" s="7">
        <f>'🤖 Command R+'!I25</f>
        <v>3</v>
      </c>
      <c r="I75" s="7">
        <f>'🤖 Command R+'!J25</f>
        <v>4</v>
      </c>
    </row>
    <row r="76">
      <c r="A76" s="96"/>
      <c r="B76" s="6"/>
      <c r="C76" s="7"/>
      <c r="D76" s="3"/>
      <c r="E76" s="7"/>
      <c r="F76" s="7"/>
      <c r="G76" s="7"/>
      <c r="H76" s="7"/>
      <c r="I76" s="7"/>
    </row>
    <row r="77">
      <c r="A77" s="96"/>
      <c r="B77" s="6"/>
      <c r="C77" s="7"/>
      <c r="D77" s="3"/>
      <c r="E77" s="7"/>
      <c r="F77" s="7"/>
      <c r="G77" s="7"/>
      <c r="H77" s="7"/>
      <c r="I77" s="7"/>
    </row>
    <row r="78">
      <c r="A78" s="96"/>
      <c r="B78" s="6"/>
      <c r="C78" s="7"/>
      <c r="D78" s="3"/>
      <c r="E78" s="7"/>
      <c r="F78" s="7"/>
      <c r="G78" s="7"/>
      <c r="H78" s="7"/>
      <c r="I78" s="7"/>
    </row>
    <row r="79">
      <c r="A79" s="96"/>
      <c r="B79" s="6"/>
      <c r="C79" s="7"/>
      <c r="D79" s="3"/>
      <c r="E79" s="7"/>
      <c r="F79" s="7"/>
      <c r="G79" s="7"/>
      <c r="H79" s="7"/>
      <c r="I79" s="7"/>
    </row>
    <row r="80">
      <c r="A80" s="96"/>
      <c r="B80" s="6"/>
      <c r="C80" s="7"/>
      <c r="D80" s="3"/>
      <c r="E80" s="7"/>
      <c r="F80" s="7"/>
      <c r="G80" s="7"/>
      <c r="H80" s="7"/>
      <c r="I80" s="7"/>
    </row>
    <row r="81">
      <c r="A81" s="96"/>
      <c r="B81" s="6"/>
      <c r="C81" s="7"/>
      <c r="D81" s="3"/>
      <c r="E81" s="7"/>
      <c r="F81" s="7"/>
      <c r="G81" s="7"/>
      <c r="H81" s="7"/>
      <c r="I81" s="7"/>
    </row>
    <row r="82">
      <c r="A82" s="96"/>
      <c r="B82" s="6"/>
      <c r="C82" s="7"/>
      <c r="D82" s="3"/>
      <c r="E82" s="7"/>
      <c r="F82" s="7"/>
      <c r="G82" s="7"/>
      <c r="H82" s="7"/>
      <c r="I82" s="7"/>
    </row>
    <row r="83">
      <c r="A83" s="96"/>
      <c r="B83" s="6"/>
      <c r="C83" s="7"/>
      <c r="D83" s="3"/>
      <c r="E83" s="7"/>
      <c r="F83" s="7"/>
      <c r="G83" s="7"/>
      <c r="H83" s="7"/>
      <c r="I83" s="7"/>
    </row>
    <row r="84">
      <c r="A84" s="96"/>
      <c r="B84" s="6"/>
      <c r="C84" s="7"/>
      <c r="D84" s="3"/>
      <c r="E84" s="7"/>
      <c r="F84" s="7"/>
      <c r="G84" s="7"/>
      <c r="H84" s="7"/>
      <c r="I84" s="7"/>
    </row>
    <row r="85">
      <c r="A85" s="96"/>
      <c r="B85" s="6"/>
      <c r="C85" s="7"/>
      <c r="D85" s="3"/>
      <c r="E85" s="7"/>
      <c r="F85" s="7"/>
      <c r="G85" s="7"/>
      <c r="H85" s="7"/>
      <c r="I85" s="7"/>
    </row>
    <row r="86">
      <c r="A86" s="96"/>
      <c r="B86" s="6"/>
      <c r="C86" s="7"/>
      <c r="D86" s="3"/>
      <c r="E86" s="7"/>
      <c r="F86" s="7"/>
      <c r="G86" s="7"/>
      <c r="H86" s="7"/>
      <c r="I86" s="7"/>
    </row>
    <row r="87">
      <c r="A87" s="96"/>
      <c r="B87" s="6"/>
      <c r="C87" s="7"/>
      <c r="D87" s="3"/>
      <c r="E87" s="7"/>
      <c r="F87" s="7"/>
      <c r="G87" s="7"/>
      <c r="H87" s="7"/>
      <c r="I87" s="7"/>
    </row>
    <row r="88">
      <c r="A88" s="96"/>
      <c r="B88" s="6"/>
      <c r="C88" s="7"/>
      <c r="D88" s="3"/>
      <c r="E88" s="7"/>
      <c r="F88" s="7"/>
      <c r="G88" s="7"/>
      <c r="H88" s="7"/>
      <c r="I88" s="7"/>
    </row>
    <row r="89">
      <c r="A89" s="96"/>
      <c r="B89" s="6"/>
      <c r="C89" s="7"/>
      <c r="D89" s="3"/>
      <c r="E89" s="7"/>
      <c r="F89" s="7"/>
      <c r="G89" s="7"/>
      <c r="H89" s="7"/>
      <c r="I89" s="7"/>
    </row>
    <row r="90">
      <c r="A90" s="96"/>
      <c r="B90" s="6"/>
      <c r="C90" s="7"/>
      <c r="D90" s="3"/>
      <c r="E90" s="7"/>
      <c r="F90" s="7"/>
      <c r="G90" s="7"/>
      <c r="H90" s="7"/>
      <c r="I90" s="7"/>
    </row>
    <row r="91">
      <c r="A91" s="96"/>
      <c r="B91" s="6"/>
      <c r="C91" s="7"/>
      <c r="D91" s="3"/>
      <c r="E91" s="7"/>
      <c r="F91" s="7"/>
      <c r="G91" s="7"/>
      <c r="H91" s="7"/>
      <c r="I91" s="7"/>
    </row>
    <row r="92">
      <c r="A92" s="96"/>
      <c r="B92" s="6"/>
      <c r="C92" s="7"/>
      <c r="D92" s="3"/>
      <c r="E92" s="7"/>
      <c r="F92" s="7"/>
      <c r="G92" s="7"/>
      <c r="H92" s="7"/>
      <c r="I92" s="7"/>
    </row>
    <row r="93">
      <c r="A93" s="96"/>
      <c r="B93" s="6"/>
      <c r="C93" s="7"/>
      <c r="D93" s="3"/>
      <c r="E93" s="7"/>
      <c r="F93" s="7"/>
      <c r="G93" s="7"/>
      <c r="H93" s="7"/>
      <c r="I93" s="7"/>
    </row>
    <row r="94">
      <c r="A94" s="96"/>
      <c r="B94" s="6"/>
      <c r="C94" s="7"/>
      <c r="D94" s="3"/>
      <c r="E94" s="7"/>
      <c r="F94" s="7"/>
      <c r="G94" s="7"/>
      <c r="H94" s="7"/>
      <c r="I94" s="7"/>
    </row>
    <row r="95">
      <c r="A95" s="96"/>
      <c r="B95" s="6"/>
      <c r="C95" s="7"/>
      <c r="D95" s="3"/>
      <c r="E95" s="7"/>
      <c r="F95" s="7"/>
      <c r="G95" s="7"/>
      <c r="H95" s="7"/>
      <c r="I95" s="7"/>
    </row>
    <row r="96">
      <c r="A96" s="96"/>
      <c r="B96" s="6"/>
      <c r="C96" s="7"/>
      <c r="D96" s="3"/>
      <c r="E96" s="7"/>
      <c r="F96" s="7"/>
      <c r="G96" s="7"/>
      <c r="H96" s="7"/>
      <c r="I96" s="7"/>
    </row>
    <row r="97">
      <c r="A97" s="96"/>
      <c r="B97" s="6"/>
      <c r="C97" s="7"/>
      <c r="D97" s="3"/>
      <c r="E97" s="7"/>
      <c r="F97" s="7"/>
      <c r="G97" s="7"/>
      <c r="H97" s="7"/>
      <c r="I97" s="7"/>
    </row>
    <row r="98">
      <c r="A98" s="96"/>
      <c r="B98" s="6"/>
      <c r="C98" s="7"/>
      <c r="D98" s="3"/>
      <c r="E98" s="7"/>
      <c r="F98" s="7"/>
      <c r="G98" s="7"/>
      <c r="H98" s="7"/>
      <c r="I98" s="7"/>
    </row>
    <row r="99">
      <c r="A99" s="96"/>
      <c r="B99" s="6"/>
      <c r="C99" s="7"/>
      <c r="D99" s="3"/>
      <c r="E99" s="7"/>
      <c r="F99" s="7"/>
      <c r="G99" s="7"/>
      <c r="H99" s="7"/>
      <c r="I99" s="7"/>
    </row>
    <row r="100">
      <c r="A100" s="96"/>
      <c r="B100" s="6"/>
      <c r="C100" s="7"/>
      <c r="D100" s="3"/>
      <c r="E100" s="7"/>
      <c r="F100" s="7"/>
      <c r="G100" s="7"/>
      <c r="H100" s="7"/>
      <c r="I100" s="7"/>
    </row>
    <row r="101">
      <c r="A101" s="96"/>
      <c r="B101" s="6"/>
      <c r="C101" s="7"/>
      <c r="D101" s="3"/>
      <c r="E101" s="7"/>
      <c r="F101" s="7"/>
      <c r="G101" s="7"/>
      <c r="H101" s="7"/>
      <c r="I101" s="7"/>
    </row>
    <row r="102">
      <c r="A102" s="93" t="str">
        <f>'🤖 GPT 4o'!$A$2</f>
        <v>www.berria.eus/euskal-herria/ehunka-herritarrek-etxebarriko-sexu-erasoa-salatu-dute_2126343_102.html</v>
      </c>
      <c r="B102" s="6" t="s">
        <v>25</v>
      </c>
      <c r="C102" s="7" t="str">
        <f>'🤖 GPT 4o'!C2</f>
        <v>Base</v>
      </c>
      <c r="D102" s="94">
        <f>'🤖 GPT 4o'!E2</f>
        <v>0.7735849057</v>
      </c>
      <c r="E102" s="7">
        <f>'🤖 GPT 4o'!F2</f>
        <v>5</v>
      </c>
      <c r="F102" s="7">
        <f>'🤖 GPT 4o'!G2</f>
        <v>4</v>
      </c>
      <c r="G102" s="7">
        <f>'🤖 GPT 4o'!H2</f>
        <v>4</v>
      </c>
      <c r="H102" s="7">
        <f>'🤖 GPT 4o'!I2</f>
        <v>4</v>
      </c>
      <c r="I102" s="7">
        <f>'🤖 GPT 4o'!J2</f>
        <v>5</v>
      </c>
      <c r="J102" s="11">
        <f>VLOOKUP(B102,'__lookup__'!A:B,2,FALSE)</f>
        <v>3</v>
      </c>
      <c r="K102" s="11">
        <f>VLOOKUP(C102,'__lookup__'!A:B,2,FALSE)</f>
        <v>10</v>
      </c>
    </row>
    <row r="103">
      <c r="A103" s="93" t="str">
        <f>'🤖 GPT 4o'!$A$2</f>
        <v>www.berria.eus/euskal-herria/ehunka-herritarrek-etxebarriko-sexu-erasoa-salatu-dute_2126343_102.html</v>
      </c>
      <c r="B103" s="6" t="s">
        <v>25</v>
      </c>
      <c r="C103" s="7" t="str">
        <f>'🤖 GPT 4o'!C3</f>
        <v>CoT</v>
      </c>
      <c r="D103" s="94">
        <f>'🤖 GPT 4o'!E3</f>
        <v>0.5094339623</v>
      </c>
      <c r="E103" s="7">
        <f>'🤖 GPT 4o'!F3</f>
        <v>4</v>
      </c>
      <c r="F103" s="7">
        <f>'🤖 GPT 4o'!G3</f>
        <v>4</v>
      </c>
      <c r="G103" s="7">
        <f>'🤖 GPT 4o'!H3</f>
        <v>5</v>
      </c>
      <c r="H103" s="7">
        <f>'🤖 GPT 4o'!I3</f>
        <v>4</v>
      </c>
      <c r="I103" s="7">
        <f>'🤖 GPT 4o'!J3</f>
        <v>5</v>
      </c>
    </row>
    <row r="104">
      <c r="A104" s="93" t="str">
        <f>'🤖 GPT 4o'!$A$2</f>
        <v>www.berria.eus/euskal-herria/ehunka-herritarrek-etxebarriko-sexu-erasoa-salatu-dute_2126343_102.html</v>
      </c>
      <c r="B104" s="6" t="s">
        <v>25</v>
      </c>
      <c r="C104" s="7" t="str">
        <f>'🤖 GPT 4o'!C4</f>
        <v>5W1H</v>
      </c>
      <c r="D104" s="94">
        <f>'🤖 GPT 4o'!E4</f>
        <v>0.7169811321</v>
      </c>
      <c r="E104" s="7">
        <f>'🤖 GPT 4o'!F4</f>
        <v>2</v>
      </c>
      <c r="F104" s="7">
        <f>'🤖 GPT 4o'!G4</f>
        <v>4</v>
      </c>
      <c r="G104" s="7">
        <f>'🤖 GPT 4o'!H4</f>
        <v>3</v>
      </c>
      <c r="H104" s="7">
        <f>'🤖 GPT 4o'!I4</f>
        <v>3</v>
      </c>
      <c r="I104" s="7">
        <f>'🤖 GPT 4o'!J4</f>
        <v>4</v>
      </c>
    </row>
    <row r="105">
      <c r="A105" s="93" t="str">
        <f>'🤖 GPT 4o'!$A$2</f>
        <v>www.berria.eus/euskal-herria/ehunka-herritarrek-etxebarriko-sexu-erasoa-salatu-dute_2126343_102.html</v>
      </c>
      <c r="B105" s="6" t="s">
        <v>25</v>
      </c>
      <c r="C105" s="7" t="str">
        <f>'🤖 GPT 4o'!C5</f>
        <v>tldr</v>
      </c>
      <c r="D105" s="94">
        <f>'🤖 GPT 4o'!E5</f>
        <v>0.4716981132</v>
      </c>
      <c r="E105" s="7">
        <f>'🤖 GPT 4o'!F5</f>
        <v>4</v>
      </c>
      <c r="F105" s="7">
        <f>'🤖 GPT 4o'!G5</f>
        <v>5</v>
      </c>
      <c r="G105" s="7">
        <f>'🤖 GPT 4o'!H5</f>
        <v>5</v>
      </c>
      <c r="H105" s="7">
        <f>'🤖 GPT 4o'!I5</f>
        <v>3</v>
      </c>
      <c r="I105" s="7">
        <f>'🤖 GPT 4o'!J5</f>
        <v>5</v>
      </c>
    </row>
    <row r="106">
      <c r="A106" s="96"/>
      <c r="B106" s="6"/>
      <c r="C106" s="7"/>
      <c r="D106" s="3"/>
      <c r="E106" s="7"/>
      <c r="F106" s="7"/>
      <c r="G106" s="7"/>
      <c r="H106" s="7"/>
      <c r="I106" s="7"/>
    </row>
    <row r="107">
      <c r="A107" s="93" t="str">
        <f>'🤖 GPT 4o'!$A$7</f>
        <v>https://www.berria.eus/euskal-herria/erramun-baxok-ohorezko-euskaltzaina-zendu-da_2126101_102.html</v>
      </c>
      <c r="B107" s="6" t="s">
        <v>25</v>
      </c>
      <c r="C107" s="7" t="str">
        <f>'🤖 GPT 4o'!C7</f>
        <v>Base</v>
      </c>
      <c r="D107" s="94">
        <f>'🤖 GPT 4o'!E7</f>
        <v>0.5926605505</v>
      </c>
      <c r="E107" s="7">
        <f>'🤖 GPT 4o'!F7</f>
        <v>3</v>
      </c>
      <c r="F107" s="7">
        <f>'🤖 GPT 4o'!G7</f>
        <v>4</v>
      </c>
      <c r="G107" s="7">
        <f>'🤖 GPT 4o'!H7</f>
        <v>4</v>
      </c>
      <c r="H107" s="7">
        <f>'🤖 GPT 4o'!I7</f>
        <v>2</v>
      </c>
      <c r="I107" s="7">
        <f>'🤖 GPT 4o'!J7</f>
        <v>5</v>
      </c>
    </row>
    <row r="108">
      <c r="A108" s="93" t="str">
        <f>'🤖 GPT 4o'!$A$7</f>
        <v>https://www.berria.eus/euskal-herria/erramun-baxok-ohorezko-euskaltzaina-zendu-da_2126101_102.html</v>
      </c>
      <c r="B108" s="6" t="s">
        <v>25</v>
      </c>
      <c r="C108" s="7" t="str">
        <f>'🤖 GPT 4o'!C8</f>
        <v>CoT</v>
      </c>
      <c r="D108" s="94">
        <f>'🤖 GPT 4o'!E8</f>
        <v>0.1467889908</v>
      </c>
      <c r="E108" s="7">
        <f>'🤖 GPT 4o'!F8</f>
        <v>4</v>
      </c>
      <c r="F108" s="7">
        <f>'🤖 GPT 4o'!G8</f>
        <v>4</v>
      </c>
      <c r="G108" s="7">
        <f>'🤖 GPT 4o'!H8</f>
        <v>5</v>
      </c>
      <c r="H108" s="7">
        <f>'🤖 GPT 4o'!I8</f>
        <v>5</v>
      </c>
      <c r="I108" s="7">
        <f>'🤖 GPT 4o'!J8</f>
        <v>5</v>
      </c>
    </row>
    <row r="109">
      <c r="A109" s="93" t="str">
        <f>'🤖 GPT 4o'!$A$7</f>
        <v>https://www.berria.eus/euskal-herria/erramun-baxok-ohorezko-euskaltzaina-zendu-da_2126101_102.html</v>
      </c>
      <c r="B109" s="6" t="s">
        <v>25</v>
      </c>
      <c r="C109" s="7" t="str">
        <f>'🤖 GPT 4o'!C9</f>
        <v>5W1H</v>
      </c>
      <c r="D109" s="94">
        <f>'🤖 GPT 4o'!E9</f>
        <v>0.3394495413</v>
      </c>
      <c r="E109" s="7">
        <f>'🤖 GPT 4o'!F9</f>
        <v>3</v>
      </c>
      <c r="F109" s="7">
        <f>'🤖 GPT 4o'!G9</f>
        <v>5</v>
      </c>
      <c r="G109" s="7">
        <f>'🤖 GPT 4o'!H9</f>
        <v>4</v>
      </c>
      <c r="H109" s="7">
        <f>'🤖 GPT 4o'!I9</f>
        <v>3</v>
      </c>
      <c r="I109" s="7">
        <f>'🤖 GPT 4o'!J9</f>
        <v>4</v>
      </c>
    </row>
    <row r="110">
      <c r="A110" s="93" t="str">
        <f>'🤖 GPT 4o'!$A$7</f>
        <v>https://www.berria.eus/euskal-herria/erramun-baxok-ohorezko-euskaltzaina-zendu-da_2126101_102.html</v>
      </c>
      <c r="B110" s="6" t="s">
        <v>25</v>
      </c>
      <c r="C110" s="7" t="str">
        <f>'🤖 GPT 4o'!C10</f>
        <v>tldr</v>
      </c>
      <c r="D110" s="94">
        <f>'🤖 GPT 4o'!E10</f>
        <v>0.1321100917</v>
      </c>
      <c r="E110" s="7">
        <f>'🤖 GPT 4o'!F10</f>
        <v>4</v>
      </c>
      <c r="F110" s="7">
        <f>'🤖 GPT 4o'!G10</f>
        <v>5</v>
      </c>
      <c r="G110" s="7">
        <f>'🤖 GPT 4o'!H10</f>
        <v>4</v>
      </c>
      <c r="H110" s="7">
        <f>'🤖 GPT 4o'!I10</f>
        <v>5</v>
      </c>
      <c r="I110" s="7">
        <f>'🤖 GPT 4o'!J10</f>
        <v>5</v>
      </c>
    </row>
    <row r="111">
      <c r="A111" s="96"/>
      <c r="B111" s="6"/>
      <c r="C111" s="7"/>
      <c r="D111" s="3"/>
      <c r="E111" s="7"/>
      <c r="F111" s="7"/>
      <c r="G111" s="7"/>
      <c r="H111" s="7"/>
      <c r="I111" s="7"/>
    </row>
    <row r="112">
      <c r="A112" s="93" t="str">
        <f>'🤖 GPT 4o'!$A$12</f>
        <v>https://www.berria.eus/euskal-herria/etxelekuren-kargugabetzea-kritikatu-dute-errobiko-bederatzi-hautetsik_2125690_102.html</v>
      </c>
      <c r="B112" s="6" t="s">
        <v>25</v>
      </c>
      <c r="C112" s="7" t="str">
        <f>'🤖 GPT 4o'!C12</f>
        <v>Base</v>
      </c>
      <c r="D112" s="94">
        <f>'🤖 GPT 4o'!E12</f>
        <v>0.8401162791</v>
      </c>
      <c r="E112" s="7">
        <f>'🤖 GPT 4o'!F12</f>
        <v>4</v>
      </c>
      <c r="F112" s="7">
        <f>'🤖 GPT 4o'!G12</f>
        <v>5</v>
      </c>
      <c r="G112" s="7">
        <f>'🤖 GPT 4o'!H12</f>
        <v>5</v>
      </c>
      <c r="H112" s="7">
        <f>'🤖 GPT 4o'!I12</f>
        <v>1</v>
      </c>
      <c r="I112" s="7">
        <f>'🤖 GPT 4o'!J12</f>
        <v>5</v>
      </c>
    </row>
    <row r="113">
      <c r="A113" s="93" t="str">
        <f>'🤖 GPT 4o'!$A$12</f>
        <v>https://www.berria.eus/euskal-herria/etxelekuren-kargugabetzea-kritikatu-dute-errobiko-bederatzi-hautetsik_2125690_102.html</v>
      </c>
      <c r="B113" s="6" t="s">
        <v>25</v>
      </c>
      <c r="C113" s="7" t="str">
        <f>'🤖 GPT 4o'!C13</f>
        <v>CoT</v>
      </c>
      <c r="D113" s="94">
        <f>'🤖 GPT 4o'!E13</f>
        <v>0.1598837209</v>
      </c>
      <c r="E113" s="7">
        <f>'🤖 GPT 4o'!F13</f>
        <v>4</v>
      </c>
      <c r="F113" s="7">
        <f>'🤖 GPT 4o'!G13</f>
        <v>5</v>
      </c>
      <c r="G113" s="7">
        <f>'🤖 GPT 4o'!H13</f>
        <v>4</v>
      </c>
      <c r="H113" s="7">
        <f>'🤖 GPT 4o'!I13</f>
        <v>4</v>
      </c>
      <c r="I113" s="7">
        <f>'🤖 GPT 4o'!J13</f>
        <v>5</v>
      </c>
    </row>
    <row r="114">
      <c r="A114" s="93" t="str">
        <f>'🤖 GPT 4o'!$A$12</f>
        <v>https://www.berria.eus/euskal-herria/etxelekuren-kargugabetzea-kritikatu-dute-errobiko-bederatzi-hautetsik_2125690_102.html</v>
      </c>
      <c r="B114" s="6" t="s">
        <v>25</v>
      </c>
      <c r="C114" s="7" t="str">
        <f>'🤖 GPT 4o'!C14</f>
        <v>5W1H</v>
      </c>
      <c r="D114" s="94">
        <f>'🤖 GPT 4o'!E14</f>
        <v>0.4970930233</v>
      </c>
      <c r="E114" s="7">
        <f>'🤖 GPT 4o'!F14</f>
        <v>3</v>
      </c>
      <c r="F114" s="7">
        <f>'🤖 GPT 4o'!G14</f>
        <v>4</v>
      </c>
      <c r="G114" s="7">
        <f>'🤖 GPT 4o'!H14</f>
        <v>4</v>
      </c>
      <c r="H114" s="7">
        <f>'🤖 GPT 4o'!I14</f>
        <v>3</v>
      </c>
      <c r="I114" s="7">
        <f>'🤖 GPT 4o'!J14</f>
        <v>5</v>
      </c>
    </row>
    <row r="115">
      <c r="A115" s="93" t="str">
        <f>'🤖 GPT 4o'!$A$12</f>
        <v>https://www.berria.eus/euskal-herria/etxelekuren-kargugabetzea-kritikatu-dute-errobiko-bederatzi-hautetsik_2125690_102.html</v>
      </c>
      <c r="B115" s="6" t="s">
        <v>25</v>
      </c>
      <c r="C115" s="7" t="str">
        <f>'🤖 GPT 4o'!C15</f>
        <v>tldr</v>
      </c>
      <c r="D115" s="94">
        <f>'🤖 GPT 4o'!E15</f>
        <v>0.1918604651</v>
      </c>
      <c r="E115" s="7">
        <f>'🤖 GPT 4o'!F15</f>
        <v>5</v>
      </c>
      <c r="F115" s="7">
        <f>'🤖 GPT 4o'!G15</f>
        <v>5</v>
      </c>
      <c r="G115" s="7">
        <f>'🤖 GPT 4o'!H15</f>
        <v>5</v>
      </c>
      <c r="H115" s="7">
        <f>'🤖 GPT 4o'!I15</f>
        <v>5</v>
      </c>
      <c r="I115" s="7">
        <f>'🤖 GPT 4o'!J15</f>
        <v>5</v>
      </c>
    </row>
    <row r="116">
      <c r="A116" s="96"/>
      <c r="B116" s="6"/>
      <c r="C116" s="7"/>
      <c r="D116" s="3"/>
      <c r="E116" s="7"/>
      <c r="F116" s="7"/>
      <c r="G116" s="7"/>
      <c r="H116" s="7"/>
      <c r="I116" s="7"/>
    </row>
    <row r="117">
      <c r="A117" s="93" t="str">
        <f>'🤖 GPT 4o'!$A$17</f>
        <v>https://www.berria.eus/euskal-herria/itziar-lakari-eman-diote-eusko-ikaskuntzaren-saria_2125317_102.html</v>
      </c>
      <c r="B117" s="6" t="s">
        <v>25</v>
      </c>
      <c r="C117" s="7" t="str">
        <f>'🤖 GPT 4o'!C17</f>
        <v>Base</v>
      </c>
      <c r="D117" s="94">
        <f>'🤖 GPT 4o'!E17</f>
        <v>0.9948186528</v>
      </c>
      <c r="E117" s="7">
        <f>'🤖 GPT 4o'!F17</f>
        <v>4</v>
      </c>
      <c r="F117" s="7">
        <f>'🤖 GPT 4o'!G17</f>
        <v>5</v>
      </c>
      <c r="G117" s="7">
        <f>'🤖 GPT 4o'!H17</f>
        <v>4</v>
      </c>
      <c r="H117" s="7">
        <f>'🤖 GPT 4o'!I17</f>
        <v>1</v>
      </c>
      <c r="I117" s="7">
        <f>'🤖 GPT 4o'!J17</f>
        <v>5</v>
      </c>
    </row>
    <row r="118">
      <c r="A118" s="93" t="str">
        <f>'🤖 GPT 4o'!$A$17</f>
        <v>https://www.berria.eus/euskal-herria/itziar-lakari-eman-diote-eusko-ikaskuntzaren-saria_2125317_102.html</v>
      </c>
      <c r="B118" s="6" t="s">
        <v>25</v>
      </c>
      <c r="C118" s="7" t="str">
        <f>'🤖 GPT 4o'!C18</f>
        <v>CoT</v>
      </c>
      <c r="D118" s="94">
        <f>'🤖 GPT 4o'!E18</f>
        <v>0.3626943005</v>
      </c>
      <c r="E118" s="7">
        <f>'🤖 GPT 4o'!F18</f>
        <v>4</v>
      </c>
      <c r="F118" s="7">
        <f>'🤖 GPT 4o'!G18</f>
        <v>4</v>
      </c>
      <c r="G118" s="7">
        <f>'🤖 GPT 4o'!H18</f>
        <v>4</v>
      </c>
      <c r="H118" s="7">
        <f>'🤖 GPT 4o'!I18</f>
        <v>4</v>
      </c>
      <c r="I118" s="7">
        <f>'🤖 GPT 4o'!J18</f>
        <v>5</v>
      </c>
    </row>
    <row r="119">
      <c r="A119" s="93" t="str">
        <f>'🤖 GPT 4o'!$A$17</f>
        <v>https://www.berria.eus/euskal-herria/itziar-lakari-eman-diote-eusko-ikaskuntzaren-saria_2125317_102.html</v>
      </c>
      <c r="B119" s="6" t="s">
        <v>25</v>
      </c>
      <c r="C119" s="7" t="str">
        <f>'🤖 GPT 4o'!C19</f>
        <v>5W1H</v>
      </c>
      <c r="D119" s="94">
        <f>'🤖 GPT 4o'!E19</f>
        <v>0.6787564767</v>
      </c>
      <c r="E119" s="7">
        <f>'🤖 GPT 4o'!F19</f>
        <v>3</v>
      </c>
      <c r="F119" s="7">
        <f>'🤖 GPT 4o'!G19</f>
        <v>4</v>
      </c>
      <c r="G119" s="7">
        <f>'🤖 GPT 4o'!H19</f>
        <v>4</v>
      </c>
      <c r="H119" s="7">
        <f>'🤖 GPT 4o'!I19</f>
        <v>4</v>
      </c>
      <c r="I119" s="7">
        <f>'🤖 GPT 4o'!J19</f>
        <v>5</v>
      </c>
    </row>
    <row r="120">
      <c r="A120" s="93" t="str">
        <f>'🤖 GPT 4o'!$A$17</f>
        <v>https://www.berria.eus/euskal-herria/itziar-lakari-eman-diote-eusko-ikaskuntzaren-saria_2125317_102.html</v>
      </c>
      <c r="B120" s="6" t="s">
        <v>25</v>
      </c>
      <c r="C120" s="7" t="str">
        <f>'🤖 GPT 4o'!C20</f>
        <v>tldr</v>
      </c>
      <c r="D120" s="94">
        <f>'🤖 GPT 4o'!E20</f>
        <v>0.3471502591</v>
      </c>
      <c r="E120" s="7">
        <f>'🤖 GPT 4o'!F20</f>
        <v>4</v>
      </c>
      <c r="F120" s="7">
        <f>'🤖 GPT 4o'!G20</f>
        <v>5</v>
      </c>
      <c r="G120" s="7">
        <f>'🤖 GPT 4o'!H20</f>
        <v>5</v>
      </c>
      <c r="H120" s="7">
        <f>'🤖 GPT 4o'!I20</f>
        <v>4</v>
      </c>
      <c r="I120" s="7">
        <f>'🤖 GPT 4o'!J20</f>
        <v>5</v>
      </c>
    </row>
    <row r="121">
      <c r="A121" s="96"/>
      <c r="B121" s="6"/>
      <c r="C121" s="7"/>
      <c r="D121" s="3"/>
      <c r="E121" s="7"/>
      <c r="F121" s="7"/>
      <c r="G121" s="7"/>
      <c r="H121" s="7"/>
      <c r="I121" s="7"/>
    </row>
    <row r="122">
      <c r="A122" s="93" t="str">
        <f>'🤖 GPT 4o'!$A$22</f>
        <v>https://www.berria.eus/euskal-herria/sexu-indarkeriaren-biktimentzako-zentro-bat-zabaldu-dute-araban_2124914_102.html</v>
      </c>
      <c r="B122" s="6" t="s">
        <v>25</v>
      </c>
      <c r="C122" s="7" t="str">
        <f>'🤖 GPT 4o'!C22</f>
        <v>Base</v>
      </c>
      <c r="D122" s="94">
        <f>'🤖 GPT 4o'!E22</f>
        <v>0.3582342954</v>
      </c>
      <c r="E122" s="7">
        <f>'🤖 GPT 4o'!F22</f>
        <v>4</v>
      </c>
      <c r="F122" s="7">
        <f>'🤖 GPT 4o'!G22</f>
        <v>4</v>
      </c>
      <c r="G122" s="7">
        <f>'🤖 GPT 4o'!H22</f>
        <v>4</v>
      </c>
      <c r="H122" s="7">
        <f>'🤖 GPT 4o'!I22</f>
        <v>3</v>
      </c>
      <c r="I122" s="7">
        <f>'🤖 GPT 4o'!J22</f>
        <v>4</v>
      </c>
    </row>
    <row r="123">
      <c r="A123" s="93" t="str">
        <f>'🤖 GPT 4o'!$A$22</f>
        <v>https://www.berria.eus/euskal-herria/sexu-indarkeriaren-biktimentzako-zentro-bat-zabaldu-dute-araban_2124914_102.html</v>
      </c>
      <c r="B123" s="6" t="s">
        <v>25</v>
      </c>
      <c r="C123" s="7" t="str">
        <f>'🤖 GPT 4o'!C23</f>
        <v>CoT</v>
      </c>
      <c r="D123" s="94">
        <f>'🤖 GPT 4o'!E23</f>
        <v>0.1375212224</v>
      </c>
      <c r="E123" s="7">
        <f>'🤖 GPT 4o'!F23</f>
        <v>4</v>
      </c>
      <c r="F123" s="7">
        <f>'🤖 GPT 4o'!G23</f>
        <v>4</v>
      </c>
      <c r="G123" s="7">
        <f>'🤖 GPT 4o'!H23</f>
        <v>5</v>
      </c>
      <c r="H123" s="7">
        <f>'🤖 GPT 4o'!I23</f>
        <v>4</v>
      </c>
      <c r="I123" s="7">
        <f>'🤖 GPT 4o'!J23</f>
        <v>3</v>
      </c>
    </row>
    <row r="124">
      <c r="A124" s="93" t="str">
        <f>'🤖 GPT 4o'!$A$22</f>
        <v>https://www.berria.eus/euskal-herria/sexu-indarkeriaren-biktimentzako-zentro-bat-zabaldu-dute-araban_2124914_102.html</v>
      </c>
      <c r="B124" s="6" t="s">
        <v>25</v>
      </c>
      <c r="C124" s="7" t="str">
        <f>'🤖 GPT 4o'!C24</f>
        <v>5W1H</v>
      </c>
      <c r="D124" s="94">
        <f>'🤖 GPT 4o'!E24</f>
        <v>0.2512733447</v>
      </c>
      <c r="E124" s="7">
        <f>'🤖 GPT 4o'!F24</f>
        <v>3</v>
      </c>
      <c r="F124" s="7">
        <f>'🤖 GPT 4o'!G24</f>
        <v>3</v>
      </c>
      <c r="G124" s="7">
        <f>'🤖 GPT 4o'!H24</f>
        <v>5</v>
      </c>
      <c r="H124" s="7">
        <f>'🤖 GPT 4o'!I24</f>
        <v>3</v>
      </c>
      <c r="I124" s="7">
        <f>'🤖 GPT 4o'!J24</f>
        <v>4</v>
      </c>
    </row>
    <row r="125">
      <c r="A125" s="93" t="str">
        <f>'🤖 GPT 4o'!$A$22</f>
        <v>https://www.berria.eus/euskal-herria/sexu-indarkeriaren-biktimentzako-zentro-bat-zabaldu-dute-araban_2124914_102.html</v>
      </c>
      <c r="B125" s="6" t="s">
        <v>25</v>
      </c>
      <c r="C125" s="7" t="str">
        <f>'🤖 GPT 4o'!C25</f>
        <v>tldr</v>
      </c>
      <c r="D125" s="94">
        <f>'🤖 GPT 4o'!E25</f>
        <v>0.1154499151</v>
      </c>
      <c r="E125" s="7">
        <f>'🤖 GPT 4o'!F25</f>
        <v>4</v>
      </c>
      <c r="F125" s="7">
        <f>'🤖 GPT 4o'!G25</f>
        <v>4</v>
      </c>
      <c r="G125" s="7">
        <f>'🤖 GPT 4o'!H25</f>
        <v>5</v>
      </c>
      <c r="H125" s="7">
        <f>'🤖 GPT 4o'!I25</f>
        <v>4</v>
      </c>
      <c r="I125" s="7">
        <f>'🤖 GPT 4o'!J25</f>
        <v>3</v>
      </c>
    </row>
    <row r="126">
      <c r="A126" s="96"/>
      <c r="B126" s="6"/>
      <c r="C126" s="7"/>
      <c r="D126" s="3"/>
      <c r="E126" s="7"/>
      <c r="F126" s="7"/>
      <c r="G126" s="7"/>
      <c r="H126" s="7"/>
      <c r="I126" s="7"/>
    </row>
    <row r="127">
      <c r="A127" s="96"/>
      <c r="B127" s="6"/>
      <c r="C127" s="7"/>
      <c r="D127" s="3"/>
      <c r="E127" s="7"/>
      <c r="F127" s="7"/>
      <c r="G127" s="7"/>
      <c r="H127" s="7"/>
      <c r="I127" s="7"/>
    </row>
    <row r="128">
      <c r="A128" s="96"/>
      <c r="B128" s="6"/>
      <c r="C128" s="7"/>
      <c r="D128" s="3"/>
      <c r="E128" s="7"/>
      <c r="F128" s="7"/>
      <c r="G128" s="7"/>
      <c r="H128" s="7"/>
      <c r="I128" s="7"/>
    </row>
    <row r="129">
      <c r="A129" s="96"/>
      <c r="B129" s="6"/>
      <c r="C129" s="7"/>
      <c r="D129" s="3"/>
      <c r="E129" s="7"/>
      <c r="F129" s="7"/>
      <c r="G129" s="7"/>
      <c r="H129" s="7"/>
      <c r="I129" s="7"/>
    </row>
    <row r="130">
      <c r="A130" s="96"/>
      <c r="B130" s="6"/>
      <c r="C130" s="7"/>
      <c r="D130" s="3"/>
      <c r="E130" s="7"/>
      <c r="F130" s="7"/>
      <c r="G130" s="7"/>
      <c r="H130" s="7"/>
      <c r="I130" s="7"/>
    </row>
    <row r="131">
      <c r="A131" s="96"/>
      <c r="B131" s="6"/>
      <c r="C131" s="7"/>
      <c r="D131" s="3"/>
      <c r="E131" s="7"/>
      <c r="F131" s="7"/>
      <c r="G131" s="7"/>
      <c r="H131" s="7"/>
      <c r="I131" s="7"/>
    </row>
    <row r="132">
      <c r="A132" s="96"/>
      <c r="B132" s="6"/>
      <c r="C132" s="7"/>
      <c r="D132" s="3"/>
      <c r="E132" s="7"/>
      <c r="F132" s="7"/>
      <c r="G132" s="7"/>
      <c r="H132" s="7"/>
      <c r="I132" s="7"/>
    </row>
    <row r="133">
      <c r="A133" s="96"/>
      <c r="B133" s="6"/>
      <c r="C133" s="7"/>
      <c r="D133" s="3"/>
      <c r="E133" s="7"/>
      <c r="F133" s="7"/>
      <c r="G133" s="7"/>
      <c r="H133" s="7"/>
      <c r="I133" s="7"/>
    </row>
    <row r="134">
      <c r="A134" s="96"/>
      <c r="B134" s="6"/>
      <c r="C134" s="7"/>
      <c r="D134" s="3"/>
      <c r="E134" s="7"/>
      <c r="F134" s="7"/>
      <c r="G134" s="7"/>
      <c r="H134" s="7"/>
      <c r="I134" s="7"/>
    </row>
    <row r="135">
      <c r="A135" s="96"/>
      <c r="B135" s="6"/>
      <c r="C135" s="7"/>
      <c r="D135" s="3"/>
      <c r="E135" s="7"/>
      <c r="F135" s="7"/>
      <c r="G135" s="7"/>
      <c r="H135" s="7"/>
      <c r="I135" s="7"/>
    </row>
    <row r="136">
      <c r="A136" s="96"/>
      <c r="B136" s="6"/>
      <c r="C136" s="7"/>
      <c r="D136" s="3"/>
      <c r="E136" s="7"/>
      <c r="F136" s="7"/>
      <c r="G136" s="7"/>
      <c r="H136" s="7"/>
      <c r="I136" s="7"/>
    </row>
    <row r="137">
      <c r="A137" s="96"/>
      <c r="B137" s="6"/>
      <c r="C137" s="7"/>
      <c r="D137" s="3"/>
      <c r="E137" s="7"/>
      <c r="F137" s="7"/>
      <c r="G137" s="7"/>
      <c r="H137" s="7"/>
      <c r="I137" s="7"/>
    </row>
    <row r="138">
      <c r="A138" s="96"/>
      <c r="B138" s="6"/>
      <c r="C138" s="7"/>
      <c r="D138" s="3"/>
      <c r="E138" s="7"/>
      <c r="F138" s="7"/>
      <c r="G138" s="7"/>
      <c r="H138" s="7"/>
      <c r="I138" s="7"/>
    </row>
    <row r="139">
      <c r="A139" s="96"/>
      <c r="B139" s="6"/>
      <c r="C139" s="7"/>
      <c r="D139" s="3"/>
      <c r="E139" s="7"/>
      <c r="F139" s="7"/>
      <c r="G139" s="7"/>
      <c r="H139" s="7"/>
      <c r="I139" s="7"/>
    </row>
    <row r="140">
      <c r="A140" s="96"/>
      <c r="B140" s="6"/>
      <c r="C140" s="7"/>
      <c r="D140" s="3"/>
      <c r="E140" s="7"/>
      <c r="F140" s="7"/>
      <c r="G140" s="7"/>
      <c r="H140" s="7"/>
      <c r="I140" s="7"/>
    </row>
    <row r="141">
      <c r="A141" s="96"/>
      <c r="B141" s="6"/>
      <c r="C141" s="7"/>
      <c r="D141" s="3"/>
      <c r="E141" s="7"/>
      <c r="F141" s="7"/>
      <c r="G141" s="7"/>
      <c r="H141" s="7"/>
      <c r="I141" s="7"/>
    </row>
    <row r="142">
      <c r="A142" s="96"/>
      <c r="B142" s="6"/>
      <c r="C142" s="7"/>
      <c r="D142" s="3"/>
      <c r="E142" s="7"/>
      <c r="F142" s="7"/>
      <c r="G142" s="7"/>
      <c r="H142" s="7"/>
      <c r="I142" s="7"/>
    </row>
    <row r="143">
      <c r="A143" s="96"/>
      <c r="B143" s="6"/>
      <c r="C143" s="7"/>
      <c r="D143" s="3"/>
      <c r="E143" s="7"/>
      <c r="F143" s="7"/>
      <c r="G143" s="7"/>
      <c r="H143" s="7"/>
      <c r="I143" s="7"/>
    </row>
    <row r="144">
      <c r="A144" s="96"/>
      <c r="B144" s="6"/>
      <c r="C144" s="7"/>
      <c r="D144" s="3"/>
      <c r="E144" s="7"/>
      <c r="F144" s="7"/>
      <c r="G144" s="7"/>
      <c r="H144" s="7"/>
      <c r="I144" s="7"/>
    </row>
    <row r="145">
      <c r="A145" s="96"/>
      <c r="B145" s="6"/>
      <c r="C145" s="7"/>
      <c r="D145" s="3"/>
      <c r="E145" s="7"/>
      <c r="F145" s="7"/>
      <c r="G145" s="7"/>
      <c r="H145" s="7"/>
      <c r="I145" s="7"/>
    </row>
    <row r="146">
      <c r="A146" s="96"/>
      <c r="B146" s="6"/>
      <c r="C146" s="7"/>
      <c r="D146" s="3"/>
      <c r="E146" s="7"/>
      <c r="F146" s="7"/>
      <c r="G146" s="7"/>
      <c r="H146" s="7"/>
      <c r="I146" s="7"/>
    </row>
    <row r="147">
      <c r="A147" s="96"/>
      <c r="B147" s="6"/>
      <c r="C147" s="7"/>
      <c r="D147" s="3"/>
      <c r="E147" s="7"/>
      <c r="F147" s="7"/>
      <c r="G147" s="7"/>
      <c r="H147" s="7"/>
      <c r="I147" s="7"/>
    </row>
    <row r="148">
      <c r="A148" s="96"/>
      <c r="B148" s="6"/>
      <c r="C148" s="7"/>
      <c r="D148" s="3"/>
      <c r="E148" s="7"/>
      <c r="F148" s="7"/>
      <c r="G148" s="7"/>
      <c r="H148" s="7"/>
      <c r="I148" s="7"/>
    </row>
    <row r="149">
      <c r="A149" s="96"/>
      <c r="B149" s="6"/>
      <c r="C149" s="7"/>
      <c r="D149" s="3"/>
      <c r="E149" s="7"/>
      <c r="F149" s="7"/>
      <c r="G149" s="7"/>
      <c r="H149" s="7"/>
      <c r="I149" s="7"/>
    </row>
    <row r="150">
      <c r="A150" s="96"/>
      <c r="B150" s="6"/>
      <c r="C150" s="7"/>
      <c r="D150" s="3"/>
      <c r="E150" s="7"/>
      <c r="F150" s="7"/>
      <c r="G150" s="7"/>
      <c r="H150" s="7"/>
      <c r="I150" s="7"/>
    </row>
    <row r="151">
      <c r="A151" s="96"/>
      <c r="B151" s="6"/>
      <c r="C151" s="7"/>
      <c r="D151" s="3"/>
      <c r="E151" s="7"/>
      <c r="F151" s="7"/>
      <c r="G151" s="7"/>
      <c r="H151" s="7"/>
      <c r="I151" s="7"/>
    </row>
    <row r="152">
      <c r="A152" s="93" t="str">
        <f>'🤖 Reka Core'!$A$2</f>
        <v>www.berria.eus/euskal-herria/ehunka-herritarrek-etxebarriko-sexu-erasoa-salatu-dute_2126343_102.html</v>
      </c>
      <c r="B152" s="6" t="s">
        <v>26</v>
      </c>
      <c r="C152" s="7" t="str">
        <f>'🤖 Reka Core'!C2</f>
        <v>Base</v>
      </c>
      <c r="D152" s="94">
        <f>'🤖 Reka Core'!E2</f>
        <v>1.169811321</v>
      </c>
      <c r="E152" s="7">
        <f>'🤖 Reka Core'!F2</f>
        <v>5</v>
      </c>
      <c r="F152" s="7">
        <f>'🤖 Reka Core'!G2</f>
        <v>4</v>
      </c>
      <c r="G152" s="7">
        <f>'🤖 Reka Core'!H2</f>
        <v>4</v>
      </c>
      <c r="H152" s="7">
        <f>'🤖 Reka Core'!I2</f>
        <v>2</v>
      </c>
      <c r="I152" s="7">
        <f>'🤖 Reka Core'!J2</f>
        <v>5</v>
      </c>
      <c r="J152" s="11">
        <f>VLOOKUP(B152,'__lookup__'!A:B,2,FALSE)</f>
        <v>4</v>
      </c>
      <c r="K152" s="11">
        <f>VLOOKUP(C152,'__lookup__'!A:B,2,FALSE)</f>
        <v>10</v>
      </c>
    </row>
    <row r="153">
      <c r="A153" s="93" t="str">
        <f>'🤖 Reka Core'!$A$2</f>
        <v>www.berria.eus/euskal-herria/ehunka-herritarrek-etxebarriko-sexu-erasoa-salatu-dute_2126343_102.html</v>
      </c>
      <c r="B153" s="6" t="s">
        <v>26</v>
      </c>
      <c r="C153" s="7" t="str">
        <f>'🤖 Reka Core'!C3</f>
        <v>CoT</v>
      </c>
      <c r="D153" s="94">
        <f>'🤖 Reka Core'!E3</f>
        <v>0.5754716981</v>
      </c>
      <c r="E153" s="7">
        <f>'🤖 Reka Core'!F3</f>
        <v>5</v>
      </c>
      <c r="F153" s="7">
        <f>'🤖 Reka Core'!G3</f>
        <v>4</v>
      </c>
      <c r="G153" s="7">
        <f>'🤖 Reka Core'!H3</f>
        <v>5</v>
      </c>
      <c r="H153" s="7">
        <f>'🤖 Reka Core'!I3</f>
        <v>3</v>
      </c>
      <c r="I153" s="7">
        <f>'🤖 Reka Core'!J3</f>
        <v>5</v>
      </c>
    </row>
    <row r="154">
      <c r="A154" s="93" t="str">
        <f>'🤖 Reka Core'!$A$2</f>
        <v>www.berria.eus/euskal-herria/ehunka-herritarrek-etxebarriko-sexu-erasoa-salatu-dute_2126343_102.html</v>
      </c>
      <c r="B154" s="6" t="s">
        <v>26</v>
      </c>
      <c r="C154" s="7" t="str">
        <f>'🤖 Reka Core'!C4</f>
        <v>5W1H</v>
      </c>
      <c r="D154" s="94">
        <f>'🤖 Reka Core'!E4</f>
        <v>0.8301886792</v>
      </c>
      <c r="E154" s="7">
        <f>'🤖 Reka Core'!F4</f>
        <v>2</v>
      </c>
      <c r="F154" s="7">
        <f>'🤖 Reka Core'!G4</f>
        <v>3</v>
      </c>
      <c r="G154" s="7">
        <f>'🤖 Reka Core'!H4</f>
        <v>5</v>
      </c>
      <c r="H154" s="7">
        <f>'🤖 Reka Core'!I4</f>
        <v>3</v>
      </c>
      <c r="I154" s="7">
        <f>'🤖 Reka Core'!J4</f>
        <v>5</v>
      </c>
    </row>
    <row r="155">
      <c r="A155" s="93" t="str">
        <f>'🤖 Reka Core'!$A$2</f>
        <v>www.berria.eus/euskal-herria/ehunka-herritarrek-etxebarriko-sexu-erasoa-salatu-dute_2126343_102.html</v>
      </c>
      <c r="B155" s="6" t="s">
        <v>26</v>
      </c>
      <c r="C155" s="7" t="str">
        <f>'🤖 Reka Core'!C5</f>
        <v>tldr</v>
      </c>
      <c r="D155" s="94">
        <f>'🤖 Reka Core'!E5</f>
        <v>0.5849056604</v>
      </c>
      <c r="E155" s="7">
        <f>'🤖 Reka Core'!F5</f>
        <v>5</v>
      </c>
      <c r="F155" s="7">
        <f>'🤖 Reka Core'!G5</f>
        <v>4</v>
      </c>
      <c r="G155" s="7">
        <f>'🤖 Reka Core'!H5</f>
        <v>4</v>
      </c>
      <c r="H155" s="7">
        <f>'🤖 Reka Core'!I5</f>
        <v>4</v>
      </c>
      <c r="I155" s="7">
        <f>'🤖 Reka Core'!J5</f>
        <v>5</v>
      </c>
    </row>
    <row r="156">
      <c r="A156" s="96"/>
      <c r="B156" s="6"/>
      <c r="C156" s="7"/>
      <c r="D156" s="3"/>
      <c r="E156" s="7"/>
      <c r="F156" s="7"/>
      <c r="G156" s="7"/>
      <c r="H156" s="7"/>
      <c r="I156" s="7"/>
    </row>
    <row r="157">
      <c r="A157" s="93" t="str">
        <f>'🤖 Reka Core'!$A$7</f>
        <v>https://www.berria.eus/euskal-herria/erramun-baxok-ohorezko-euskaltzaina-zendu-da_2126101_102.html</v>
      </c>
      <c r="B157" s="6" t="s">
        <v>26</v>
      </c>
      <c r="C157" s="7" t="str">
        <f>'🤖 Reka Core'!C7</f>
        <v>Base</v>
      </c>
      <c r="D157" s="94">
        <f>'🤖 Reka Core'!E7</f>
        <v>0.5155963303</v>
      </c>
      <c r="E157" s="7">
        <f>'🤖 Reka Core'!F7</f>
        <v>4</v>
      </c>
      <c r="F157" s="7">
        <f>'🤖 Reka Core'!G7</f>
        <v>4</v>
      </c>
      <c r="G157" s="7">
        <f>'🤖 Reka Core'!H7</f>
        <v>4</v>
      </c>
      <c r="H157" s="7">
        <f>'🤖 Reka Core'!I7</f>
        <v>2</v>
      </c>
      <c r="I157" s="7">
        <f>'🤖 Reka Core'!J7</f>
        <v>5</v>
      </c>
    </row>
    <row r="158">
      <c r="A158" s="93" t="str">
        <f>'🤖 Reka Core'!$A$7</f>
        <v>https://www.berria.eus/euskal-herria/erramun-baxok-ohorezko-euskaltzaina-zendu-da_2126101_102.html</v>
      </c>
      <c r="B158" s="6" t="s">
        <v>26</v>
      </c>
      <c r="C158" s="7" t="str">
        <f>'🤖 Reka Core'!C8</f>
        <v>CoT</v>
      </c>
      <c r="D158" s="94">
        <f>'🤖 Reka Core'!E8</f>
        <v>0.1577981651</v>
      </c>
      <c r="E158" s="7">
        <f>'🤖 Reka Core'!F8</f>
        <v>3</v>
      </c>
      <c r="F158" s="7">
        <f>'🤖 Reka Core'!G8</f>
        <v>5</v>
      </c>
      <c r="G158" s="7">
        <f>'🤖 Reka Core'!H8</f>
        <v>4</v>
      </c>
      <c r="H158" s="7">
        <f>'🤖 Reka Core'!I8</f>
        <v>3</v>
      </c>
      <c r="I158" s="7">
        <f>'🤖 Reka Core'!J8</f>
        <v>4</v>
      </c>
    </row>
    <row r="159">
      <c r="A159" s="93" t="str">
        <f>'🤖 Reka Core'!$A$7</f>
        <v>https://www.berria.eus/euskal-herria/erramun-baxok-ohorezko-euskaltzaina-zendu-da_2126101_102.html</v>
      </c>
      <c r="B159" s="6" t="s">
        <v>26</v>
      </c>
      <c r="C159" s="7" t="str">
        <f>'🤖 Reka Core'!C9</f>
        <v>5W1H</v>
      </c>
      <c r="D159" s="94">
        <f>'🤖 Reka Core'!E9</f>
        <v>0.1321100917</v>
      </c>
      <c r="E159" s="7">
        <f>'🤖 Reka Core'!F9</f>
        <v>2</v>
      </c>
      <c r="F159" s="7">
        <f>'🤖 Reka Core'!G9</f>
        <v>4</v>
      </c>
      <c r="G159" s="7">
        <f>'🤖 Reka Core'!H9</f>
        <v>4</v>
      </c>
      <c r="H159" s="7">
        <f>'🤖 Reka Core'!I9</f>
        <v>4</v>
      </c>
      <c r="I159" s="7">
        <f>'🤖 Reka Core'!J9</f>
        <v>3</v>
      </c>
    </row>
    <row r="160">
      <c r="A160" s="93" t="str">
        <f>'🤖 Reka Core'!$A$7</f>
        <v>https://www.berria.eus/euskal-herria/erramun-baxok-ohorezko-euskaltzaina-zendu-da_2126101_102.html</v>
      </c>
      <c r="B160" s="6" t="s">
        <v>26</v>
      </c>
      <c r="C160" s="7" t="str">
        <f>'🤖 Reka Core'!C10</f>
        <v>tldr</v>
      </c>
      <c r="D160" s="94">
        <f>'🤖 Reka Core'!E10</f>
        <v>0.128440367</v>
      </c>
      <c r="E160" s="7">
        <f>'🤖 Reka Core'!F10</f>
        <v>4</v>
      </c>
      <c r="F160" s="7">
        <f>'🤖 Reka Core'!G10</f>
        <v>5</v>
      </c>
      <c r="G160" s="7">
        <f>'🤖 Reka Core'!H10</f>
        <v>4</v>
      </c>
      <c r="H160" s="7">
        <f>'🤖 Reka Core'!I10</f>
        <v>5</v>
      </c>
      <c r="I160" s="7">
        <f>'🤖 Reka Core'!J10</f>
        <v>5</v>
      </c>
    </row>
    <row r="161">
      <c r="A161" s="96"/>
      <c r="B161" s="6"/>
      <c r="C161" s="7"/>
      <c r="D161" s="3"/>
      <c r="E161" s="7"/>
      <c r="F161" s="7"/>
      <c r="G161" s="7"/>
      <c r="H161" s="7"/>
      <c r="I161" s="7"/>
    </row>
    <row r="162">
      <c r="A162" s="93" t="str">
        <f>'🤖 Reka Core'!$A$12</f>
        <v>https://www.berria.eus/euskal-herria/etxelekuren-kargugabetzea-kritikatu-dute-errobiko-bederatzi-hautetsik_2125690_102.html</v>
      </c>
      <c r="B162" s="6" t="s">
        <v>26</v>
      </c>
      <c r="C162" s="7" t="str">
        <f>'🤖 Reka Core'!C12</f>
        <v>Base</v>
      </c>
      <c r="D162" s="94">
        <f>'🤖 Reka Core'!E12</f>
        <v>0.8110465116</v>
      </c>
      <c r="E162" s="7">
        <f>'🤖 Reka Core'!F12</f>
        <v>4</v>
      </c>
      <c r="F162" s="7">
        <f>'🤖 Reka Core'!G12</f>
        <v>5</v>
      </c>
      <c r="G162" s="7">
        <f>'🤖 Reka Core'!H12</f>
        <v>4</v>
      </c>
      <c r="H162" s="7">
        <f>'🤖 Reka Core'!I12</f>
        <v>1</v>
      </c>
      <c r="I162" s="7">
        <f>'🤖 Reka Core'!J12</f>
        <v>5</v>
      </c>
    </row>
    <row r="163">
      <c r="A163" s="93" t="str">
        <f>'🤖 Reka Core'!$A$12</f>
        <v>https://www.berria.eus/euskal-herria/etxelekuren-kargugabetzea-kritikatu-dute-errobiko-bederatzi-hautetsik_2125690_102.html</v>
      </c>
      <c r="B163" s="6" t="s">
        <v>26</v>
      </c>
      <c r="C163" s="7" t="str">
        <f>'🤖 Reka Core'!C13</f>
        <v>CoT</v>
      </c>
      <c r="D163" s="94">
        <f>'🤖 Reka Core'!E13</f>
        <v>0.2034883721</v>
      </c>
      <c r="E163" s="7">
        <f>'🤖 Reka Core'!F13</f>
        <v>4</v>
      </c>
      <c r="F163" s="7">
        <f>'🤖 Reka Core'!G13</f>
        <v>4</v>
      </c>
      <c r="G163" s="7">
        <f>'🤖 Reka Core'!H13</f>
        <v>4</v>
      </c>
      <c r="H163" s="7">
        <f>'🤖 Reka Core'!I13</f>
        <v>3</v>
      </c>
      <c r="I163" s="7">
        <f>'🤖 Reka Core'!J13</f>
        <v>4</v>
      </c>
    </row>
    <row r="164">
      <c r="A164" s="93" t="str">
        <f>'🤖 Reka Core'!$A$12</f>
        <v>https://www.berria.eus/euskal-herria/etxelekuren-kargugabetzea-kritikatu-dute-errobiko-bederatzi-hautetsik_2125690_102.html</v>
      </c>
      <c r="B164" s="6" t="s">
        <v>26</v>
      </c>
      <c r="C164" s="7" t="str">
        <f>'🤖 Reka Core'!C14</f>
        <v>5W1H</v>
      </c>
      <c r="D164" s="94">
        <f>'🤖 Reka Core'!E14</f>
        <v>0.4331395349</v>
      </c>
      <c r="E164" s="7">
        <f>'🤖 Reka Core'!F14</f>
        <v>3</v>
      </c>
      <c r="F164" s="7">
        <f>'🤖 Reka Core'!G14</f>
        <v>3</v>
      </c>
      <c r="G164" s="7">
        <f>'🤖 Reka Core'!H14</f>
        <v>4</v>
      </c>
      <c r="H164" s="7">
        <f>'🤖 Reka Core'!I14</f>
        <v>3</v>
      </c>
      <c r="I164" s="7">
        <f>'🤖 Reka Core'!J14</f>
        <v>5</v>
      </c>
    </row>
    <row r="165">
      <c r="A165" s="93" t="str">
        <f>'🤖 Reka Core'!$A$12</f>
        <v>https://www.berria.eus/euskal-herria/etxelekuren-kargugabetzea-kritikatu-dute-errobiko-bederatzi-hautetsik_2125690_102.html</v>
      </c>
      <c r="B165" s="6" t="s">
        <v>26</v>
      </c>
      <c r="C165" s="7" t="str">
        <f>'🤖 Reka Core'!C15</f>
        <v>tldr</v>
      </c>
      <c r="D165" s="94">
        <f>'🤖 Reka Core'!E15</f>
        <v>0.1947674419</v>
      </c>
      <c r="E165" s="7">
        <f>'🤖 Reka Core'!F15</f>
        <v>4</v>
      </c>
      <c r="F165" s="7">
        <f>'🤖 Reka Core'!G15</f>
        <v>5</v>
      </c>
      <c r="G165" s="7">
        <f>'🤖 Reka Core'!H15</f>
        <v>3</v>
      </c>
      <c r="H165" s="7">
        <f>'🤖 Reka Core'!I15</f>
        <v>5</v>
      </c>
      <c r="I165" s="7">
        <f>'🤖 Reka Core'!J15</f>
        <v>4</v>
      </c>
    </row>
    <row r="166">
      <c r="A166" s="96"/>
      <c r="B166" s="6"/>
      <c r="C166" s="7"/>
      <c r="D166" s="3"/>
      <c r="E166" s="7"/>
      <c r="F166" s="7"/>
      <c r="G166" s="7"/>
      <c r="H166" s="7"/>
      <c r="I166" s="7"/>
    </row>
    <row r="167">
      <c r="A167" s="93" t="str">
        <f>'🤖 Reka Core'!$A$17</f>
        <v>https://www.berria.eus/euskal-herria/itziar-lakari-eman-diote-eusko-ikaskuntzaren-saria_2125317_102.html</v>
      </c>
      <c r="B167" s="6" t="s">
        <v>26</v>
      </c>
      <c r="C167" s="7" t="str">
        <f>'🤖 Reka Core'!C17</f>
        <v>Base</v>
      </c>
      <c r="D167" s="94">
        <f>'🤖 Reka Core'!E17</f>
        <v>0.9067357513</v>
      </c>
      <c r="E167" s="7">
        <f>'🤖 Reka Core'!F17</f>
        <v>4</v>
      </c>
      <c r="F167" s="7">
        <f>'🤖 Reka Core'!G17</f>
        <v>4</v>
      </c>
      <c r="G167" s="7">
        <f>'🤖 Reka Core'!H17</f>
        <v>5</v>
      </c>
      <c r="H167" s="7">
        <f>'🤖 Reka Core'!I17</f>
        <v>1</v>
      </c>
      <c r="I167" s="7">
        <f>'🤖 Reka Core'!J17</f>
        <v>5</v>
      </c>
    </row>
    <row r="168">
      <c r="A168" s="93" t="str">
        <f>'🤖 Reka Core'!$A$17</f>
        <v>https://www.berria.eus/euskal-herria/itziar-lakari-eman-diote-eusko-ikaskuntzaren-saria_2125317_102.html</v>
      </c>
      <c r="B168" s="6" t="s">
        <v>26</v>
      </c>
      <c r="C168" s="7" t="str">
        <f>'🤖 Reka Core'!C18</f>
        <v>CoT</v>
      </c>
      <c r="D168" s="94">
        <f>'🤖 Reka Core'!E18</f>
        <v>0.3316062176</v>
      </c>
      <c r="E168" s="7">
        <f>'🤖 Reka Core'!F18</f>
        <v>4</v>
      </c>
      <c r="F168" s="7">
        <f>'🤖 Reka Core'!G18</f>
        <v>4</v>
      </c>
      <c r="G168" s="7">
        <f>'🤖 Reka Core'!H18</f>
        <v>5</v>
      </c>
      <c r="H168" s="7">
        <f>'🤖 Reka Core'!I18</f>
        <v>3</v>
      </c>
      <c r="I168" s="7">
        <f>'🤖 Reka Core'!J18</f>
        <v>3</v>
      </c>
    </row>
    <row r="169">
      <c r="A169" s="93" t="str">
        <f>'🤖 Reka Core'!$A$17</f>
        <v>https://www.berria.eus/euskal-herria/itziar-lakari-eman-diote-eusko-ikaskuntzaren-saria_2125317_102.html</v>
      </c>
      <c r="B169" s="6" t="s">
        <v>26</v>
      </c>
      <c r="C169" s="7" t="str">
        <f>'🤖 Reka Core'!C19</f>
        <v>5W1H</v>
      </c>
      <c r="D169" s="94">
        <f>'🤖 Reka Core'!E19</f>
        <v>0.6113989637</v>
      </c>
      <c r="E169" s="7">
        <f>'🤖 Reka Core'!F19</f>
        <v>3</v>
      </c>
      <c r="F169" s="7">
        <f>'🤖 Reka Core'!G19</f>
        <v>4</v>
      </c>
      <c r="G169" s="7">
        <f>'🤖 Reka Core'!H19</f>
        <v>5</v>
      </c>
      <c r="H169" s="7">
        <f>'🤖 Reka Core'!I19</f>
        <v>3</v>
      </c>
      <c r="I169" s="7">
        <f>'🤖 Reka Core'!J19</f>
        <v>5</v>
      </c>
    </row>
    <row r="170">
      <c r="A170" s="93" t="str">
        <f>'🤖 Reka Core'!$A$17</f>
        <v>https://www.berria.eus/euskal-herria/itziar-lakari-eman-diote-eusko-ikaskuntzaren-saria_2125317_102.html</v>
      </c>
      <c r="B170" s="6" t="s">
        <v>26</v>
      </c>
      <c r="C170" s="7" t="str">
        <f>'🤖 Reka Core'!C20</f>
        <v>tldr</v>
      </c>
      <c r="D170" s="94">
        <f>'🤖 Reka Core'!E20</f>
        <v>0.3523316062</v>
      </c>
      <c r="E170" s="7">
        <f>'🤖 Reka Core'!F20</f>
        <v>4</v>
      </c>
      <c r="F170" s="7">
        <f>'🤖 Reka Core'!G20</f>
        <v>4</v>
      </c>
      <c r="G170" s="7">
        <f>'🤖 Reka Core'!H20</f>
        <v>5</v>
      </c>
      <c r="H170" s="7">
        <f>'🤖 Reka Core'!I20</f>
        <v>4</v>
      </c>
      <c r="I170" s="7">
        <f>'🤖 Reka Core'!J20</f>
        <v>5</v>
      </c>
    </row>
    <row r="171">
      <c r="A171" s="96"/>
      <c r="B171" s="6"/>
      <c r="C171" s="7"/>
      <c r="D171" s="3"/>
      <c r="E171" s="7"/>
      <c r="F171" s="7"/>
      <c r="G171" s="7"/>
      <c r="H171" s="7"/>
      <c r="I171" s="7"/>
    </row>
    <row r="172">
      <c r="A172" s="93" t="str">
        <f>'🤖 Reka Core'!$A$22</f>
        <v>https://www.berria.eus/euskal-herria/sexu-indarkeriaren-biktimentzako-zentro-bat-zabaldu-dute-araban_2124914_102.html</v>
      </c>
      <c r="B172" s="6" t="s">
        <v>26</v>
      </c>
      <c r="C172" s="7" t="str">
        <f>'🤖 Reka Core'!C22</f>
        <v>Base</v>
      </c>
      <c r="D172" s="94">
        <f>'🤖 Reka Core'!E22</f>
        <v>0.3463497453</v>
      </c>
      <c r="E172" s="7">
        <f>'🤖 Reka Core'!F22</f>
        <v>4</v>
      </c>
      <c r="F172" s="7">
        <f>'🤖 Reka Core'!G22</f>
        <v>4</v>
      </c>
      <c r="G172" s="7">
        <f>'🤖 Reka Core'!H22</f>
        <v>5</v>
      </c>
      <c r="H172" s="7">
        <f>'🤖 Reka Core'!I22</f>
        <v>3</v>
      </c>
      <c r="I172" s="7">
        <f>'🤖 Reka Core'!J22</f>
        <v>5</v>
      </c>
    </row>
    <row r="173">
      <c r="A173" s="93" t="str">
        <f>'🤖 Reka Core'!$A$22</f>
        <v>https://www.berria.eus/euskal-herria/sexu-indarkeriaren-biktimentzako-zentro-bat-zabaldu-dute-araban_2124914_102.html</v>
      </c>
      <c r="B173" s="6" t="s">
        <v>26</v>
      </c>
      <c r="C173" s="7" t="str">
        <f>'🤖 Reka Core'!C23</f>
        <v>CoT</v>
      </c>
      <c r="D173" s="94">
        <f>'🤖 Reka Core'!E23</f>
        <v>0.1544991511</v>
      </c>
      <c r="E173" s="7">
        <f>'🤖 Reka Core'!F23</f>
        <v>4</v>
      </c>
      <c r="F173" s="7">
        <f>'🤖 Reka Core'!G23</f>
        <v>4</v>
      </c>
      <c r="G173" s="7">
        <f>'🤖 Reka Core'!H23</f>
        <v>5</v>
      </c>
      <c r="H173" s="7">
        <f>'🤖 Reka Core'!I23</f>
        <v>3</v>
      </c>
      <c r="I173" s="7">
        <f>'🤖 Reka Core'!J23</f>
        <v>3</v>
      </c>
    </row>
    <row r="174">
      <c r="A174" s="93" t="str">
        <f>'🤖 Reka Core'!$A$22</f>
        <v>https://www.berria.eus/euskal-herria/sexu-indarkeriaren-biktimentzako-zentro-bat-zabaldu-dute-araban_2124914_102.html</v>
      </c>
      <c r="B174" s="6" t="s">
        <v>26</v>
      </c>
      <c r="C174" s="7" t="str">
        <f>'🤖 Reka Core'!C24</f>
        <v>5W1H</v>
      </c>
      <c r="D174" s="94">
        <f>'🤖 Reka Core'!E24</f>
        <v>0.2971137521</v>
      </c>
      <c r="E174" s="7">
        <f>'🤖 Reka Core'!F24</f>
        <v>3</v>
      </c>
      <c r="F174" s="7">
        <f>'🤖 Reka Core'!G24</f>
        <v>5</v>
      </c>
      <c r="G174" s="7">
        <f>'🤖 Reka Core'!H24</f>
        <v>5</v>
      </c>
      <c r="H174" s="7">
        <f>'🤖 Reka Core'!I24</f>
        <v>3</v>
      </c>
      <c r="I174" s="7">
        <f>'🤖 Reka Core'!J24</f>
        <v>4</v>
      </c>
    </row>
    <row r="175">
      <c r="A175" s="93" t="str">
        <f>'🤖 Reka Core'!$A$22</f>
        <v>https://www.berria.eus/euskal-herria/sexu-indarkeriaren-biktimentzako-zentro-bat-zabaldu-dute-araban_2124914_102.html</v>
      </c>
      <c r="B175" s="6" t="s">
        <v>26</v>
      </c>
      <c r="C175" s="7" t="str">
        <f>'🤖 Reka Core'!C25</f>
        <v>tldr</v>
      </c>
      <c r="D175" s="94">
        <f>'🤖 Reka Core'!E25</f>
        <v>0.1460101868</v>
      </c>
      <c r="E175" s="7">
        <f>'🤖 Reka Core'!F25</f>
        <v>4</v>
      </c>
      <c r="F175" s="7">
        <f>'🤖 Reka Core'!G25</f>
        <v>5</v>
      </c>
      <c r="G175" s="7">
        <f>'🤖 Reka Core'!H25</f>
        <v>4</v>
      </c>
      <c r="H175" s="7">
        <f>'🤖 Reka Core'!I25</f>
        <v>4</v>
      </c>
      <c r="I175" s="7">
        <f>'🤖 Reka Core'!J25</f>
        <v>3</v>
      </c>
    </row>
    <row r="176">
      <c r="A176" s="96"/>
      <c r="B176" s="6"/>
      <c r="C176" s="7"/>
      <c r="D176" s="3"/>
      <c r="E176" s="7"/>
      <c r="F176" s="7"/>
      <c r="G176" s="7"/>
      <c r="H176" s="7"/>
      <c r="I176" s="7"/>
    </row>
    <row r="177">
      <c r="A177" s="96"/>
      <c r="B177" s="6"/>
      <c r="C177" s="7"/>
      <c r="D177" s="3"/>
      <c r="E177" s="7"/>
      <c r="F177" s="7"/>
      <c r="G177" s="7"/>
      <c r="H177" s="7"/>
      <c r="I177" s="7"/>
    </row>
    <row r="178">
      <c r="A178" s="96"/>
      <c r="B178" s="6"/>
      <c r="C178" s="7"/>
      <c r="D178" s="3"/>
      <c r="E178" s="7"/>
      <c r="F178" s="7"/>
      <c r="G178" s="7"/>
      <c r="H178" s="7"/>
      <c r="I178" s="7"/>
    </row>
    <row r="179">
      <c r="A179" s="96"/>
      <c r="B179" s="6"/>
      <c r="C179" s="7"/>
      <c r="D179" s="3"/>
      <c r="E179" s="7"/>
      <c r="F179" s="7"/>
      <c r="G179" s="7"/>
      <c r="H179" s="7"/>
      <c r="I179" s="7"/>
    </row>
    <row r="180">
      <c r="A180" s="96"/>
      <c r="B180" s="6"/>
      <c r="C180" s="7"/>
      <c r="D180" s="3"/>
      <c r="E180" s="7"/>
      <c r="F180" s="7"/>
      <c r="G180" s="7"/>
      <c r="H180" s="7"/>
      <c r="I180" s="7"/>
    </row>
    <row r="181">
      <c r="A181" s="96"/>
      <c r="B181" s="6"/>
      <c r="C181" s="7"/>
      <c r="D181" s="3"/>
      <c r="E181" s="7"/>
      <c r="F181" s="7"/>
      <c r="G181" s="7"/>
      <c r="H181" s="7"/>
      <c r="I181" s="7"/>
    </row>
    <row r="182">
      <c r="A182" s="96"/>
      <c r="B182" s="6"/>
      <c r="C182" s="7"/>
      <c r="D182" s="3"/>
      <c r="E182" s="7"/>
      <c r="F182" s="7"/>
      <c r="G182" s="7"/>
      <c r="H182" s="7"/>
      <c r="I182" s="7"/>
    </row>
    <row r="183">
      <c r="A183" s="96"/>
      <c r="B183" s="6"/>
      <c r="C183" s="7"/>
      <c r="D183" s="3"/>
      <c r="E183" s="7"/>
      <c r="F183" s="7"/>
      <c r="G183" s="7"/>
      <c r="H183" s="7"/>
      <c r="I183" s="7"/>
    </row>
    <row r="184">
      <c r="A184" s="96"/>
      <c r="B184" s="6"/>
      <c r="C184" s="7"/>
      <c r="D184" s="3"/>
      <c r="E184" s="7"/>
      <c r="F184" s="7"/>
      <c r="G184" s="7"/>
      <c r="H184" s="7"/>
      <c r="I184" s="7"/>
    </row>
    <row r="185">
      <c r="A185" s="96"/>
      <c r="B185" s="6"/>
      <c r="C185" s="7"/>
      <c r="D185" s="3"/>
      <c r="E185" s="7"/>
      <c r="F185" s="7"/>
      <c r="G185" s="7"/>
      <c r="H185" s="7"/>
      <c r="I185" s="7"/>
    </row>
    <row r="186">
      <c r="A186" s="96"/>
      <c r="B186" s="6"/>
      <c r="C186" s="7"/>
      <c r="D186" s="3"/>
      <c r="E186" s="7"/>
      <c r="F186" s="7"/>
      <c r="G186" s="7"/>
      <c r="H186" s="7"/>
      <c r="I186" s="7"/>
    </row>
    <row r="187">
      <c r="A187" s="96"/>
      <c r="B187" s="6"/>
      <c r="C187" s="7"/>
      <c r="D187" s="3"/>
      <c r="E187" s="7"/>
      <c r="F187" s="7"/>
      <c r="G187" s="7"/>
      <c r="H187" s="7"/>
      <c r="I187" s="7"/>
    </row>
    <row r="188">
      <c r="A188" s="96"/>
      <c r="B188" s="6"/>
      <c r="C188" s="7"/>
      <c r="D188" s="3"/>
      <c r="E188" s="7"/>
      <c r="F188" s="7"/>
      <c r="G188" s="7"/>
      <c r="H188" s="7"/>
      <c r="I188" s="7"/>
    </row>
    <row r="189">
      <c r="A189" s="96"/>
      <c r="B189" s="6"/>
      <c r="C189" s="7"/>
      <c r="D189" s="3"/>
      <c r="E189" s="7"/>
      <c r="F189" s="7"/>
      <c r="G189" s="7"/>
      <c r="H189" s="7"/>
      <c r="I189" s="7"/>
    </row>
    <row r="190">
      <c r="A190" s="96"/>
      <c r="B190" s="6"/>
      <c r="C190" s="7"/>
      <c r="D190" s="3"/>
      <c r="E190" s="7"/>
      <c r="F190" s="7"/>
      <c r="G190" s="7"/>
      <c r="H190" s="7"/>
      <c r="I190" s="7"/>
    </row>
    <row r="191">
      <c r="A191" s="96"/>
      <c r="B191" s="6"/>
      <c r="C191" s="7"/>
      <c r="D191" s="3"/>
      <c r="E191" s="7"/>
      <c r="F191" s="7"/>
      <c r="G191" s="7"/>
      <c r="H191" s="7"/>
      <c r="I191" s="7"/>
    </row>
    <row r="192">
      <c r="A192" s="96"/>
      <c r="B192" s="6"/>
      <c r="C192" s="7"/>
      <c r="D192" s="3"/>
      <c r="E192" s="7"/>
      <c r="F192" s="7"/>
      <c r="G192" s="7"/>
      <c r="H192" s="7"/>
      <c r="I192" s="7"/>
    </row>
    <row r="193">
      <c r="A193" s="96"/>
      <c r="B193" s="6"/>
      <c r="C193" s="7"/>
      <c r="D193" s="3"/>
      <c r="E193" s="7"/>
      <c r="F193" s="7"/>
      <c r="G193" s="7"/>
      <c r="H193" s="7"/>
      <c r="I193" s="7"/>
    </row>
    <row r="194">
      <c r="A194" s="96"/>
      <c r="B194" s="6"/>
      <c r="C194" s="7"/>
      <c r="D194" s="3"/>
      <c r="E194" s="7"/>
      <c r="F194" s="7"/>
      <c r="G194" s="7"/>
      <c r="H194" s="7"/>
      <c r="I194" s="7"/>
    </row>
    <row r="195">
      <c r="A195" s="96"/>
      <c r="B195" s="6"/>
      <c r="C195" s="7"/>
      <c r="D195" s="3"/>
      <c r="E195" s="7"/>
      <c r="F195" s="7"/>
      <c r="G195" s="7"/>
      <c r="H195" s="7"/>
      <c r="I195" s="7"/>
    </row>
    <row r="196">
      <c r="A196" s="96"/>
      <c r="B196" s="6"/>
      <c r="C196" s="7"/>
      <c r="D196" s="3"/>
      <c r="E196" s="7"/>
      <c r="F196" s="7"/>
      <c r="G196" s="7"/>
      <c r="H196" s="7"/>
      <c r="I196" s="7"/>
    </row>
    <row r="197">
      <c r="A197" s="96"/>
      <c r="B197" s="6"/>
      <c r="C197" s="7"/>
      <c r="D197" s="3"/>
      <c r="E197" s="7"/>
      <c r="F197" s="7"/>
      <c r="G197" s="7"/>
      <c r="H197" s="7"/>
      <c r="I197" s="7"/>
    </row>
    <row r="198">
      <c r="A198" s="96"/>
      <c r="B198" s="6"/>
      <c r="C198" s="7"/>
      <c r="D198" s="3"/>
      <c r="E198" s="7"/>
      <c r="F198" s="7"/>
      <c r="G198" s="7"/>
      <c r="H198" s="7"/>
      <c r="I198" s="7"/>
    </row>
    <row r="199">
      <c r="A199" s="96"/>
      <c r="B199" s="6"/>
      <c r="C199" s="7"/>
      <c r="D199" s="3"/>
      <c r="E199" s="7"/>
      <c r="F199" s="7"/>
      <c r="G199" s="7"/>
      <c r="H199" s="7"/>
      <c r="I199" s="7"/>
    </row>
    <row r="200">
      <c r="A200" s="96"/>
      <c r="B200" s="6"/>
      <c r="C200" s="7"/>
      <c r="D200" s="3"/>
      <c r="E200" s="7"/>
      <c r="F200" s="7"/>
      <c r="G200" s="7"/>
      <c r="H200" s="7"/>
      <c r="I200" s="7"/>
    </row>
    <row r="201">
      <c r="A201" s="96"/>
      <c r="B201" s="3"/>
    </row>
    <row r="202">
      <c r="A202" s="97" t="str">
        <f>'🖐🏾 Human'!$A$2</f>
        <v>www.berria.eus/euskal-herria/ehunka-herritarrek-etxebarriko-sexu-erasoa-salatu-dute_2126343_102.html</v>
      </c>
      <c r="B202" s="6" t="s">
        <v>15</v>
      </c>
      <c r="C202" s="7" t="str">
        <f>'🖐🏾 Human'!C2</f>
        <v>Heading</v>
      </c>
      <c r="D202" s="94">
        <f>'🖐🏾 Human'!E2</f>
        <v>0.2075471698</v>
      </c>
      <c r="E202" s="7">
        <f>'🖐🏾 Human'!F2</f>
        <v>4</v>
      </c>
      <c r="F202" s="7">
        <f>'🖐🏾 Human'!G2</f>
        <v>4</v>
      </c>
      <c r="G202" s="7">
        <f>'🖐🏾 Human'!H2</f>
        <v>5</v>
      </c>
      <c r="H202" s="7">
        <f>'🖐🏾 Human'!I2</f>
        <v>5</v>
      </c>
      <c r="I202" s="7">
        <f>'🖐🏾 Human'!J2</f>
        <v>2</v>
      </c>
    </row>
    <row r="203">
      <c r="A203" s="97" t="str">
        <f>'🖐🏾 Human'!$A$2</f>
        <v>www.berria.eus/euskal-herria/ehunka-herritarrek-etxebarriko-sexu-erasoa-salatu-dute_2126343_102.html</v>
      </c>
      <c r="B203" s="6" t="s">
        <v>15</v>
      </c>
      <c r="C203" s="7" t="str">
        <f>'🖐🏾 Human'!C3</f>
        <v>Jeremy</v>
      </c>
      <c r="D203" s="94">
        <f>'🖐🏾 Human'!E3</f>
        <v>0.3773584906</v>
      </c>
      <c r="E203" s="7">
        <f>'🖐🏾 Human'!F3</f>
        <v>4</v>
      </c>
      <c r="F203" s="7">
        <f>'🖐🏾 Human'!G3</f>
        <v>4</v>
      </c>
      <c r="G203" s="7">
        <f>'🖐🏾 Human'!H3</f>
        <v>5</v>
      </c>
      <c r="H203" s="7">
        <f>'🖐🏾 Human'!I3</f>
        <v>5</v>
      </c>
      <c r="I203" s="7">
        <f>'🖐🏾 Human'!J3</f>
        <v>4</v>
      </c>
    </row>
    <row r="204">
      <c r="A204" s="97" t="str">
        <f>'🖐🏾 Human'!$A$2</f>
        <v>www.berria.eus/euskal-herria/ehunka-herritarrek-etxebarriko-sexu-erasoa-salatu-dute_2126343_102.html</v>
      </c>
      <c r="B204" s="6" t="s">
        <v>15</v>
      </c>
      <c r="C204" s="7" t="str">
        <f>'🖐🏾 Human'!C4</f>
        <v>Begoña</v>
      </c>
      <c r="D204" s="94">
        <f>'🖐🏾 Human'!E4</f>
        <v>0.7264150943</v>
      </c>
      <c r="E204" s="7">
        <f>'🖐🏾 Human'!F4</f>
        <v>4</v>
      </c>
      <c r="F204" s="7">
        <f>'🖐🏾 Human'!G4</f>
        <v>5</v>
      </c>
      <c r="G204" s="7">
        <f>'🖐🏾 Human'!H4</f>
        <v>5</v>
      </c>
      <c r="H204" s="7">
        <f>'🖐🏾 Human'!I4</f>
        <v>5</v>
      </c>
      <c r="I204" s="7">
        <f>'🖐🏾 Human'!J4</f>
        <v>5</v>
      </c>
    </row>
    <row r="205">
      <c r="A205" s="97" t="str">
        <f>'🖐🏾 Human'!$A$2</f>
        <v>www.berria.eus/euskal-herria/ehunka-herritarrek-etxebarriko-sexu-erasoa-salatu-dute_2126343_102.html</v>
      </c>
      <c r="B205" s="6" t="s">
        <v>15</v>
      </c>
      <c r="C205" s="7" t="str">
        <f>'🖐🏾 Human'!C5</f>
        <v>Naiara</v>
      </c>
      <c r="D205" s="94">
        <f>'🖐🏾 Human'!E5</f>
        <v>0.4811320755</v>
      </c>
      <c r="E205" s="7" t="str">
        <f>'🖐🏾 Human'!F5</f>
        <v/>
      </c>
      <c r="F205" s="7" t="str">
        <f>'🖐🏾 Human'!G5</f>
        <v/>
      </c>
      <c r="G205" s="7" t="str">
        <f>'🖐🏾 Human'!H5</f>
        <v/>
      </c>
      <c r="H205" s="7" t="str">
        <f>'🖐🏾 Human'!I5</f>
        <v/>
      </c>
      <c r="I205" s="7" t="str">
        <f>'🖐🏾 Human'!J5</f>
        <v/>
      </c>
    </row>
    <row r="206">
      <c r="A206" s="98"/>
      <c r="B206" s="6"/>
      <c r="C206" s="7"/>
      <c r="D206" s="3"/>
      <c r="E206" s="7"/>
      <c r="F206" s="7"/>
      <c r="G206" s="7"/>
      <c r="H206" s="7"/>
      <c r="I206" s="7"/>
    </row>
    <row r="207">
      <c r="A207" s="97" t="str">
        <f>'🖐🏾 Human'!$A$7</f>
        <v>https://www.berria.eus/euskal-herria/erramun-baxok-ohorezko-euskaltzaina-zendu-da_2126101_102.html</v>
      </c>
      <c r="B207" s="6" t="s">
        <v>15</v>
      </c>
      <c r="C207" s="7" t="str">
        <f>'🖐🏾 Human'!C7</f>
        <v>Heading</v>
      </c>
      <c r="D207" s="94">
        <f>'🖐🏾 Human'!E7</f>
        <v>0.04036697248</v>
      </c>
      <c r="E207" s="7">
        <f>'🖐🏾 Human'!F7</f>
        <v>4</v>
      </c>
      <c r="F207" s="7">
        <f>'🖐🏾 Human'!G7</f>
        <v>5</v>
      </c>
      <c r="G207" s="7">
        <f>'🖐🏾 Human'!H7</f>
        <v>4</v>
      </c>
      <c r="H207" s="7">
        <f>'🖐🏾 Human'!I7</f>
        <v>5</v>
      </c>
      <c r="I207" s="7">
        <f>'🖐🏾 Human'!J7</f>
        <v>3</v>
      </c>
    </row>
    <row r="208">
      <c r="A208" s="97" t="str">
        <f>'🖐🏾 Human'!$A$7</f>
        <v>https://www.berria.eus/euskal-herria/erramun-baxok-ohorezko-euskaltzaina-zendu-da_2126101_102.html</v>
      </c>
      <c r="B208" s="6" t="s">
        <v>15</v>
      </c>
      <c r="C208" s="7" t="str">
        <f>'🖐🏾 Human'!C8</f>
        <v>Jeremy</v>
      </c>
      <c r="D208" s="94">
        <f>'🖐🏾 Human'!E8</f>
        <v>0.104587156</v>
      </c>
      <c r="E208" s="7">
        <f>'🖐🏾 Human'!F8</f>
        <v>5</v>
      </c>
      <c r="F208" s="7">
        <f>'🖐🏾 Human'!G8</f>
        <v>5</v>
      </c>
      <c r="G208" s="7">
        <f>'🖐🏾 Human'!H8</f>
        <v>5</v>
      </c>
      <c r="H208" s="7">
        <f>'🖐🏾 Human'!I8</f>
        <v>5</v>
      </c>
      <c r="I208" s="7">
        <f>'🖐🏾 Human'!J8</f>
        <v>4</v>
      </c>
    </row>
    <row r="209">
      <c r="A209" s="97" t="str">
        <f>'🖐🏾 Human'!$A$7</f>
        <v>https://www.berria.eus/euskal-herria/erramun-baxok-ohorezko-euskaltzaina-zendu-da_2126101_102.html</v>
      </c>
      <c r="B209" s="6" t="s">
        <v>15</v>
      </c>
      <c r="C209" s="7" t="str">
        <f>'🖐🏾 Human'!C9</f>
        <v>Begoña</v>
      </c>
      <c r="D209" s="94">
        <f>'🖐🏾 Human'!E9</f>
        <v>0.2862385321</v>
      </c>
      <c r="E209" s="7">
        <f>'🖐🏾 Human'!F9</f>
        <v>5</v>
      </c>
      <c r="F209" s="7">
        <f>'🖐🏾 Human'!G9</f>
        <v>5</v>
      </c>
      <c r="G209" s="7">
        <f>'🖐🏾 Human'!H9</f>
        <v>5</v>
      </c>
      <c r="H209" s="7">
        <f>'🖐🏾 Human'!I9</f>
        <v>4</v>
      </c>
      <c r="I209" s="7">
        <f>'🖐🏾 Human'!J9</f>
        <v>5</v>
      </c>
    </row>
    <row r="210">
      <c r="A210" s="97" t="str">
        <f>'🖐🏾 Human'!$A$7</f>
        <v>https://www.berria.eus/euskal-herria/erramun-baxok-ohorezko-euskaltzaina-zendu-da_2126101_102.html</v>
      </c>
      <c r="B210" s="6" t="s">
        <v>15</v>
      </c>
      <c r="C210" s="7" t="str">
        <f>'🖐🏾 Human'!C10</f>
        <v>Naiara</v>
      </c>
      <c r="D210" s="94">
        <f>'🖐🏾 Human'!E10</f>
        <v>0.1321100917</v>
      </c>
      <c r="E210" s="7" t="str">
        <f>'🖐🏾 Human'!F10</f>
        <v/>
      </c>
      <c r="F210" s="7" t="str">
        <f>'🖐🏾 Human'!G10</f>
        <v/>
      </c>
      <c r="G210" s="7" t="str">
        <f>'🖐🏾 Human'!H10</f>
        <v/>
      </c>
      <c r="H210" s="7" t="str">
        <f>'🖐🏾 Human'!I10</f>
        <v/>
      </c>
      <c r="I210" s="7" t="str">
        <f>'🖐🏾 Human'!J10</f>
        <v/>
      </c>
    </row>
    <row r="211">
      <c r="A211" s="98"/>
      <c r="B211" s="6"/>
      <c r="C211" s="7"/>
      <c r="D211" s="3"/>
      <c r="E211" s="7"/>
      <c r="F211" s="7"/>
      <c r="G211" s="7"/>
      <c r="H211" s="7"/>
      <c r="I211" s="7"/>
    </row>
    <row r="212">
      <c r="A212" s="97" t="str">
        <f>'🖐🏾 Human'!$A$12</f>
        <v>https://www.berria.eus/euskal-herria/etxelekuren-kargugabetzea-kritikatu-dute-errobiko-bederatzi-hautetsik_2125690_102.html</v>
      </c>
      <c r="B212" s="6" t="s">
        <v>15</v>
      </c>
      <c r="C212" s="7" t="str">
        <f>'🖐🏾 Human'!C12</f>
        <v>Heading</v>
      </c>
      <c r="D212" s="94">
        <f>'🖐🏾 Human'!E12</f>
        <v>0.06395348837</v>
      </c>
      <c r="E212" s="7">
        <f>'🖐🏾 Human'!F12</f>
        <v>4</v>
      </c>
      <c r="F212" s="7">
        <f>'🖐🏾 Human'!G12</f>
        <v>5</v>
      </c>
      <c r="G212" s="7">
        <f>'🖐🏾 Human'!H12</f>
        <v>5</v>
      </c>
      <c r="H212" s="7">
        <f>'🖐🏾 Human'!I12</f>
        <v>5</v>
      </c>
      <c r="I212" s="7">
        <f>'🖐🏾 Human'!J12</f>
        <v>3</v>
      </c>
    </row>
    <row r="213">
      <c r="A213" s="97" t="str">
        <f>'🖐🏾 Human'!$A$12</f>
        <v>https://www.berria.eus/euskal-herria/etxelekuren-kargugabetzea-kritikatu-dute-errobiko-bederatzi-hautetsik_2125690_102.html</v>
      </c>
      <c r="B213" s="6" t="s">
        <v>15</v>
      </c>
      <c r="C213" s="7" t="str">
        <f>'🖐🏾 Human'!C13</f>
        <v>Jeremy</v>
      </c>
      <c r="D213" s="94">
        <f>'🖐🏾 Human'!E13</f>
        <v>0.2151162791</v>
      </c>
      <c r="E213" s="7">
        <f>'🖐🏾 Human'!F13</f>
        <v>5</v>
      </c>
      <c r="F213" s="7">
        <f>'🖐🏾 Human'!G13</f>
        <v>5</v>
      </c>
      <c r="G213" s="7">
        <f>'🖐🏾 Human'!H13</f>
        <v>5</v>
      </c>
      <c r="H213" s="7">
        <f>'🖐🏾 Human'!I13</f>
        <v>5</v>
      </c>
      <c r="I213" s="7">
        <f>'🖐🏾 Human'!J13</f>
        <v>5</v>
      </c>
    </row>
    <row r="214">
      <c r="A214" s="97" t="str">
        <f>'🖐🏾 Human'!$A$12</f>
        <v>https://www.berria.eus/euskal-herria/etxelekuren-kargugabetzea-kritikatu-dute-errobiko-bederatzi-hautetsik_2125690_102.html</v>
      </c>
      <c r="B214" s="6" t="s">
        <v>15</v>
      </c>
      <c r="C214" s="7" t="str">
        <f>'🖐🏾 Human'!C14</f>
        <v>Begoña</v>
      </c>
      <c r="D214" s="94">
        <f>'🖐🏾 Human'!E14</f>
        <v>0.4069767442</v>
      </c>
      <c r="E214" s="7">
        <f>'🖐🏾 Human'!F14</f>
        <v>4</v>
      </c>
      <c r="F214" s="7">
        <f>'🖐🏾 Human'!G14</f>
        <v>5</v>
      </c>
      <c r="G214" s="7">
        <f>'🖐🏾 Human'!H14</f>
        <v>5</v>
      </c>
      <c r="H214" s="7">
        <f>'🖐🏾 Human'!I14</f>
        <v>5</v>
      </c>
      <c r="I214" s="7">
        <f>'🖐🏾 Human'!J14</f>
        <v>5</v>
      </c>
    </row>
    <row r="215">
      <c r="A215" s="97" t="str">
        <f>'🖐🏾 Human'!$A$12</f>
        <v>https://www.berria.eus/euskal-herria/etxelekuren-kargugabetzea-kritikatu-dute-errobiko-bederatzi-hautetsik_2125690_102.html</v>
      </c>
      <c r="B215" s="6" t="s">
        <v>15</v>
      </c>
      <c r="C215" s="7" t="str">
        <f>'🖐🏾 Human'!C15</f>
        <v>Naiara</v>
      </c>
      <c r="D215" s="94">
        <f>'🖐🏾 Human'!E15</f>
        <v>0.2122093023</v>
      </c>
      <c r="E215" s="7" t="str">
        <f>'🖐🏾 Human'!F15</f>
        <v/>
      </c>
      <c r="F215" s="7" t="str">
        <f>'🖐🏾 Human'!G15</f>
        <v/>
      </c>
      <c r="G215" s="7" t="str">
        <f>'🖐🏾 Human'!H15</f>
        <v/>
      </c>
      <c r="H215" s="7" t="str">
        <f>'🖐🏾 Human'!I15</f>
        <v/>
      </c>
      <c r="I215" s="7" t="str">
        <f>'🖐🏾 Human'!J15</f>
        <v/>
      </c>
    </row>
    <row r="216">
      <c r="A216" s="98"/>
      <c r="B216" s="6"/>
      <c r="C216" s="7"/>
      <c r="D216" s="3"/>
      <c r="E216" s="7"/>
      <c r="F216" s="7"/>
      <c r="G216" s="7"/>
      <c r="H216" s="7"/>
      <c r="I216" s="7"/>
    </row>
    <row r="217">
      <c r="A217" s="97" t="str">
        <f>'🖐🏾 Human'!$A$17</f>
        <v>https://www.berria.eus/euskal-herria/itziar-lakari-eman-diote-eusko-ikaskuntzaren-saria_2125317_102.html</v>
      </c>
      <c r="B217" s="6" t="s">
        <v>15</v>
      </c>
      <c r="C217" s="7" t="str">
        <f>'🖐🏾 Human'!C17</f>
        <v>Heading</v>
      </c>
      <c r="D217" s="94">
        <f>'🖐🏾 Human'!E17</f>
        <v>0.1813471503</v>
      </c>
      <c r="E217" s="7">
        <f>'🖐🏾 Human'!F17</f>
        <v>4</v>
      </c>
      <c r="F217" s="7">
        <f>'🖐🏾 Human'!G17</f>
        <v>4</v>
      </c>
      <c r="G217" s="7">
        <f>'🖐🏾 Human'!H17</f>
        <v>5</v>
      </c>
      <c r="H217" s="7">
        <f>'🖐🏾 Human'!I17</f>
        <v>5</v>
      </c>
      <c r="I217" s="7">
        <f>'🖐🏾 Human'!J17</f>
        <v>3</v>
      </c>
    </row>
    <row r="218">
      <c r="A218" s="97" t="str">
        <f>'🖐🏾 Human'!$A$17</f>
        <v>https://www.berria.eus/euskal-herria/itziar-lakari-eman-diote-eusko-ikaskuntzaren-saria_2125317_102.html</v>
      </c>
      <c r="B218" s="6" t="s">
        <v>15</v>
      </c>
      <c r="C218" s="7" t="str">
        <f>'🖐🏾 Human'!C18</f>
        <v>Jeremy</v>
      </c>
      <c r="D218" s="94">
        <f>'🖐🏾 Human'!E18</f>
        <v>0.2849740933</v>
      </c>
      <c r="E218" s="7">
        <f>'🖐🏾 Human'!F18</f>
        <v>5</v>
      </c>
      <c r="F218" s="7">
        <f>'🖐🏾 Human'!G18</f>
        <v>5</v>
      </c>
      <c r="G218" s="7">
        <f>'🖐🏾 Human'!H18</f>
        <v>5</v>
      </c>
      <c r="H218" s="7">
        <f>'🖐🏾 Human'!I18</f>
        <v>5</v>
      </c>
      <c r="I218" s="7">
        <f>'🖐🏾 Human'!J18</f>
        <v>4</v>
      </c>
    </row>
    <row r="219">
      <c r="A219" s="97" t="str">
        <f>'🖐🏾 Human'!$A$17</f>
        <v>https://www.berria.eus/euskal-herria/itziar-lakari-eman-diote-eusko-ikaskuntzaren-saria_2125317_102.html</v>
      </c>
      <c r="B219" s="6" t="s">
        <v>15</v>
      </c>
      <c r="C219" s="7" t="str">
        <f>'🖐🏾 Human'!C19</f>
        <v>Begoña</v>
      </c>
      <c r="D219" s="94">
        <f>'🖐🏾 Human'!E19</f>
        <v>0.6424870466</v>
      </c>
      <c r="E219" s="7">
        <f>'🖐🏾 Human'!F19</f>
        <v>5</v>
      </c>
      <c r="F219" s="7">
        <f>'🖐🏾 Human'!G19</f>
        <v>5</v>
      </c>
      <c r="G219" s="7">
        <f>'🖐🏾 Human'!H19</f>
        <v>5</v>
      </c>
      <c r="H219" s="7">
        <f>'🖐🏾 Human'!I19</f>
        <v>4</v>
      </c>
      <c r="I219" s="7">
        <f>'🖐🏾 Human'!J19</f>
        <v>5</v>
      </c>
    </row>
    <row r="220">
      <c r="A220" s="97" t="str">
        <f>'🖐🏾 Human'!$A$17</f>
        <v>https://www.berria.eus/euskal-herria/itziar-lakari-eman-diote-eusko-ikaskuntzaren-saria_2125317_102.html</v>
      </c>
      <c r="B220" s="6" t="s">
        <v>15</v>
      </c>
      <c r="C220" s="7" t="str">
        <f>'🖐🏾 Human'!C20</f>
        <v>Naiara</v>
      </c>
      <c r="D220" s="94">
        <f>'🖐🏾 Human'!E20</f>
        <v>0.4455958549</v>
      </c>
      <c r="E220" s="7" t="str">
        <f>'🖐🏾 Human'!F20</f>
        <v/>
      </c>
      <c r="F220" s="7" t="str">
        <f>'🖐🏾 Human'!G20</f>
        <v/>
      </c>
      <c r="G220" s="7" t="str">
        <f>'🖐🏾 Human'!H20</f>
        <v/>
      </c>
      <c r="H220" s="7" t="str">
        <f>'🖐🏾 Human'!I20</f>
        <v/>
      </c>
      <c r="I220" s="7" t="str">
        <f>'🖐🏾 Human'!J20</f>
        <v/>
      </c>
    </row>
    <row r="221">
      <c r="A221" s="98"/>
      <c r="B221" s="6"/>
      <c r="C221" s="7"/>
      <c r="D221" s="3"/>
      <c r="E221" s="7"/>
      <c r="F221" s="7"/>
      <c r="G221" s="7"/>
      <c r="H221" s="7"/>
      <c r="I221" s="7"/>
    </row>
    <row r="222">
      <c r="A222" s="97" t="str">
        <f>'🖐🏾 Human'!$A$22</f>
        <v>https://www.berria.eus/euskal-herria/sexu-indarkeriaren-biktimentzako-zentro-bat-zabaldu-dute-araban_2124914_102.html</v>
      </c>
      <c r="B222" s="6" t="s">
        <v>15</v>
      </c>
      <c r="C222" s="7" t="str">
        <f>'🖐🏾 Human'!C22</f>
        <v>Heading</v>
      </c>
      <c r="D222" s="94">
        <f>'🖐🏾 Human'!E22</f>
        <v>0.03735144312</v>
      </c>
      <c r="E222" s="7">
        <f>'🖐🏾 Human'!F22</f>
        <v>4</v>
      </c>
      <c r="F222" s="7">
        <f>'🖐🏾 Human'!G22</f>
        <v>5</v>
      </c>
      <c r="G222" s="7">
        <f>'🖐🏾 Human'!H22</f>
        <v>5</v>
      </c>
      <c r="H222" s="7">
        <f>'🖐🏾 Human'!I22</f>
        <v>5</v>
      </c>
      <c r="I222" s="7">
        <f>'🖐🏾 Human'!J22</f>
        <v>3</v>
      </c>
    </row>
    <row r="223">
      <c r="A223" s="97" t="str">
        <f>'🖐🏾 Human'!$A$22</f>
        <v>https://www.berria.eus/euskal-herria/sexu-indarkeriaren-biktimentzako-zentro-bat-zabaldu-dute-araban_2124914_102.html</v>
      </c>
      <c r="B223" s="6" t="s">
        <v>15</v>
      </c>
      <c r="C223" s="7" t="str">
        <f>'🖐🏾 Human'!C23</f>
        <v>Jeremy</v>
      </c>
      <c r="D223" s="94">
        <f>'🖐🏾 Human'!E23</f>
        <v>0.156196944</v>
      </c>
      <c r="E223" s="7">
        <f>'🖐🏾 Human'!F23</f>
        <v>4</v>
      </c>
      <c r="F223" s="7">
        <f>'🖐🏾 Human'!G23</f>
        <v>5</v>
      </c>
      <c r="G223" s="7">
        <f>'🖐🏾 Human'!H23</f>
        <v>5</v>
      </c>
      <c r="H223" s="7">
        <f>'🖐🏾 Human'!I23</f>
        <v>5</v>
      </c>
      <c r="I223" s="7">
        <f>'🖐🏾 Human'!J23</f>
        <v>4</v>
      </c>
    </row>
    <row r="224">
      <c r="A224" s="97" t="str">
        <f>'🖐🏾 Human'!$A$22</f>
        <v>https://www.berria.eus/euskal-herria/sexu-indarkeriaren-biktimentzako-zentro-bat-zabaldu-dute-araban_2124914_102.html</v>
      </c>
      <c r="B224" s="6" t="s">
        <v>15</v>
      </c>
      <c r="C224" s="7" t="str">
        <f>'🖐🏾 Human'!C24</f>
        <v>Begoña</v>
      </c>
      <c r="D224" s="94">
        <f>'🖐🏾 Human'!E24</f>
        <v>0.4634974533</v>
      </c>
      <c r="E224" s="7">
        <f>'🖐🏾 Human'!F24</f>
        <v>4</v>
      </c>
      <c r="F224" s="7">
        <f>'🖐🏾 Human'!G24</f>
        <v>5</v>
      </c>
      <c r="G224" s="7">
        <f>'🖐🏾 Human'!H24</f>
        <v>5</v>
      </c>
      <c r="H224" s="7">
        <f>'🖐🏾 Human'!I24</f>
        <v>4</v>
      </c>
      <c r="I224" s="7">
        <f>'🖐🏾 Human'!J24</f>
        <v>5</v>
      </c>
    </row>
    <row r="225">
      <c r="A225" s="97" t="str">
        <f>'🖐🏾 Human'!$A$22</f>
        <v>https://www.berria.eus/euskal-herria/sexu-indarkeriaren-biktimentzako-zentro-bat-zabaldu-dute-araban_2124914_102.html</v>
      </c>
      <c r="B225" s="6" t="s">
        <v>15</v>
      </c>
      <c r="C225" s="7" t="str">
        <f>'🖐🏾 Human'!C25</f>
        <v>Naiara</v>
      </c>
      <c r="D225" s="94">
        <f>'🖐🏾 Human'!E25</f>
        <v>0.2071307301</v>
      </c>
      <c r="E225" s="7" t="str">
        <f>'🖐🏾 Human'!F25</f>
        <v/>
      </c>
      <c r="F225" s="7" t="str">
        <f>'🖐🏾 Human'!G25</f>
        <v/>
      </c>
      <c r="G225" s="7" t="str">
        <f>'🖐🏾 Human'!H25</f>
        <v/>
      </c>
      <c r="H225" s="7" t="str">
        <f>'🖐🏾 Human'!I25</f>
        <v/>
      </c>
      <c r="I225" s="7" t="str">
        <f>'🖐🏾 Human'!J25</f>
        <v/>
      </c>
    </row>
    <row r="226">
      <c r="A226" s="96" t="str">
        <f>'🖐🏾 Human'!A26</f>
        <v/>
      </c>
      <c r="B226" s="6"/>
      <c r="C226" s="7"/>
      <c r="D226" s="3"/>
      <c r="E226" s="7"/>
      <c r="F226" s="7"/>
      <c r="G226" s="7"/>
      <c r="H226" s="7"/>
      <c r="I226" s="7"/>
    </row>
    <row r="227">
      <c r="A227" s="96" t="str">
        <f>'🖐🏾 Human'!A27</f>
        <v/>
      </c>
      <c r="B227" s="6" t="s">
        <v>15</v>
      </c>
      <c r="C227" s="7" t="str">
        <f>'🖐🏾 Human'!C27</f>
        <v/>
      </c>
      <c r="D227" s="3" t="str">
        <f>'🖐🏾 Human'!E27</f>
        <v/>
      </c>
      <c r="E227" s="7" t="str">
        <f>'🖐🏾 Human'!F27</f>
        <v/>
      </c>
      <c r="F227" s="7" t="str">
        <f>'🖐🏾 Human'!G27</f>
        <v/>
      </c>
      <c r="G227" s="7" t="str">
        <f>'🖐🏾 Human'!H27</f>
        <v/>
      </c>
      <c r="H227" s="7" t="str">
        <f>'🖐🏾 Human'!I27</f>
        <v/>
      </c>
      <c r="I227" s="7" t="str">
        <f>'🖐🏾 Human'!J27</f>
        <v/>
      </c>
    </row>
    <row r="228">
      <c r="A228" s="96" t="str">
        <f>'🖐🏾 Human'!A28</f>
        <v/>
      </c>
      <c r="B228" s="6" t="s">
        <v>15</v>
      </c>
      <c r="C228" s="7" t="str">
        <f>'🖐🏾 Human'!C28</f>
        <v/>
      </c>
      <c r="D228" s="3" t="str">
        <f>'🖐🏾 Human'!E28</f>
        <v/>
      </c>
      <c r="E228" s="7" t="str">
        <f>'🖐🏾 Human'!F28</f>
        <v/>
      </c>
      <c r="F228" s="7" t="str">
        <f>'🖐🏾 Human'!G28</f>
        <v/>
      </c>
      <c r="G228" s="7" t="str">
        <f>'🖐🏾 Human'!H28</f>
        <v/>
      </c>
      <c r="H228" s="7" t="str">
        <f>'🖐🏾 Human'!I28</f>
        <v/>
      </c>
      <c r="I228" s="7" t="str">
        <f>'🖐🏾 Human'!J28</f>
        <v/>
      </c>
    </row>
    <row r="229">
      <c r="A229" s="96" t="str">
        <f>'🖐🏾 Human'!A29</f>
        <v/>
      </c>
      <c r="B229" s="6" t="s">
        <v>15</v>
      </c>
      <c r="C229" s="7" t="str">
        <f>'🖐🏾 Human'!C29</f>
        <v/>
      </c>
      <c r="D229" s="3" t="str">
        <f>'🖐🏾 Human'!E29</f>
        <v/>
      </c>
      <c r="E229" s="7" t="str">
        <f>'🖐🏾 Human'!F29</f>
        <v/>
      </c>
      <c r="F229" s="7" t="str">
        <f>'🖐🏾 Human'!G29</f>
        <v/>
      </c>
      <c r="G229" s="7" t="str">
        <f>'🖐🏾 Human'!H29</f>
        <v/>
      </c>
      <c r="H229" s="7" t="str">
        <f>'🖐🏾 Human'!I29</f>
        <v/>
      </c>
      <c r="I229" s="7" t="str">
        <f>'🖐🏾 Human'!J29</f>
        <v/>
      </c>
    </row>
    <row r="230">
      <c r="A230" s="96" t="str">
        <f>'🖐🏾 Human'!A30</f>
        <v/>
      </c>
      <c r="B230" s="6" t="s">
        <v>15</v>
      </c>
      <c r="C230" s="7" t="str">
        <f>'🖐🏾 Human'!C30</f>
        <v/>
      </c>
      <c r="D230" s="3" t="str">
        <f>'🖐🏾 Human'!E30</f>
        <v/>
      </c>
      <c r="E230" s="7" t="str">
        <f>'🖐🏾 Human'!F30</f>
        <v/>
      </c>
      <c r="F230" s="7" t="str">
        <f>'🖐🏾 Human'!G30</f>
        <v/>
      </c>
      <c r="G230" s="7" t="str">
        <f>'🖐🏾 Human'!H30</f>
        <v/>
      </c>
      <c r="H230" s="7" t="str">
        <f>'🖐🏾 Human'!I30</f>
        <v/>
      </c>
      <c r="I230" s="7" t="str">
        <f>'🖐🏾 Human'!J30</f>
        <v/>
      </c>
    </row>
    <row r="231">
      <c r="A231" s="96"/>
      <c r="B231" s="6"/>
      <c r="C231" s="7"/>
      <c r="D231" s="3"/>
      <c r="E231" s="7"/>
      <c r="F231" s="7"/>
      <c r="G231" s="7"/>
      <c r="H231" s="7"/>
      <c r="I231" s="7"/>
    </row>
    <row r="232">
      <c r="A232" s="99" t="str">
        <f>'🤖 Llama-3.1-70b-instruct'!$A$2</f>
        <v>www.berria.eus/euskal-herria/ehunka-herritarrek-etxebarriko-sexu-erasoa-salatu-dute_2126343_102.html</v>
      </c>
      <c r="B232" s="17" t="s">
        <v>27</v>
      </c>
      <c r="C232" s="100" t="str">
        <f>'🤖 Llama-3.1-70b-instruct'!C2</f>
        <v>Base</v>
      </c>
      <c r="D232" s="101">
        <f>'🤖 Llama-3.1-70b-instruct'!E2</f>
        <v>0.1981132075</v>
      </c>
      <c r="E232" s="102">
        <f>'🤖 Llama-3.1-70b-instruct'!F2</f>
        <v>5</v>
      </c>
      <c r="F232" s="102">
        <f>'🤖 Llama-3.1-70b-instruct'!G2</f>
        <v>4</v>
      </c>
      <c r="G232" s="102">
        <f>'🤖 Llama-3.1-70b-instruct'!H2</f>
        <v>5</v>
      </c>
      <c r="H232" s="102">
        <f>'🤖 Llama-3.1-70b-instruct'!I2</f>
        <v>5</v>
      </c>
      <c r="I232" s="102">
        <f>'🤖 Llama-3.1-70b-instruct'!J2</f>
        <v>3</v>
      </c>
      <c r="J232" s="98"/>
      <c r="K232" s="98"/>
      <c r="L232" s="98"/>
      <c r="M232" s="98"/>
      <c r="N232" s="98"/>
      <c r="O232" s="98"/>
      <c r="P232" s="98"/>
      <c r="Q232" s="98"/>
      <c r="R232" s="98"/>
      <c r="S232" s="98"/>
      <c r="T232" s="98"/>
      <c r="U232" s="98"/>
      <c r="V232" s="98"/>
      <c r="W232" s="98"/>
      <c r="X232" s="98"/>
      <c r="Y232" s="98"/>
      <c r="Z232" s="98"/>
    </row>
    <row r="233">
      <c r="A233" s="99" t="str">
        <f>'🤖 Llama-3.1-70b-instruct'!$A$2</f>
        <v>www.berria.eus/euskal-herria/ehunka-herritarrek-etxebarriko-sexu-erasoa-salatu-dute_2126343_102.html</v>
      </c>
      <c r="B233" s="17" t="s">
        <v>27</v>
      </c>
      <c r="C233" s="100" t="str">
        <f>'🤖 Llama-3.1-70b-instruct'!C3</f>
        <v>CoT</v>
      </c>
      <c r="D233" s="101">
        <f>'🤖 Llama-3.1-70b-instruct'!E3</f>
        <v>0.1320754717</v>
      </c>
      <c r="E233" s="102">
        <f>'🤖 Llama-3.1-70b-instruct'!F3</f>
        <v>5</v>
      </c>
      <c r="F233" s="102">
        <f>'🤖 Llama-3.1-70b-instruct'!G3</f>
        <v>3</v>
      </c>
      <c r="G233" s="102">
        <f>'🤖 Llama-3.1-70b-instruct'!H3</f>
        <v>5</v>
      </c>
      <c r="H233" s="102">
        <f>'🤖 Llama-3.1-70b-instruct'!I3</f>
        <v>5</v>
      </c>
      <c r="I233" s="102">
        <f>'🤖 Llama-3.1-70b-instruct'!J3</f>
        <v>3</v>
      </c>
      <c r="J233" s="98"/>
      <c r="K233" s="98"/>
      <c r="L233" s="98"/>
      <c r="M233" s="98"/>
      <c r="N233" s="98"/>
      <c r="O233" s="98"/>
      <c r="P233" s="98"/>
      <c r="Q233" s="98"/>
      <c r="R233" s="98"/>
      <c r="S233" s="98"/>
      <c r="T233" s="98"/>
      <c r="U233" s="98"/>
      <c r="V233" s="98"/>
      <c r="W233" s="98"/>
      <c r="X233" s="98"/>
      <c r="Y233" s="98"/>
      <c r="Z233" s="98"/>
    </row>
    <row r="234">
      <c r="A234" s="99" t="str">
        <f>'🤖 Llama-3.1-70b-instruct'!$A$2</f>
        <v>www.berria.eus/euskal-herria/ehunka-herritarrek-etxebarriko-sexu-erasoa-salatu-dute_2126343_102.html</v>
      </c>
      <c r="B234" s="17" t="s">
        <v>27</v>
      </c>
      <c r="C234" s="100" t="str">
        <f>'🤖 Llama-3.1-70b-instruct'!C4</f>
        <v>5W1H</v>
      </c>
      <c r="D234" s="101">
        <f>'🤖 Llama-3.1-70b-instruct'!E4</f>
        <v>0.5471698113</v>
      </c>
      <c r="E234" s="102">
        <f>'🤖 Llama-3.1-70b-instruct'!F4</f>
        <v>2</v>
      </c>
      <c r="F234" s="102">
        <f>'🤖 Llama-3.1-70b-instruct'!G4</f>
        <v>4</v>
      </c>
      <c r="G234" s="102">
        <f>'🤖 Llama-3.1-70b-instruct'!H4</f>
        <v>4</v>
      </c>
      <c r="H234" s="102">
        <f>'🤖 Llama-3.1-70b-instruct'!I4</f>
        <v>3</v>
      </c>
      <c r="I234" s="102">
        <f>'🤖 Llama-3.1-70b-instruct'!J4</f>
        <v>3</v>
      </c>
      <c r="J234" s="98"/>
      <c r="K234" s="98"/>
      <c r="L234" s="98"/>
      <c r="M234" s="98"/>
      <c r="N234" s="98"/>
      <c r="O234" s="98"/>
      <c r="P234" s="98"/>
      <c r="Q234" s="98"/>
      <c r="R234" s="98"/>
      <c r="S234" s="98"/>
      <c r="T234" s="98"/>
      <c r="U234" s="98"/>
      <c r="V234" s="98"/>
      <c r="W234" s="98"/>
      <c r="X234" s="98"/>
      <c r="Y234" s="98"/>
      <c r="Z234" s="98"/>
    </row>
    <row r="235">
      <c r="A235" s="99" t="str">
        <f>'🤖 Llama-3.1-70b-instruct'!$A$2</f>
        <v>www.berria.eus/euskal-herria/ehunka-herritarrek-etxebarriko-sexu-erasoa-salatu-dute_2126343_102.html</v>
      </c>
      <c r="B235" s="17" t="s">
        <v>27</v>
      </c>
      <c r="C235" s="100" t="str">
        <f>'🤖 Llama-3.1-70b-instruct'!C5</f>
        <v>tldr</v>
      </c>
      <c r="D235" s="101">
        <f>'🤖 Llama-3.1-70b-instruct'!E5</f>
        <v>0.2264150943</v>
      </c>
      <c r="E235" s="102">
        <f>'🤖 Llama-3.1-70b-instruct'!F5</f>
        <v>3</v>
      </c>
      <c r="F235" s="102">
        <f>'🤖 Llama-3.1-70b-instruct'!G5</f>
        <v>3</v>
      </c>
      <c r="G235" s="102">
        <f>'🤖 Llama-3.1-70b-instruct'!H5</f>
        <v>5</v>
      </c>
      <c r="H235" s="102">
        <f>'🤖 Llama-3.1-70b-instruct'!I5</f>
        <v>5</v>
      </c>
      <c r="I235" s="102">
        <f>'🤖 Llama-3.1-70b-instruct'!J5</f>
        <v>3</v>
      </c>
      <c r="J235" s="98"/>
      <c r="K235" s="98"/>
      <c r="L235" s="98"/>
      <c r="M235" s="98"/>
      <c r="N235" s="98"/>
      <c r="O235" s="98"/>
      <c r="P235" s="98"/>
      <c r="Q235" s="98"/>
      <c r="R235" s="98"/>
      <c r="S235" s="98"/>
      <c r="T235" s="98"/>
      <c r="U235" s="98"/>
      <c r="V235" s="98"/>
      <c r="W235" s="98"/>
      <c r="X235" s="98"/>
      <c r="Y235" s="98"/>
      <c r="Z235" s="98"/>
    </row>
    <row r="236">
      <c r="A236" s="98"/>
      <c r="B236" s="17"/>
      <c r="C236" s="100"/>
      <c r="D236" s="101"/>
      <c r="E236" s="102"/>
      <c r="F236" s="102"/>
      <c r="G236" s="102"/>
      <c r="H236" s="102"/>
      <c r="I236" s="102"/>
      <c r="J236" s="98"/>
      <c r="K236" s="98"/>
      <c r="L236" s="98"/>
      <c r="M236" s="98"/>
      <c r="N236" s="98"/>
      <c r="O236" s="98"/>
      <c r="P236" s="98"/>
      <c r="Q236" s="98"/>
      <c r="R236" s="98"/>
      <c r="S236" s="98"/>
      <c r="T236" s="98"/>
      <c r="U236" s="98"/>
      <c r="V236" s="98"/>
      <c r="W236" s="98"/>
      <c r="X236" s="98"/>
      <c r="Y236" s="98"/>
      <c r="Z236" s="98"/>
    </row>
    <row r="237">
      <c r="A237" s="99" t="str">
        <f>'🤖 Llama-3.1-70b-instruct'!$A$7</f>
        <v>https://www.berria.eus/euskal-herria/erramun-baxok-ohorezko-euskaltzaina-zendu-da_2126101_102.html</v>
      </c>
      <c r="B237" s="17" t="s">
        <v>27</v>
      </c>
      <c r="C237" s="100" t="str">
        <f>'🤖 Llama-3.1-70b-instruct'!C7</f>
        <v>Base</v>
      </c>
      <c r="D237" s="101">
        <f>'🤖 Llama-3.1-70b-instruct'!E7</f>
        <v>0.01467889908</v>
      </c>
      <c r="E237" s="102">
        <f>'🤖 Llama-3.1-70b-instruct'!F7</f>
        <v>5</v>
      </c>
      <c r="F237" s="102">
        <f>'🤖 Llama-3.1-70b-instruct'!G7</f>
        <v>5</v>
      </c>
      <c r="G237" s="102">
        <f>'🤖 Llama-3.1-70b-instruct'!H7</f>
        <v>5</v>
      </c>
      <c r="H237" s="102">
        <f>'🤖 Llama-3.1-70b-instruct'!I7</f>
        <v>5</v>
      </c>
      <c r="I237" s="102">
        <f>'🤖 Llama-3.1-70b-instruct'!J7</f>
        <v>2</v>
      </c>
      <c r="J237" s="98"/>
      <c r="K237" s="98"/>
      <c r="L237" s="98"/>
      <c r="M237" s="98"/>
      <c r="N237" s="98"/>
      <c r="O237" s="98"/>
      <c r="P237" s="98"/>
      <c r="Q237" s="98"/>
      <c r="R237" s="98"/>
      <c r="S237" s="98"/>
      <c r="T237" s="98"/>
      <c r="U237" s="98"/>
      <c r="V237" s="98"/>
      <c r="W237" s="98"/>
      <c r="X237" s="98"/>
      <c r="Y237" s="98"/>
      <c r="Z237" s="98"/>
    </row>
    <row r="238">
      <c r="A238" s="99" t="str">
        <f>'🤖 Llama-3.1-70b-instruct'!$A$7</f>
        <v>https://www.berria.eus/euskal-herria/erramun-baxok-ohorezko-euskaltzaina-zendu-da_2126101_102.html</v>
      </c>
      <c r="B238" s="17" t="s">
        <v>27</v>
      </c>
      <c r="C238" s="100" t="str">
        <f>'🤖 Llama-3.1-70b-instruct'!C8</f>
        <v>CoT</v>
      </c>
      <c r="D238" s="101">
        <f>'🤖 Llama-3.1-70b-instruct'!E8</f>
        <v>0.02568807339</v>
      </c>
      <c r="E238" s="102">
        <f>'🤖 Llama-3.1-70b-instruct'!F8</f>
        <v>5</v>
      </c>
      <c r="F238" s="102">
        <f>'🤖 Llama-3.1-70b-instruct'!G8</f>
        <v>5</v>
      </c>
      <c r="G238" s="102">
        <f>'🤖 Llama-3.1-70b-instruct'!H8</f>
        <v>4</v>
      </c>
      <c r="H238" s="102">
        <f>'🤖 Llama-3.1-70b-instruct'!I8</f>
        <v>5</v>
      </c>
      <c r="I238" s="102">
        <f>'🤖 Llama-3.1-70b-instruct'!J8</f>
        <v>2</v>
      </c>
      <c r="J238" s="98"/>
      <c r="K238" s="98"/>
      <c r="L238" s="98"/>
      <c r="M238" s="98"/>
      <c r="N238" s="98"/>
      <c r="O238" s="98"/>
      <c r="P238" s="98"/>
      <c r="Q238" s="98"/>
      <c r="R238" s="98"/>
      <c r="S238" s="98"/>
      <c r="T238" s="98"/>
      <c r="U238" s="98"/>
      <c r="V238" s="98"/>
      <c r="W238" s="98"/>
      <c r="X238" s="98"/>
      <c r="Y238" s="98"/>
      <c r="Z238" s="98"/>
    </row>
    <row r="239">
      <c r="A239" s="99" t="str">
        <f>'🤖 Llama-3.1-70b-instruct'!$A$7</f>
        <v>https://www.berria.eus/euskal-herria/erramun-baxok-ohorezko-euskaltzaina-zendu-da_2126101_102.html</v>
      </c>
      <c r="B239" s="17" t="s">
        <v>27</v>
      </c>
      <c r="C239" s="100" t="str">
        <f>'🤖 Llama-3.1-70b-instruct'!C9</f>
        <v>5W1H</v>
      </c>
      <c r="D239" s="101">
        <f>'🤖 Llama-3.1-70b-instruct'!E9</f>
        <v>0.2</v>
      </c>
      <c r="E239" s="102">
        <f>'🤖 Llama-3.1-70b-instruct'!F9</f>
        <v>2</v>
      </c>
      <c r="F239" s="102">
        <f>'🤖 Llama-3.1-70b-instruct'!G9</f>
        <v>4</v>
      </c>
      <c r="G239" s="102">
        <f>'🤖 Llama-3.1-70b-instruct'!H9</f>
        <v>3</v>
      </c>
      <c r="H239" s="102">
        <f>'🤖 Llama-3.1-70b-instruct'!I9</f>
        <v>3</v>
      </c>
      <c r="I239" s="102">
        <f>'🤖 Llama-3.1-70b-instruct'!J9</f>
        <v>4</v>
      </c>
      <c r="J239" s="98"/>
      <c r="K239" s="98"/>
      <c r="L239" s="98"/>
      <c r="M239" s="98"/>
      <c r="N239" s="98"/>
      <c r="O239" s="98"/>
      <c r="P239" s="98"/>
      <c r="Q239" s="98"/>
      <c r="R239" s="98"/>
      <c r="S239" s="98"/>
      <c r="T239" s="98"/>
      <c r="U239" s="98"/>
      <c r="V239" s="98"/>
      <c r="W239" s="98"/>
      <c r="X239" s="98"/>
      <c r="Y239" s="98"/>
      <c r="Z239" s="98"/>
    </row>
    <row r="240">
      <c r="A240" s="99" t="str">
        <f>'🤖 Llama-3.1-70b-instruct'!$A$7</f>
        <v>https://www.berria.eus/euskal-herria/erramun-baxok-ohorezko-euskaltzaina-zendu-da_2126101_102.html</v>
      </c>
      <c r="B240" s="17" t="s">
        <v>27</v>
      </c>
      <c r="C240" s="100" t="str">
        <f>'🤖 Llama-3.1-70b-instruct'!C10</f>
        <v>tldr</v>
      </c>
      <c r="D240" s="101">
        <f>'🤖 Llama-3.1-70b-instruct'!E10</f>
        <v>0.08073394495</v>
      </c>
      <c r="E240" s="102">
        <f>'🤖 Llama-3.1-70b-instruct'!F10</f>
        <v>4</v>
      </c>
      <c r="F240" s="102">
        <f>'🤖 Llama-3.1-70b-instruct'!G10</f>
        <v>4</v>
      </c>
      <c r="G240" s="102">
        <f>'🤖 Llama-3.1-70b-instruct'!H10</f>
        <v>4</v>
      </c>
      <c r="H240" s="102">
        <f>'🤖 Llama-3.1-70b-instruct'!I10</f>
        <v>4</v>
      </c>
      <c r="I240" s="102">
        <f>'🤖 Llama-3.1-70b-instruct'!J10</f>
        <v>3</v>
      </c>
      <c r="J240" s="98"/>
      <c r="K240" s="98"/>
      <c r="L240" s="98"/>
      <c r="M240" s="98"/>
      <c r="N240" s="98"/>
      <c r="O240" s="98"/>
      <c r="P240" s="98"/>
      <c r="Q240" s="98"/>
      <c r="R240" s="98"/>
      <c r="S240" s="98"/>
      <c r="T240" s="98"/>
      <c r="U240" s="98"/>
      <c r="V240" s="98"/>
      <c r="W240" s="98"/>
      <c r="X240" s="98"/>
      <c r="Y240" s="98"/>
      <c r="Z240" s="98"/>
    </row>
    <row r="241">
      <c r="A241" s="98"/>
      <c r="B241" s="17"/>
      <c r="C241" s="100"/>
      <c r="D241" s="101"/>
      <c r="E241" s="102"/>
      <c r="F241" s="102"/>
      <c r="G241" s="102"/>
      <c r="H241" s="102"/>
      <c r="I241" s="102"/>
      <c r="J241" s="98"/>
      <c r="K241" s="98"/>
      <c r="L241" s="98"/>
      <c r="M241" s="98"/>
      <c r="N241" s="98"/>
      <c r="O241" s="98"/>
      <c r="P241" s="98"/>
      <c r="Q241" s="98"/>
      <c r="R241" s="98"/>
      <c r="S241" s="98"/>
      <c r="T241" s="98"/>
      <c r="U241" s="98"/>
      <c r="V241" s="98"/>
      <c r="W241" s="98"/>
      <c r="X241" s="98"/>
      <c r="Y241" s="98"/>
      <c r="Z241" s="98"/>
    </row>
    <row r="242">
      <c r="A242" s="99" t="str">
        <f>'🤖 Llama-3.1-70b-instruct'!$A$12</f>
        <v>https://www.berria.eus/euskal-herria/etxelekuren-kargugabetzea-kritikatu-dute-errobiko-bederatzi-hautetsik_2125690_102.html</v>
      </c>
      <c r="B242" s="17" t="s">
        <v>27</v>
      </c>
      <c r="C242" s="100" t="str">
        <f>'🤖 Llama-3.1-70b-instruct'!C12</f>
        <v>Base</v>
      </c>
      <c r="D242" s="101">
        <f>'🤖 Llama-3.1-70b-instruct'!E12</f>
        <v>0.1686046512</v>
      </c>
      <c r="E242" s="102">
        <f>'🤖 Llama-3.1-70b-instruct'!F12</f>
        <v>4</v>
      </c>
      <c r="F242" s="102">
        <f>'🤖 Llama-3.1-70b-instruct'!G12</f>
        <v>5</v>
      </c>
      <c r="G242" s="102">
        <f>'🤖 Llama-3.1-70b-instruct'!H12</f>
        <v>4</v>
      </c>
      <c r="H242" s="102">
        <f>'🤖 Llama-3.1-70b-instruct'!I12</f>
        <v>4</v>
      </c>
      <c r="I242" s="102">
        <f>'🤖 Llama-3.1-70b-instruct'!J12</f>
        <v>4</v>
      </c>
      <c r="J242" s="98"/>
      <c r="K242" s="98"/>
      <c r="L242" s="98"/>
      <c r="M242" s="98"/>
      <c r="N242" s="98"/>
      <c r="O242" s="98"/>
      <c r="P242" s="98"/>
      <c r="Q242" s="98"/>
      <c r="R242" s="98"/>
      <c r="S242" s="98"/>
      <c r="T242" s="98"/>
      <c r="U242" s="98"/>
      <c r="V242" s="98"/>
      <c r="W242" s="98"/>
      <c r="X242" s="98"/>
      <c r="Y242" s="98"/>
      <c r="Z242" s="98"/>
    </row>
    <row r="243">
      <c r="A243" s="99" t="str">
        <f>'🤖 Llama-3.1-70b-instruct'!$A$12</f>
        <v>https://www.berria.eus/euskal-herria/etxelekuren-kargugabetzea-kritikatu-dute-errobiko-bederatzi-hautetsik_2125690_102.html</v>
      </c>
      <c r="B243" s="17" t="s">
        <v>27</v>
      </c>
      <c r="C243" s="100" t="str">
        <f>'🤖 Llama-3.1-70b-instruct'!C13</f>
        <v>CoT</v>
      </c>
      <c r="D243" s="101">
        <f>'🤖 Llama-3.1-70b-instruct'!E13</f>
        <v>0.04651162791</v>
      </c>
      <c r="E243" s="102">
        <f>'🤖 Llama-3.1-70b-instruct'!F13</f>
        <v>5</v>
      </c>
      <c r="F243" s="102">
        <f>'🤖 Llama-3.1-70b-instruct'!G13</f>
        <v>5</v>
      </c>
      <c r="G243" s="102">
        <f>'🤖 Llama-3.1-70b-instruct'!H13</f>
        <v>5</v>
      </c>
      <c r="H243" s="102">
        <f>'🤖 Llama-3.1-70b-instruct'!I13</f>
        <v>4</v>
      </c>
      <c r="I243" s="102">
        <f>'🤖 Llama-3.1-70b-instruct'!J13</f>
        <v>2</v>
      </c>
      <c r="J243" s="98"/>
      <c r="K243" s="98"/>
      <c r="L243" s="98"/>
      <c r="M243" s="98"/>
      <c r="N243" s="98"/>
      <c r="O243" s="98"/>
      <c r="P243" s="98"/>
      <c r="Q243" s="98"/>
      <c r="R243" s="98"/>
      <c r="S243" s="98"/>
      <c r="T243" s="98"/>
      <c r="U243" s="98"/>
      <c r="V243" s="98"/>
      <c r="W243" s="98"/>
      <c r="X243" s="98"/>
      <c r="Y243" s="98"/>
      <c r="Z243" s="98"/>
    </row>
    <row r="244">
      <c r="A244" s="99" t="str">
        <f>'🤖 Llama-3.1-70b-instruct'!$A$12</f>
        <v>https://www.berria.eus/euskal-herria/etxelekuren-kargugabetzea-kritikatu-dute-errobiko-bederatzi-hautetsik_2125690_102.html</v>
      </c>
      <c r="B244" s="17" t="s">
        <v>27</v>
      </c>
      <c r="C244" s="100" t="str">
        <f>'🤖 Llama-3.1-70b-instruct'!C14</f>
        <v>5W1H</v>
      </c>
      <c r="D244" s="101">
        <f>'🤖 Llama-3.1-70b-instruct'!E14</f>
        <v>0.3924418605</v>
      </c>
      <c r="E244" s="102">
        <f>'🤖 Llama-3.1-70b-instruct'!F14</f>
        <v>3</v>
      </c>
      <c r="F244" s="102">
        <f>'🤖 Llama-3.1-70b-instruct'!G14</f>
        <v>5</v>
      </c>
      <c r="G244" s="102">
        <f>'🤖 Llama-3.1-70b-instruct'!H14</f>
        <v>4</v>
      </c>
      <c r="H244" s="102">
        <f>'🤖 Llama-3.1-70b-instruct'!I14</f>
        <v>3</v>
      </c>
      <c r="I244" s="102">
        <f>'🤖 Llama-3.1-70b-instruct'!J14</f>
        <v>5</v>
      </c>
      <c r="J244" s="98"/>
      <c r="K244" s="98"/>
      <c r="L244" s="98"/>
      <c r="M244" s="98"/>
      <c r="N244" s="98"/>
      <c r="O244" s="98"/>
      <c r="P244" s="98"/>
      <c r="Q244" s="98"/>
      <c r="R244" s="98"/>
      <c r="S244" s="98"/>
      <c r="T244" s="98"/>
      <c r="U244" s="98"/>
      <c r="V244" s="98"/>
      <c r="W244" s="98"/>
      <c r="X244" s="98"/>
      <c r="Y244" s="98"/>
      <c r="Z244" s="98"/>
    </row>
    <row r="245">
      <c r="A245" s="99" t="str">
        <f>'🤖 Llama-3.1-70b-instruct'!$A$12</f>
        <v>https://www.berria.eus/euskal-herria/etxelekuren-kargugabetzea-kritikatu-dute-errobiko-bederatzi-hautetsik_2125690_102.html</v>
      </c>
      <c r="B245" s="17" t="s">
        <v>27</v>
      </c>
      <c r="C245" s="100" t="str">
        <f>'🤖 Llama-3.1-70b-instruct'!C15</f>
        <v>tldr</v>
      </c>
      <c r="D245" s="101">
        <f>'🤖 Llama-3.1-70b-instruct'!E15</f>
        <v>0.06395348837</v>
      </c>
      <c r="E245" s="102">
        <f>'🤖 Llama-3.1-70b-instruct'!F15</f>
        <v>4</v>
      </c>
      <c r="F245" s="102">
        <f>'🤖 Llama-3.1-70b-instruct'!G15</f>
        <v>5</v>
      </c>
      <c r="G245" s="102">
        <f>'🤖 Llama-3.1-70b-instruct'!H15</f>
        <v>5</v>
      </c>
      <c r="H245" s="102">
        <f>'🤖 Llama-3.1-70b-instruct'!I15</f>
        <v>5</v>
      </c>
      <c r="I245" s="102">
        <f>'🤖 Llama-3.1-70b-instruct'!J15</f>
        <v>2</v>
      </c>
      <c r="J245" s="98"/>
      <c r="K245" s="98"/>
      <c r="L245" s="98"/>
      <c r="M245" s="98"/>
      <c r="N245" s="98"/>
      <c r="O245" s="98"/>
      <c r="P245" s="98"/>
      <c r="Q245" s="98"/>
      <c r="R245" s="98"/>
      <c r="S245" s="98"/>
      <c r="T245" s="98"/>
      <c r="U245" s="98"/>
      <c r="V245" s="98"/>
      <c r="W245" s="98"/>
      <c r="X245" s="98"/>
      <c r="Y245" s="98"/>
      <c r="Z245" s="98"/>
    </row>
    <row r="246">
      <c r="A246" s="98"/>
      <c r="B246" s="17"/>
      <c r="C246" s="100"/>
      <c r="D246" s="101"/>
      <c r="E246" s="102"/>
      <c r="F246" s="102"/>
      <c r="G246" s="102"/>
      <c r="H246" s="102"/>
      <c r="I246" s="102"/>
      <c r="J246" s="98"/>
      <c r="K246" s="98"/>
      <c r="L246" s="98"/>
      <c r="M246" s="98"/>
      <c r="N246" s="98"/>
      <c r="O246" s="98"/>
      <c r="P246" s="98"/>
      <c r="Q246" s="98"/>
      <c r="R246" s="98"/>
      <c r="S246" s="98"/>
      <c r="T246" s="98"/>
      <c r="U246" s="98"/>
      <c r="V246" s="98"/>
      <c r="W246" s="98"/>
      <c r="X246" s="98"/>
      <c r="Y246" s="98"/>
      <c r="Z246" s="98"/>
    </row>
    <row r="247">
      <c r="A247" s="99" t="str">
        <f>'🤖 Llama-3.1-70b-instruct'!$A$17</f>
        <v>https://www.berria.eus/euskal-herria/itziar-lakari-eman-diote-eusko-ikaskuntzaren-saria_2125317_102.html</v>
      </c>
      <c r="B247" s="17" t="s">
        <v>27</v>
      </c>
      <c r="C247" s="100" t="str">
        <f>'🤖 Llama-3.1-70b-instruct'!C17</f>
        <v>Base</v>
      </c>
      <c r="D247" s="101">
        <f>'🤖 Llama-3.1-70b-instruct'!E17</f>
        <v>1</v>
      </c>
      <c r="E247" s="102">
        <f>'🤖 Llama-3.1-70b-instruct'!F17</f>
        <v>4</v>
      </c>
      <c r="F247" s="102">
        <f>'🤖 Llama-3.1-70b-instruct'!G17</f>
        <v>5</v>
      </c>
      <c r="G247" s="102">
        <f>'🤖 Llama-3.1-70b-instruct'!H17</f>
        <v>5</v>
      </c>
      <c r="H247" s="102">
        <f>'🤖 Llama-3.1-70b-instruct'!I17</f>
        <v>1</v>
      </c>
      <c r="I247" s="102">
        <f>'🤖 Llama-3.1-70b-instruct'!J17</f>
        <v>5</v>
      </c>
      <c r="J247" s="98"/>
      <c r="K247" s="98"/>
      <c r="L247" s="98"/>
      <c r="M247" s="98"/>
      <c r="N247" s="98"/>
      <c r="O247" s="98"/>
      <c r="P247" s="98"/>
      <c r="Q247" s="98"/>
      <c r="R247" s="98"/>
      <c r="S247" s="98"/>
      <c r="T247" s="98"/>
      <c r="U247" s="98"/>
      <c r="V247" s="98"/>
      <c r="W247" s="98"/>
      <c r="X247" s="98"/>
      <c r="Y247" s="98"/>
      <c r="Z247" s="98"/>
    </row>
    <row r="248">
      <c r="A248" s="99" t="str">
        <f>'🤖 Llama-3.1-70b-instruct'!$A$17</f>
        <v>https://www.berria.eus/euskal-herria/itziar-lakari-eman-diote-eusko-ikaskuntzaren-saria_2125317_102.html</v>
      </c>
      <c r="B248" s="17" t="s">
        <v>27</v>
      </c>
      <c r="C248" s="100" t="str">
        <f>'🤖 Llama-3.1-70b-instruct'!C18</f>
        <v>CoT</v>
      </c>
      <c r="D248" s="101">
        <f>'🤖 Llama-3.1-70b-instruct'!E18</f>
        <v>0.0932642487</v>
      </c>
      <c r="E248" s="102">
        <f>'🤖 Llama-3.1-70b-instruct'!F18</f>
        <v>5</v>
      </c>
      <c r="F248" s="102">
        <f>'🤖 Llama-3.1-70b-instruct'!G18</f>
        <v>5</v>
      </c>
      <c r="G248" s="102">
        <f>'🤖 Llama-3.1-70b-instruct'!H18</f>
        <v>5</v>
      </c>
      <c r="H248" s="102">
        <f>'🤖 Llama-3.1-70b-instruct'!I18</f>
        <v>5</v>
      </c>
      <c r="I248" s="102">
        <f>'🤖 Llama-3.1-70b-instruct'!J18</f>
        <v>2</v>
      </c>
      <c r="J248" s="98"/>
      <c r="K248" s="98"/>
      <c r="L248" s="98"/>
      <c r="M248" s="98"/>
      <c r="N248" s="98"/>
      <c r="O248" s="98"/>
      <c r="P248" s="98"/>
      <c r="Q248" s="98"/>
      <c r="R248" s="98"/>
      <c r="S248" s="98"/>
      <c r="T248" s="98"/>
      <c r="U248" s="98"/>
      <c r="V248" s="98"/>
      <c r="W248" s="98"/>
      <c r="X248" s="98"/>
      <c r="Y248" s="98"/>
      <c r="Z248" s="98"/>
    </row>
    <row r="249">
      <c r="A249" s="99" t="str">
        <f>'🤖 Llama-3.1-70b-instruct'!$A$17</f>
        <v>https://www.berria.eus/euskal-herria/itziar-lakari-eman-diote-eusko-ikaskuntzaren-saria_2125317_102.html</v>
      </c>
      <c r="B249" s="17" t="s">
        <v>27</v>
      </c>
      <c r="C249" s="100" t="str">
        <f>'🤖 Llama-3.1-70b-instruct'!C19</f>
        <v>5W1H</v>
      </c>
      <c r="D249" s="101">
        <f>'🤖 Llama-3.1-70b-instruct'!E19</f>
        <v>0.4196891192</v>
      </c>
      <c r="E249" s="102">
        <f>'🤖 Llama-3.1-70b-instruct'!F19</f>
        <v>3</v>
      </c>
      <c r="F249" s="102">
        <f>'🤖 Llama-3.1-70b-instruct'!G19</f>
        <v>4</v>
      </c>
      <c r="G249" s="102">
        <f>'🤖 Llama-3.1-70b-instruct'!H19</f>
        <v>5</v>
      </c>
      <c r="H249" s="102">
        <f>'🤖 Llama-3.1-70b-instruct'!I19</f>
        <v>3</v>
      </c>
      <c r="I249" s="102">
        <f>'🤖 Llama-3.1-70b-instruct'!J19</f>
        <v>3</v>
      </c>
      <c r="J249" s="98"/>
      <c r="K249" s="98"/>
      <c r="L249" s="98"/>
      <c r="M249" s="98"/>
      <c r="N249" s="98"/>
      <c r="O249" s="98"/>
      <c r="P249" s="98"/>
      <c r="Q249" s="98"/>
      <c r="R249" s="98"/>
      <c r="S249" s="98"/>
      <c r="T249" s="98"/>
      <c r="U249" s="98"/>
      <c r="V249" s="98"/>
      <c r="W249" s="98"/>
      <c r="X249" s="98"/>
      <c r="Y249" s="98"/>
      <c r="Z249" s="98"/>
    </row>
    <row r="250">
      <c r="A250" s="99" t="str">
        <f>'🤖 Llama-3.1-70b-instruct'!$A$17</f>
        <v>https://www.berria.eus/euskal-herria/itziar-lakari-eman-diote-eusko-ikaskuntzaren-saria_2125317_102.html</v>
      </c>
      <c r="B250" s="17" t="s">
        <v>27</v>
      </c>
      <c r="C250" s="100" t="str">
        <f>'🤖 Llama-3.1-70b-instruct'!C20</f>
        <v>tldr</v>
      </c>
      <c r="D250" s="101">
        <f>'🤖 Llama-3.1-70b-instruct'!E20</f>
        <v>0.0829015544</v>
      </c>
      <c r="E250" s="102">
        <f>'🤖 Llama-3.1-70b-instruct'!F20</f>
        <v>5</v>
      </c>
      <c r="F250" s="102">
        <f>'🤖 Llama-3.1-70b-instruct'!G20</f>
        <v>4</v>
      </c>
      <c r="G250" s="102">
        <f>'🤖 Llama-3.1-70b-instruct'!H20</f>
        <v>5</v>
      </c>
      <c r="H250" s="102">
        <f>'🤖 Llama-3.1-70b-instruct'!I20</f>
        <v>5</v>
      </c>
      <c r="I250" s="102">
        <f>'🤖 Llama-3.1-70b-instruct'!J20</f>
        <v>2</v>
      </c>
      <c r="J250" s="98"/>
      <c r="K250" s="98"/>
      <c r="L250" s="98"/>
      <c r="M250" s="98"/>
      <c r="N250" s="98"/>
      <c r="O250" s="98"/>
      <c r="P250" s="98"/>
      <c r="Q250" s="98"/>
      <c r="R250" s="98"/>
      <c r="S250" s="98"/>
      <c r="T250" s="98"/>
      <c r="U250" s="98"/>
      <c r="V250" s="98"/>
      <c r="W250" s="98"/>
      <c r="X250" s="98"/>
      <c r="Y250" s="98"/>
      <c r="Z250" s="98"/>
    </row>
    <row r="251">
      <c r="A251" s="98"/>
      <c r="B251" s="17"/>
      <c r="C251" s="100"/>
      <c r="D251" s="101"/>
      <c r="E251" s="102"/>
      <c r="F251" s="102"/>
      <c r="G251" s="102"/>
      <c r="H251" s="102"/>
      <c r="I251" s="102"/>
      <c r="J251" s="98"/>
      <c r="K251" s="98"/>
      <c r="L251" s="98"/>
      <c r="M251" s="98"/>
      <c r="N251" s="98"/>
      <c r="O251" s="98"/>
      <c r="P251" s="98"/>
      <c r="Q251" s="98"/>
      <c r="R251" s="98"/>
      <c r="S251" s="98"/>
      <c r="T251" s="98"/>
      <c r="U251" s="98"/>
      <c r="V251" s="98"/>
      <c r="W251" s="98"/>
      <c r="X251" s="98"/>
      <c r="Y251" s="98"/>
      <c r="Z251" s="98"/>
    </row>
    <row r="252">
      <c r="A252" s="99" t="str">
        <f>'🤖 Llama-3.1-70b-instruct'!$A$22</f>
        <v>https://www.berria.eus/euskal-herria/sexu-indarkeriaren-biktimentzako-zentro-bat-zabaldu-dute-araban_2124914_102.html</v>
      </c>
      <c r="B252" s="17" t="s">
        <v>27</v>
      </c>
      <c r="C252" s="100" t="str">
        <f>'🤖 Llama-3.1-70b-instruct'!C22</f>
        <v>Base</v>
      </c>
      <c r="D252" s="101">
        <f>'🤖 Llama-3.1-70b-instruct'!E22</f>
        <v>0.1069609508</v>
      </c>
      <c r="E252" s="102">
        <f>'🤖 Llama-3.1-70b-instruct'!F22</f>
        <v>4</v>
      </c>
      <c r="F252" s="102">
        <f>'🤖 Llama-3.1-70b-instruct'!G22</f>
        <v>4</v>
      </c>
      <c r="G252" s="102">
        <f>'🤖 Llama-3.1-70b-instruct'!H22</f>
        <v>4</v>
      </c>
      <c r="H252" s="102">
        <f>'🤖 Llama-3.1-70b-instruct'!I22</f>
        <v>4</v>
      </c>
      <c r="I252" s="102">
        <f>'🤖 Llama-3.1-70b-instruct'!J22</f>
        <v>3</v>
      </c>
      <c r="J252" s="98"/>
      <c r="K252" s="98"/>
      <c r="L252" s="98"/>
      <c r="M252" s="98"/>
      <c r="N252" s="98"/>
      <c r="O252" s="98"/>
      <c r="P252" s="98"/>
      <c r="Q252" s="98"/>
      <c r="R252" s="98"/>
      <c r="S252" s="98"/>
      <c r="T252" s="98"/>
      <c r="U252" s="98"/>
      <c r="V252" s="98"/>
      <c r="W252" s="98"/>
      <c r="X252" s="98"/>
      <c r="Y252" s="98"/>
      <c r="Z252" s="98"/>
    </row>
    <row r="253">
      <c r="A253" s="99" t="str">
        <f>'🤖 Llama-3.1-70b-instruct'!$A$22</f>
        <v>https://www.berria.eus/euskal-herria/sexu-indarkeriaren-biktimentzako-zentro-bat-zabaldu-dute-araban_2124914_102.html</v>
      </c>
      <c r="B253" s="17" t="s">
        <v>27</v>
      </c>
      <c r="C253" s="100" t="str">
        <f>'🤖 Llama-3.1-70b-instruct'!C23</f>
        <v>CoT</v>
      </c>
      <c r="D253" s="101">
        <f>'🤖 Llama-3.1-70b-instruct'!E23</f>
        <v>0.05942275042</v>
      </c>
      <c r="E253" s="102">
        <f>'🤖 Llama-3.1-70b-instruct'!F23</f>
        <v>4</v>
      </c>
      <c r="F253" s="102">
        <f>'🤖 Llama-3.1-70b-instruct'!G23</f>
        <v>4</v>
      </c>
      <c r="G253" s="102">
        <f>'🤖 Llama-3.1-70b-instruct'!H23</f>
        <v>5</v>
      </c>
      <c r="H253" s="102">
        <f>'🤖 Llama-3.1-70b-instruct'!I23</f>
        <v>5</v>
      </c>
      <c r="I253" s="102">
        <f>'🤖 Llama-3.1-70b-instruct'!J23</f>
        <v>2</v>
      </c>
      <c r="J253" s="98"/>
      <c r="K253" s="98"/>
      <c r="L253" s="98"/>
      <c r="M253" s="98"/>
      <c r="N253" s="98"/>
      <c r="O253" s="98"/>
      <c r="P253" s="98"/>
      <c r="Q253" s="98"/>
      <c r="R253" s="98"/>
      <c r="S253" s="98"/>
      <c r="T253" s="98"/>
      <c r="U253" s="98"/>
      <c r="V253" s="98"/>
      <c r="W253" s="98"/>
      <c r="X253" s="98"/>
      <c r="Y253" s="98"/>
      <c r="Z253" s="98"/>
    </row>
    <row r="254">
      <c r="A254" s="99" t="str">
        <f>'🤖 Llama-3.1-70b-instruct'!$A$22</f>
        <v>https://www.berria.eus/euskal-herria/sexu-indarkeriaren-biktimentzako-zentro-bat-zabaldu-dute-araban_2124914_102.html</v>
      </c>
      <c r="B254" s="17" t="s">
        <v>27</v>
      </c>
      <c r="C254" s="100" t="str">
        <f>'🤖 Llama-3.1-70b-instruct'!C24</f>
        <v>5W1H</v>
      </c>
      <c r="D254" s="101">
        <f>'🤖 Llama-3.1-70b-instruct'!E24</f>
        <v>0.1544991511</v>
      </c>
      <c r="E254" s="102">
        <f>'🤖 Llama-3.1-70b-instruct'!F24</f>
        <v>3</v>
      </c>
      <c r="F254" s="102">
        <f>'🤖 Llama-3.1-70b-instruct'!G24</f>
        <v>5</v>
      </c>
      <c r="G254" s="102">
        <f>'🤖 Llama-3.1-70b-instruct'!H24</f>
        <v>5</v>
      </c>
      <c r="H254" s="102">
        <f>'🤖 Llama-3.1-70b-instruct'!I24</f>
        <v>3</v>
      </c>
      <c r="I254" s="102">
        <f>'🤖 Llama-3.1-70b-instruct'!J24</f>
        <v>3</v>
      </c>
      <c r="J254" s="98"/>
      <c r="K254" s="98"/>
      <c r="L254" s="98"/>
      <c r="M254" s="98"/>
      <c r="N254" s="98"/>
      <c r="O254" s="98"/>
      <c r="P254" s="98"/>
      <c r="Q254" s="98"/>
      <c r="R254" s="98"/>
      <c r="S254" s="98"/>
      <c r="T254" s="98"/>
      <c r="U254" s="98"/>
      <c r="V254" s="98"/>
      <c r="W254" s="98"/>
      <c r="X254" s="98"/>
      <c r="Y254" s="98"/>
      <c r="Z254" s="98"/>
    </row>
    <row r="255">
      <c r="A255" s="99" t="str">
        <f>'🤖 Llama-3.1-70b-instruct'!$A$22</f>
        <v>https://www.berria.eus/euskal-herria/sexu-indarkeriaren-biktimentzako-zentro-bat-zabaldu-dute-araban_2124914_102.html</v>
      </c>
      <c r="B255" s="17" t="s">
        <v>27</v>
      </c>
      <c r="C255" s="100" t="str">
        <f>'🤖 Llama-3.1-70b-instruct'!C25</f>
        <v>tldr</v>
      </c>
      <c r="D255" s="101">
        <f>'🤖 Llama-3.1-70b-instruct'!E25</f>
        <v>0.07979626486</v>
      </c>
      <c r="E255" s="102">
        <f>'🤖 Llama-3.1-70b-instruct'!F25</f>
        <v>4</v>
      </c>
      <c r="F255" s="102">
        <f>'🤖 Llama-3.1-70b-instruct'!G25</f>
        <v>4</v>
      </c>
      <c r="G255" s="102">
        <f>'🤖 Llama-3.1-70b-instruct'!H25</f>
        <v>4</v>
      </c>
      <c r="H255" s="102">
        <f>'🤖 Llama-3.1-70b-instruct'!I25</f>
        <v>4</v>
      </c>
      <c r="I255" s="102">
        <f>'🤖 Llama-3.1-70b-instruct'!J25</f>
        <v>3</v>
      </c>
      <c r="J255" s="98"/>
      <c r="K255" s="98"/>
      <c r="L255" s="98"/>
      <c r="M255" s="98"/>
      <c r="N255" s="98"/>
      <c r="O255" s="98"/>
      <c r="P255" s="98"/>
      <c r="Q255" s="98"/>
      <c r="R255" s="98"/>
      <c r="S255" s="98"/>
      <c r="T255" s="98"/>
      <c r="U255" s="98"/>
      <c r="V255" s="98"/>
      <c r="W255" s="98"/>
      <c r="X255" s="98"/>
      <c r="Y255" s="98"/>
      <c r="Z255" s="98"/>
    </row>
    <row r="256">
      <c r="A256" s="96"/>
      <c r="B256" s="3"/>
    </row>
    <row r="257">
      <c r="A257" s="96"/>
      <c r="B257" s="3"/>
    </row>
    <row r="258">
      <c r="A258" s="96"/>
      <c r="B258" s="3"/>
    </row>
    <row r="259">
      <c r="A259" s="96"/>
      <c r="B259" s="3"/>
    </row>
    <row r="260">
      <c r="A260" s="96"/>
      <c r="B260" s="3"/>
    </row>
    <row r="261">
      <c r="A261" s="96"/>
      <c r="B261" s="3"/>
    </row>
    <row r="262">
      <c r="A262" s="96"/>
      <c r="B262" s="3"/>
    </row>
    <row r="263">
      <c r="A263" s="96"/>
      <c r="B263" s="3"/>
    </row>
    <row r="264">
      <c r="A264" s="96"/>
      <c r="B264" s="3"/>
    </row>
    <row r="265">
      <c r="A265" s="96"/>
      <c r="B265" s="3"/>
    </row>
    <row r="266">
      <c r="A266" s="96"/>
      <c r="B266" s="3"/>
    </row>
    <row r="267">
      <c r="A267" s="96"/>
      <c r="B267" s="3"/>
    </row>
    <row r="268">
      <c r="A268" s="96"/>
      <c r="B268" s="3"/>
    </row>
    <row r="269">
      <c r="A269" s="96"/>
      <c r="B269" s="3"/>
    </row>
    <row r="270">
      <c r="A270" s="96"/>
      <c r="B270" s="3"/>
    </row>
    <row r="271">
      <c r="A271" s="96"/>
      <c r="B271" s="3"/>
    </row>
    <row r="272">
      <c r="A272" s="96"/>
      <c r="B272" s="3"/>
    </row>
    <row r="273">
      <c r="A273" s="96"/>
      <c r="B273" s="3"/>
    </row>
    <row r="274">
      <c r="A274" s="96"/>
      <c r="B274" s="3"/>
    </row>
    <row r="275">
      <c r="A275" s="96"/>
      <c r="B275" s="3"/>
    </row>
    <row r="276">
      <c r="A276" s="96"/>
      <c r="B276" s="3"/>
    </row>
    <row r="277">
      <c r="A277" s="96"/>
      <c r="B277" s="3"/>
    </row>
    <row r="278">
      <c r="A278" s="96"/>
      <c r="B278" s="3"/>
    </row>
    <row r="279">
      <c r="A279" s="96"/>
      <c r="B279" s="3"/>
    </row>
    <row r="280">
      <c r="A280" s="96"/>
      <c r="B280" s="3"/>
    </row>
    <row r="281">
      <c r="A281" s="96"/>
      <c r="B281" s="3"/>
    </row>
    <row r="282">
      <c r="A282" s="96"/>
      <c r="B282" s="3"/>
    </row>
    <row r="283">
      <c r="A283" s="96"/>
      <c r="B283" s="3"/>
    </row>
    <row r="284">
      <c r="A284" s="96"/>
      <c r="B284" s="3"/>
    </row>
    <row r="285">
      <c r="A285" s="96"/>
      <c r="B285" s="3"/>
    </row>
    <row r="286">
      <c r="A286" s="96"/>
      <c r="B286" s="3"/>
    </row>
    <row r="287">
      <c r="A287" s="96"/>
      <c r="B287" s="3"/>
    </row>
    <row r="288">
      <c r="A288" s="96"/>
      <c r="B288" s="3"/>
    </row>
    <row r="289">
      <c r="A289" s="96"/>
      <c r="B289" s="3"/>
    </row>
    <row r="290">
      <c r="A290" s="96"/>
      <c r="B290" s="3"/>
    </row>
    <row r="291">
      <c r="A291" s="96"/>
      <c r="B291" s="3"/>
    </row>
    <row r="292">
      <c r="A292" s="96"/>
      <c r="B292" s="3"/>
    </row>
    <row r="293">
      <c r="A293" s="96"/>
      <c r="B293" s="3"/>
    </row>
    <row r="294">
      <c r="A294" s="96"/>
      <c r="B294" s="3"/>
    </row>
    <row r="295">
      <c r="A295" s="96"/>
      <c r="B295" s="3"/>
    </row>
    <row r="296">
      <c r="A296" s="96"/>
      <c r="B296" s="3"/>
    </row>
    <row r="297">
      <c r="A297" s="96"/>
      <c r="B297" s="3"/>
    </row>
    <row r="298">
      <c r="A298" s="96"/>
      <c r="B298" s="3"/>
    </row>
    <row r="299">
      <c r="A299" s="96"/>
      <c r="B299" s="3"/>
    </row>
    <row r="300">
      <c r="A300" s="96"/>
      <c r="B300" s="3"/>
    </row>
    <row r="301">
      <c r="A301" s="96"/>
      <c r="B301" s="3"/>
    </row>
    <row r="302">
      <c r="A302" s="96"/>
      <c r="B302" s="3"/>
    </row>
    <row r="303">
      <c r="A303" s="96"/>
      <c r="B303" s="3"/>
    </row>
    <row r="304">
      <c r="A304" s="96"/>
      <c r="B304" s="3"/>
    </row>
    <row r="305">
      <c r="A305" s="96"/>
      <c r="B305" s="3"/>
    </row>
    <row r="306">
      <c r="A306" s="96"/>
      <c r="B306" s="3"/>
    </row>
    <row r="307">
      <c r="A307" s="96"/>
      <c r="B307" s="3"/>
    </row>
    <row r="308">
      <c r="A308" s="96"/>
      <c r="B308" s="3"/>
    </row>
    <row r="309">
      <c r="A309" s="96"/>
      <c r="B309" s="3"/>
    </row>
    <row r="310">
      <c r="A310" s="96"/>
      <c r="B310" s="3"/>
    </row>
    <row r="311">
      <c r="A311" s="96"/>
      <c r="B311" s="3"/>
    </row>
    <row r="312">
      <c r="A312" s="96"/>
      <c r="B312" s="3"/>
    </row>
    <row r="313">
      <c r="A313" s="96"/>
      <c r="B313" s="3"/>
    </row>
    <row r="314">
      <c r="A314" s="96"/>
      <c r="B314" s="3"/>
    </row>
    <row r="315">
      <c r="A315" s="96"/>
      <c r="B315" s="3"/>
    </row>
    <row r="316">
      <c r="A316" s="96"/>
      <c r="B316" s="3"/>
    </row>
    <row r="317">
      <c r="A317" s="96"/>
      <c r="B317" s="3"/>
    </row>
    <row r="318">
      <c r="A318" s="96"/>
      <c r="B318" s="3"/>
    </row>
    <row r="319">
      <c r="A319" s="96"/>
      <c r="B319" s="3"/>
    </row>
    <row r="320">
      <c r="A320" s="96"/>
      <c r="B320" s="3"/>
    </row>
    <row r="321">
      <c r="A321" s="96"/>
      <c r="B321" s="3"/>
    </row>
    <row r="322">
      <c r="A322" s="96"/>
      <c r="B322" s="3"/>
    </row>
    <row r="323">
      <c r="A323" s="96"/>
      <c r="B323" s="3"/>
    </row>
    <row r="324">
      <c r="A324" s="96"/>
      <c r="B324" s="3"/>
    </row>
    <row r="325">
      <c r="A325" s="96"/>
      <c r="B325" s="3"/>
    </row>
    <row r="326">
      <c r="A326" s="96"/>
      <c r="B326" s="3"/>
    </row>
    <row r="327">
      <c r="A327" s="96"/>
      <c r="B327" s="3"/>
    </row>
    <row r="328">
      <c r="A328" s="96"/>
      <c r="B328" s="3"/>
    </row>
    <row r="329">
      <c r="A329" s="96"/>
      <c r="B329" s="3"/>
    </row>
    <row r="330">
      <c r="A330" s="96"/>
      <c r="B330" s="3"/>
    </row>
    <row r="331">
      <c r="A331" s="96"/>
      <c r="B331" s="3"/>
    </row>
    <row r="332">
      <c r="A332" s="96"/>
      <c r="B332" s="3"/>
    </row>
    <row r="333">
      <c r="A333" s="96"/>
      <c r="B333" s="3"/>
    </row>
    <row r="334">
      <c r="A334" s="96"/>
      <c r="B334" s="3"/>
    </row>
    <row r="335">
      <c r="A335" s="96"/>
      <c r="B335" s="3"/>
    </row>
    <row r="336">
      <c r="A336" s="96"/>
      <c r="B336" s="3"/>
    </row>
    <row r="337">
      <c r="A337" s="96"/>
      <c r="B337" s="3"/>
    </row>
    <row r="338">
      <c r="A338" s="96"/>
      <c r="B338" s="3"/>
    </row>
    <row r="339">
      <c r="A339" s="96"/>
      <c r="B339" s="3"/>
    </row>
    <row r="340">
      <c r="A340" s="96"/>
      <c r="B340" s="3"/>
    </row>
    <row r="341">
      <c r="A341" s="96"/>
      <c r="B341" s="3"/>
    </row>
    <row r="342">
      <c r="A342" s="96"/>
      <c r="B342" s="3"/>
    </row>
    <row r="343">
      <c r="A343" s="96"/>
      <c r="B343" s="3"/>
    </row>
    <row r="344">
      <c r="A344" s="96"/>
      <c r="B344" s="3"/>
    </row>
    <row r="345">
      <c r="A345" s="96"/>
      <c r="B345" s="3"/>
    </row>
    <row r="346">
      <c r="A346" s="96"/>
      <c r="B346" s="3"/>
    </row>
    <row r="347">
      <c r="A347" s="96"/>
      <c r="B347" s="3"/>
    </row>
    <row r="348">
      <c r="A348" s="96"/>
      <c r="B348" s="3"/>
    </row>
    <row r="349">
      <c r="A349" s="96"/>
      <c r="B349" s="3"/>
    </row>
    <row r="350">
      <c r="A350" s="96"/>
      <c r="B350" s="3"/>
    </row>
    <row r="351">
      <c r="A351" s="96"/>
      <c r="B351" s="3"/>
    </row>
    <row r="352">
      <c r="A352" s="96"/>
      <c r="B352" s="3"/>
    </row>
    <row r="353">
      <c r="A353" s="96"/>
      <c r="B353" s="3"/>
    </row>
    <row r="354">
      <c r="A354" s="96"/>
      <c r="B354" s="3"/>
    </row>
    <row r="355">
      <c r="A355" s="96"/>
      <c r="B355" s="3"/>
    </row>
    <row r="356">
      <c r="A356" s="96"/>
      <c r="B356" s="3"/>
    </row>
    <row r="357">
      <c r="A357" s="96"/>
      <c r="B357" s="3"/>
    </row>
    <row r="358">
      <c r="A358" s="96"/>
      <c r="B358" s="3"/>
    </row>
    <row r="359">
      <c r="A359" s="96"/>
      <c r="B359" s="3"/>
    </row>
    <row r="360">
      <c r="A360" s="96"/>
      <c r="B360" s="3"/>
    </row>
    <row r="361">
      <c r="A361" s="96"/>
      <c r="B361" s="3"/>
    </row>
    <row r="362">
      <c r="A362" s="96"/>
      <c r="B362" s="3"/>
    </row>
    <row r="363">
      <c r="A363" s="96"/>
      <c r="B363" s="3"/>
    </row>
    <row r="364">
      <c r="A364" s="96"/>
      <c r="B364" s="3"/>
    </row>
    <row r="365">
      <c r="A365" s="96"/>
      <c r="B365" s="3"/>
    </row>
    <row r="366">
      <c r="A366" s="96"/>
      <c r="B366" s="3"/>
    </row>
    <row r="367">
      <c r="A367" s="96"/>
      <c r="B367" s="3"/>
    </row>
    <row r="368">
      <c r="A368" s="96"/>
      <c r="B368" s="3"/>
    </row>
    <row r="369">
      <c r="A369" s="96"/>
      <c r="B369" s="3"/>
    </row>
    <row r="370">
      <c r="A370" s="96"/>
      <c r="B370" s="3"/>
    </row>
    <row r="371">
      <c r="A371" s="96"/>
      <c r="B371" s="3"/>
    </row>
    <row r="372">
      <c r="A372" s="96"/>
      <c r="B372" s="3"/>
    </row>
    <row r="373">
      <c r="A373" s="96"/>
      <c r="B373" s="3"/>
    </row>
    <row r="374">
      <c r="A374" s="96"/>
      <c r="B374" s="3"/>
    </row>
    <row r="375">
      <c r="A375" s="96"/>
      <c r="B375" s="3"/>
    </row>
    <row r="376">
      <c r="A376" s="96"/>
      <c r="B376" s="3"/>
    </row>
    <row r="377">
      <c r="A377" s="96"/>
      <c r="B377" s="3"/>
    </row>
    <row r="378">
      <c r="A378" s="96"/>
      <c r="B378" s="3"/>
    </row>
    <row r="379">
      <c r="A379" s="96"/>
      <c r="B379" s="3"/>
    </row>
    <row r="380">
      <c r="A380" s="96"/>
      <c r="B380" s="3"/>
    </row>
    <row r="381">
      <c r="A381" s="96"/>
      <c r="B381" s="3"/>
    </row>
    <row r="382">
      <c r="A382" s="96"/>
      <c r="B382" s="3"/>
    </row>
    <row r="383">
      <c r="A383" s="96"/>
      <c r="B383" s="3"/>
    </row>
    <row r="384">
      <c r="A384" s="96"/>
      <c r="B384" s="3"/>
    </row>
    <row r="385">
      <c r="A385" s="96"/>
      <c r="B385" s="3"/>
    </row>
    <row r="386">
      <c r="A386" s="96"/>
      <c r="B386" s="3"/>
    </row>
    <row r="387">
      <c r="A387" s="96"/>
      <c r="B387" s="3"/>
    </row>
    <row r="388">
      <c r="A388" s="96"/>
      <c r="B388" s="3"/>
    </row>
    <row r="389">
      <c r="A389" s="96"/>
      <c r="B389" s="3"/>
    </row>
    <row r="390">
      <c r="A390" s="96"/>
      <c r="B390" s="3"/>
    </row>
    <row r="391">
      <c r="A391" s="96"/>
      <c r="B391" s="3"/>
    </row>
    <row r="392">
      <c r="A392" s="96"/>
      <c r="B392" s="3"/>
    </row>
    <row r="393">
      <c r="A393" s="96"/>
      <c r="B393" s="3"/>
    </row>
    <row r="394">
      <c r="A394" s="96"/>
      <c r="B394" s="3"/>
    </row>
    <row r="395">
      <c r="A395" s="96"/>
      <c r="B395" s="3"/>
    </row>
    <row r="396">
      <c r="A396" s="96"/>
      <c r="B396" s="3"/>
    </row>
    <row r="397">
      <c r="A397" s="96"/>
      <c r="B397" s="3"/>
    </row>
    <row r="398">
      <c r="A398" s="96"/>
      <c r="B398" s="3"/>
    </row>
    <row r="399">
      <c r="A399" s="96"/>
      <c r="B399" s="3"/>
    </row>
    <row r="400">
      <c r="A400" s="96"/>
      <c r="B400" s="3"/>
    </row>
    <row r="401">
      <c r="A401" s="96"/>
      <c r="B401" s="3"/>
    </row>
    <row r="402">
      <c r="A402" s="96"/>
      <c r="B402" s="3"/>
    </row>
    <row r="403">
      <c r="A403" s="96"/>
      <c r="B403" s="3"/>
    </row>
    <row r="404">
      <c r="A404" s="96"/>
      <c r="B404" s="3"/>
    </row>
    <row r="405">
      <c r="A405" s="96"/>
      <c r="B405" s="3"/>
    </row>
    <row r="406">
      <c r="A406" s="96"/>
      <c r="B406" s="3"/>
    </row>
    <row r="407">
      <c r="A407" s="96"/>
      <c r="B407" s="3"/>
    </row>
    <row r="408">
      <c r="A408" s="96"/>
      <c r="B408" s="3"/>
    </row>
    <row r="409">
      <c r="A409" s="96"/>
      <c r="B409" s="3"/>
    </row>
    <row r="410">
      <c r="A410" s="96"/>
      <c r="B410" s="3"/>
    </row>
    <row r="411">
      <c r="A411" s="96"/>
      <c r="B411" s="3"/>
    </row>
    <row r="412">
      <c r="A412" s="96"/>
      <c r="B412" s="3"/>
    </row>
    <row r="413">
      <c r="A413" s="96"/>
      <c r="B413" s="3"/>
    </row>
    <row r="414">
      <c r="A414" s="96"/>
      <c r="B414" s="3"/>
    </row>
    <row r="415">
      <c r="A415" s="96"/>
      <c r="B415" s="3"/>
    </row>
    <row r="416">
      <c r="A416" s="96"/>
      <c r="B416" s="3"/>
    </row>
    <row r="417">
      <c r="A417" s="96"/>
      <c r="B417" s="3"/>
    </row>
    <row r="418">
      <c r="A418" s="96"/>
      <c r="B418" s="3"/>
    </row>
    <row r="419">
      <c r="A419" s="96"/>
      <c r="B419" s="3"/>
    </row>
    <row r="420">
      <c r="A420" s="96"/>
      <c r="B420" s="3"/>
    </row>
    <row r="421">
      <c r="A421" s="96"/>
      <c r="B421" s="3"/>
    </row>
    <row r="422">
      <c r="A422" s="96"/>
      <c r="B422" s="3"/>
    </row>
    <row r="423">
      <c r="A423" s="96"/>
      <c r="B423" s="3"/>
    </row>
    <row r="424">
      <c r="A424" s="96"/>
      <c r="B424" s="3"/>
    </row>
    <row r="425">
      <c r="A425" s="96"/>
      <c r="B425" s="3"/>
    </row>
    <row r="426">
      <c r="A426" s="96"/>
      <c r="B426" s="3"/>
    </row>
    <row r="427">
      <c r="A427" s="96"/>
      <c r="B427" s="3"/>
    </row>
    <row r="428">
      <c r="A428" s="96"/>
      <c r="B428" s="3"/>
    </row>
    <row r="429">
      <c r="A429" s="96"/>
      <c r="B429" s="3"/>
    </row>
    <row r="430">
      <c r="A430" s="96"/>
      <c r="B430" s="3"/>
    </row>
    <row r="431">
      <c r="A431" s="96"/>
      <c r="B431" s="3"/>
    </row>
    <row r="432">
      <c r="A432" s="96"/>
      <c r="B432" s="3"/>
    </row>
    <row r="433">
      <c r="A433" s="96"/>
      <c r="B433" s="3"/>
    </row>
    <row r="434">
      <c r="A434" s="96"/>
      <c r="B434" s="3"/>
    </row>
    <row r="435">
      <c r="A435" s="96"/>
      <c r="B435" s="3"/>
    </row>
    <row r="436">
      <c r="A436" s="96"/>
      <c r="B436" s="3"/>
    </row>
    <row r="437">
      <c r="A437" s="96"/>
      <c r="B437" s="3"/>
    </row>
    <row r="438">
      <c r="A438" s="96"/>
      <c r="B438" s="3"/>
    </row>
    <row r="439">
      <c r="A439" s="96"/>
      <c r="B439" s="3"/>
    </row>
    <row r="440">
      <c r="A440" s="96"/>
      <c r="B440" s="3"/>
    </row>
    <row r="441">
      <c r="A441" s="96"/>
      <c r="B441" s="3"/>
    </row>
    <row r="442">
      <c r="A442" s="96"/>
      <c r="B442" s="3"/>
    </row>
    <row r="443">
      <c r="A443" s="96"/>
      <c r="B443" s="3"/>
    </row>
    <row r="444">
      <c r="A444" s="96"/>
      <c r="B444" s="3"/>
    </row>
    <row r="445">
      <c r="A445" s="96"/>
      <c r="B445" s="3"/>
    </row>
    <row r="446">
      <c r="A446" s="96"/>
      <c r="B446" s="3"/>
    </row>
    <row r="447">
      <c r="A447" s="96"/>
      <c r="B447" s="3"/>
    </row>
    <row r="448">
      <c r="A448" s="96"/>
      <c r="B448" s="3"/>
    </row>
    <row r="449">
      <c r="A449" s="96"/>
      <c r="B449" s="3"/>
    </row>
    <row r="450">
      <c r="A450" s="96"/>
      <c r="B450" s="3"/>
    </row>
    <row r="451">
      <c r="A451" s="96"/>
      <c r="B451" s="3"/>
    </row>
    <row r="452">
      <c r="A452" s="96"/>
      <c r="B452" s="3"/>
    </row>
    <row r="453">
      <c r="A453" s="96"/>
      <c r="B453" s="3"/>
    </row>
    <row r="454">
      <c r="A454" s="96"/>
      <c r="B454" s="3"/>
    </row>
    <row r="455">
      <c r="A455" s="96"/>
      <c r="B455" s="3"/>
    </row>
    <row r="456">
      <c r="A456" s="96"/>
      <c r="B456" s="3"/>
    </row>
    <row r="457">
      <c r="A457" s="96"/>
      <c r="B457" s="3"/>
    </row>
    <row r="458">
      <c r="A458" s="96"/>
      <c r="B458" s="3"/>
    </row>
    <row r="459">
      <c r="A459" s="96"/>
      <c r="B459" s="3"/>
    </row>
    <row r="460">
      <c r="A460" s="96"/>
      <c r="B460" s="3"/>
    </row>
    <row r="461">
      <c r="A461" s="96"/>
      <c r="B461" s="3"/>
    </row>
    <row r="462">
      <c r="A462" s="96"/>
      <c r="B462" s="3"/>
    </row>
    <row r="463">
      <c r="A463" s="96"/>
      <c r="B463" s="3"/>
    </row>
    <row r="464">
      <c r="A464" s="96"/>
      <c r="B464" s="3"/>
    </row>
    <row r="465">
      <c r="A465" s="96"/>
      <c r="B465" s="3"/>
    </row>
    <row r="466">
      <c r="A466" s="96"/>
      <c r="B466" s="3"/>
    </row>
    <row r="467">
      <c r="A467" s="96"/>
      <c r="B467" s="3"/>
    </row>
    <row r="468">
      <c r="A468" s="96"/>
      <c r="B468" s="3"/>
    </row>
    <row r="469">
      <c r="A469" s="96"/>
      <c r="B469" s="3"/>
    </row>
    <row r="470">
      <c r="A470" s="96"/>
      <c r="B470" s="3"/>
    </row>
    <row r="471">
      <c r="A471" s="96"/>
      <c r="B471" s="3"/>
    </row>
    <row r="472">
      <c r="A472" s="96"/>
      <c r="B472" s="3"/>
    </row>
    <row r="473">
      <c r="A473" s="96"/>
      <c r="B473" s="3"/>
    </row>
    <row r="474">
      <c r="A474" s="96"/>
      <c r="B474" s="3"/>
    </row>
    <row r="475">
      <c r="A475" s="96"/>
      <c r="B475" s="3"/>
    </row>
    <row r="476">
      <c r="A476" s="96"/>
      <c r="B476" s="3"/>
    </row>
    <row r="477">
      <c r="A477" s="96"/>
      <c r="B477" s="3"/>
    </row>
    <row r="478">
      <c r="A478" s="96"/>
      <c r="B478" s="3"/>
    </row>
    <row r="479">
      <c r="A479" s="96"/>
      <c r="B479" s="3"/>
    </row>
    <row r="480">
      <c r="A480" s="96"/>
      <c r="B480" s="3"/>
    </row>
    <row r="481">
      <c r="A481" s="96"/>
      <c r="B481" s="3"/>
    </row>
    <row r="482">
      <c r="A482" s="96"/>
      <c r="B482" s="3"/>
    </row>
    <row r="483">
      <c r="A483" s="96"/>
      <c r="B483" s="3"/>
    </row>
    <row r="484">
      <c r="A484" s="96"/>
      <c r="B484" s="3"/>
    </row>
    <row r="485">
      <c r="A485" s="96"/>
      <c r="B485" s="3"/>
    </row>
    <row r="486">
      <c r="A486" s="96"/>
      <c r="B486" s="3"/>
    </row>
    <row r="487">
      <c r="A487" s="96"/>
      <c r="B487" s="3"/>
    </row>
    <row r="488">
      <c r="A488" s="96"/>
      <c r="B488" s="3"/>
    </row>
    <row r="489">
      <c r="A489" s="96"/>
      <c r="B489" s="3"/>
    </row>
    <row r="490">
      <c r="A490" s="96"/>
      <c r="B490" s="3"/>
    </row>
    <row r="491">
      <c r="A491" s="96"/>
      <c r="B491" s="3"/>
    </row>
    <row r="492">
      <c r="A492" s="96"/>
      <c r="B492" s="3"/>
    </row>
    <row r="493">
      <c r="A493" s="96"/>
      <c r="B493" s="3"/>
    </row>
    <row r="494">
      <c r="A494" s="96"/>
      <c r="B494" s="3"/>
    </row>
    <row r="495">
      <c r="A495" s="96"/>
      <c r="B495" s="3"/>
    </row>
    <row r="496">
      <c r="A496" s="96"/>
      <c r="B496" s="3"/>
    </row>
    <row r="497">
      <c r="A497" s="96"/>
      <c r="B497" s="3"/>
    </row>
    <row r="498">
      <c r="A498" s="96"/>
      <c r="B498" s="3"/>
    </row>
    <row r="499">
      <c r="A499" s="96"/>
      <c r="B499" s="3"/>
    </row>
    <row r="500">
      <c r="A500" s="96"/>
      <c r="B500" s="3"/>
    </row>
    <row r="501">
      <c r="A501" s="96"/>
      <c r="B501" s="3"/>
    </row>
    <row r="502">
      <c r="A502" s="96"/>
      <c r="B502" s="3"/>
    </row>
    <row r="503">
      <c r="A503" s="96"/>
      <c r="B503" s="3"/>
    </row>
    <row r="504">
      <c r="A504" s="96"/>
      <c r="B504" s="3"/>
    </row>
    <row r="505">
      <c r="A505" s="96"/>
      <c r="B505" s="3"/>
    </row>
    <row r="506">
      <c r="A506" s="96"/>
      <c r="B506" s="3"/>
    </row>
    <row r="507">
      <c r="A507" s="96"/>
      <c r="B507" s="3"/>
    </row>
    <row r="508">
      <c r="A508" s="96"/>
      <c r="B508" s="3"/>
    </row>
    <row r="509">
      <c r="A509" s="96"/>
      <c r="B509" s="3"/>
    </row>
    <row r="510">
      <c r="A510" s="96"/>
      <c r="B510" s="3"/>
    </row>
    <row r="511">
      <c r="A511" s="96"/>
      <c r="B511" s="3"/>
    </row>
    <row r="512">
      <c r="A512" s="96"/>
      <c r="B512" s="3"/>
    </row>
    <row r="513">
      <c r="A513" s="96"/>
      <c r="B513" s="3"/>
    </row>
    <row r="514">
      <c r="A514" s="96"/>
      <c r="B514" s="3"/>
    </row>
    <row r="515">
      <c r="A515" s="96"/>
      <c r="B515" s="3"/>
    </row>
    <row r="516">
      <c r="A516" s="96"/>
      <c r="B516" s="3"/>
    </row>
    <row r="517">
      <c r="A517" s="96"/>
      <c r="B517" s="3"/>
    </row>
    <row r="518">
      <c r="A518" s="96"/>
      <c r="B518" s="3"/>
    </row>
    <row r="519">
      <c r="A519" s="96"/>
      <c r="B519" s="3"/>
    </row>
    <row r="520">
      <c r="A520" s="96"/>
      <c r="B520" s="3"/>
    </row>
    <row r="521">
      <c r="A521" s="96"/>
      <c r="B521" s="3"/>
    </row>
    <row r="522">
      <c r="A522" s="96"/>
      <c r="B522" s="3"/>
    </row>
    <row r="523">
      <c r="A523" s="96"/>
      <c r="B523" s="3"/>
    </row>
    <row r="524">
      <c r="A524" s="96"/>
      <c r="B524" s="3"/>
    </row>
    <row r="525">
      <c r="A525" s="96"/>
      <c r="B525" s="3"/>
    </row>
    <row r="526">
      <c r="A526" s="96"/>
      <c r="B526" s="3"/>
    </row>
    <row r="527">
      <c r="A527" s="96"/>
      <c r="B527" s="3"/>
    </row>
    <row r="528">
      <c r="A528" s="96"/>
      <c r="B528" s="3"/>
    </row>
    <row r="529">
      <c r="A529" s="96"/>
      <c r="B529" s="3"/>
    </row>
    <row r="530">
      <c r="A530" s="96"/>
      <c r="B530" s="3"/>
    </row>
    <row r="531">
      <c r="A531" s="96"/>
      <c r="B531" s="3"/>
    </row>
    <row r="532">
      <c r="A532" s="96"/>
      <c r="B532" s="3"/>
    </row>
    <row r="533">
      <c r="A533" s="96"/>
      <c r="B533" s="3"/>
    </row>
    <row r="534">
      <c r="A534" s="96"/>
      <c r="B534" s="3"/>
    </row>
    <row r="535">
      <c r="A535" s="96"/>
      <c r="B535" s="3"/>
    </row>
    <row r="536">
      <c r="A536" s="96"/>
      <c r="B536" s="3"/>
    </row>
    <row r="537">
      <c r="A537" s="96"/>
      <c r="B537" s="3"/>
    </row>
    <row r="538">
      <c r="A538" s="96"/>
      <c r="B538" s="3"/>
    </row>
    <row r="539">
      <c r="A539" s="96"/>
      <c r="B539" s="3"/>
    </row>
    <row r="540">
      <c r="A540" s="96"/>
      <c r="B540" s="3"/>
    </row>
    <row r="541">
      <c r="A541" s="96"/>
      <c r="B541" s="3"/>
    </row>
    <row r="542">
      <c r="A542" s="96"/>
      <c r="B542" s="3"/>
    </row>
    <row r="543">
      <c r="A543" s="96"/>
      <c r="B543" s="3"/>
    </row>
    <row r="544">
      <c r="A544" s="96"/>
      <c r="B544" s="3"/>
    </row>
    <row r="545">
      <c r="A545" s="96"/>
      <c r="B545" s="3"/>
    </row>
    <row r="546">
      <c r="A546" s="96"/>
      <c r="B546" s="3"/>
    </row>
    <row r="547">
      <c r="A547" s="96"/>
      <c r="B547" s="3"/>
    </row>
    <row r="548">
      <c r="A548" s="96"/>
      <c r="B548" s="3"/>
    </row>
    <row r="549">
      <c r="A549" s="96"/>
      <c r="B549" s="3"/>
    </row>
    <row r="550">
      <c r="A550" s="96"/>
      <c r="B550" s="3"/>
    </row>
    <row r="551">
      <c r="A551" s="96"/>
      <c r="B551" s="3"/>
    </row>
    <row r="552">
      <c r="A552" s="96"/>
      <c r="B552" s="3"/>
    </row>
    <row r="553">
      <c r="A553" s="96"/>
      <c r="B553" s="3"/>
    </row>
    <row r="554">
      <c r="A554" s="96"/>
      <c r="B554" s="3"/>
    </row>
    <row r="555">
      <c r="A555" s="96"/>
      <c r="B555" s="3"/>
    </row>
    <row r="556">
      <c r="A556" s="96"/>
      <c r="B556" s="3"/>
    </row>
    <row r="557">
      <c r="A557" s="96"/>
      <c r="B557" s="3"/>
    </row>
    <row r="558">
      <c r="A558" s="96"/>
      <c r="B558" s="3"/>
    </row>
    <row r="559">
      <c r="A559" s="96"/>
      <c r="B559" s="3"/>
    </row>
    <row r="560">
      <c r="A560" s="96"/>
      <c r="B560" s="3"/>
    </row>
    <row r="561">
      <c r="A561" s="96"/>
      <c r="B561" s="3"/>
    </row>
    <row r="562">
      <c r="A562" s="96"/>
      <c r="B562" s="3"/>
    </row>
    <row r="563">
      <c r="A563" s="96"/>
      <c r="B563" s="3"/>
    </row>
    <row r="564">
      <c r="A564" s="96"/>
      <c r="B564" s="3"/>
    </row>
    <row r="565">
      <c r="A565" s="96"/>
      <c r="B565" s="3"/>
    </row>
    <row r="566">
      <c r="A566" s="96"/>
      <c r="B566" s="3"/>
    </row>
    <row r="567">
      <c r="A567" s="96"/>
      <c r="B567" s="3"/>
    </row>
    <row r="568">
      <c r="A568" s="96"/>
      <c r="B568" s="3"/>
    </row>
    <row r="569">
      <c r="A569" s="96"/>
      <c r="B569" s="3"/>
    </row>
    <row r="570">
      <c r="A570" s="96"/>
      <c r="B570" s="3"/>
    </row>
    <row r="571">
      <c r="A571" s="96"/>
      <c r="B571" s="3"/>
    </row>
    <row r="572">
      <c r="A572" s="96"/>
      <c r="B572" s="3"/>
    </row>
    <row r="573">
      <c r="A573" s="96"/>
      <c r="B573" s="3"/>
    </row>
    <row r="574">
      <c r="A574" s="96"/>
      <c r="B574" s="3"/>
    </row>
    <row r="575">
      <c r="A575" s="96"/>
      <c r="B575" s="3"/>
    </row>
    <row r="576">
      <c r="A576" s="96"/>
      <c r="B576" s="3"/>
    </row>
    <row r="577">
      <c r="A577" s="96"/>
      <c r="B577" s="3"/>
    </row>
    <row r="578">
      <c r="A578" s="96"/>
      <c r="B578" s="3"/>
    </row>
    <row r="579">
      <c r="A579" s="96"/>
      <c r="B579" s="3"/>
    </row>
    <row r="580">
      <c r="A580" s="96"/>
      <c r="B580" s="3"/>
    </row>
    <row r="581">
      <c r="A581" s="96"/>
      <c r="B581" s="3"/>
    </row>
    <row r="582">
      <c r="A582" s="96"/>
      <c r="B582" s="3"/>
    </row>
    <row r="583">
      <c r="A583" s="96"/>
      <c r="B583" s="3"/>
    </row>
    <row r="584">
      <c r="A584" s="96"/>
      <c r="B584" s="3"/>
    </row>
    <row r="585">
      <c r="A585" s="96"/>
      <c r="B585" s="3"/>
    </row>
    <row r="586">
      <c r="A586" s="96"/>
      <c r="B586" s="3"/>
    </row>
    <row r="587">
      <c r="A587" s="96"/>
      <c r="B587" s="3"/>
    </row>
    <row r="588">
      <c r="A588" s="96"/>
      <c r="B588" s="3"/>
    </row>
    <row r="589">
      <c r="A589" s="96"/>
      <c r="B589" s="3"/>
    </row>
    <row r="590">
      <c r="A590" s="96"/>
      <c r="B590" s="3"/>
    </row>
    <row r="591">
      <c r="A591" s="96"/>
      <c r="B591" s="3"/>
    </row>
    <row r="592">
      <c r="A592" s="96"/>
      <c r="B592" s="3"/>
    </row>
    <row r="593">
      <c r="A593" s="96"/>
      <c r="B593" s="3"/>
    </row>
    <row r="594">
      <c r="A594" s="96"/>
      <c r="B594" s="3"/>
    </row>
    <row r="595">
      <c r="A595" s="96"/>
      <c r="B595" s="3"/>
    </row>
    <row r="596">
      <c r="A596" s="96"/>
      <c r="B596" s="3"/>
    </row>
    <row r="597">
      <c r="A597" s="96"/>
      <c r="B597" s="3"/>
    </row>
    <row r="598">
      <c r="A598" s="96"/>
      <c r="B598" s="3"/>
    </row>
    <row r="599">
      <c r="A599" s="96"/>
      <c r="B599" s="3"/>
    </row>
    <row r="600">
      <c r="A600" s="96"/>
      <c r="B600" s="3"/>
    </row>
    <row r="601">
      <c r="A601" s="96"/>
      <c r="B601" s="3"/>
    </row>
    <row r="602">
      <c r="A602" s="96"/>
      <c r="B602" s="3"/>
    </row>
    <row r="603">
      <c r="A603" s="96"/>
      <c r="B603" s="3"/>
    </row>
    <row r="604">
      <c r="A604" s="96"/>
      <c r="B604" s="3"/>
    </row>
    <row r="605">
      <c r="A605" s="96"/>
      <c r="B605" s="3"/>
    </row>
    <row r="606">
      <c r="A606" s="96"/>
      <c r="B606" s="3"/>
    </row>
    <row r="607">
      <c r="A607" s="96"/>
      <c r="B607" s="3"/>
    </row>
    <row r="608">
      <c r="A608" s="96"/>
      <c r="B608" s="3"/>
    </row>
    <row r="609">
      <c r="A609" s="96"/>
      <c r="B609" s="3"/>
    </row>
    <row r="610">
      <c r="A610" s="96"/>
      <c r="B610" s="3"/>
    </row>
    <row r="611">
      <c r="A611" s="96"/>
      <c r="B611" s="3"/>
    </row>
    <row r="612">
      <c r="A612" s="96"/>
      <c r="B612" s="3"/>
    </row>
    <row r="613">
      <c r="A613" s="96"/>
      <c r="B613" s="3"/>
    </row>
    <row r="614">
      <c r="A614" s="96"/>
      <c r="B614" s="3"/>
    </row>
    <row r="615">
      <c r="A615" s="96"/>
      <c r="B615" s="3"/>
    </row>
    <row r="616">
      <c r="A616" s="96"/>
      <c r="B616" s="3"/>
    </row>
    <row r="617">
      <c r="A617" s="96"/>
      <c r="B617" s="3"/>
    </row>
    <row r="618">
      <c r="A618" s="96"/>
      <c r="B618" s="3"/>
    </row>
    <row r="619">
      <c r="A619" s="96"/>
      <c r="B619" s="3"/>
    </row>
    <row r="620">
      <c r="A620" s="96"/>
      <c r="B620" s="3"/>
    </row>
    <row r="621">
      <c r="A621" s="96"/>
      <c r="B621" s="3"/>
    </row>
    <row r="622">
      <c r="A622" s="96"/>
      <c r="B622" s="3"/>
    </row>
    <row r="623">
      <c r="A623" s="96"/>
      <c r="B623" s="3"/>
    </row>
    <row r="624">
      <c r="A624" s="96"/>
      <c r="B624" s="3"/>
    </row>
    <row r="625">
      <c r="A625" s="96"/>
      <c r="B625" s="3"/>
    </row>
    <row r="626">
      <c r="A626" s="96"/>
      <c r="B626" s="3"/>
    </row>
    <row r="627">
      <c r="A627" s="96"/>
      <c r="B627" s="3"/>
    </row>
    <row r="628">
      <c r="A628" s="96"/>
      <c r="B628" s="3"/>
    </row>
    <row r="629">
      <c r="A629" s="96"/>
      <c r="B629" s="3"/>
    </row>
    <row r="630">
      <c r="A630" s="96"/>
      <c r="B630" s="3"/>
    </row>
    <row r="631">
      <c r="A631" s="96"/>
      <c r="B631" s="3"/>
    </row>
    <row r="632">
      <c r="A632" s="96"/>
      <c r="B632" s="3"/>
    </row>
    <row r="633">
      <c r="A633" s="96"/>
      <c r="B633" s="3"/>
    </row>
    <row r="634">
      <c r="A634" s="96"/>
      <c r="B634" s="3"/>
    </row>
    <row r="635">
      <c r="A635" s="96"/>
      <c r="B635" s="3"/>
    </row>
    <row r="636">
      <c r="A636" s="96"/>
      <c r="B636" s="3"/>
    </row>
    <row r="637">
      <c r="A637" s="96"/>
      <c r="B637" s="3"/>
    </row>
    <row r="638">
      <c r="A638" s="96"/>
      <c r="B638" s="3"/>
    </row>
    <row r="639">
      <c r="A639" s="96"/>
      <c r="B639" s="3"/>
    </row>
    <row r="640">
      <c r="A640" s="96"/>
      <c r="B640" s="3"/>
    </row>
    <row r="641">
      <c r="A641" s="96"/>
      <c r="B641" s="3"/>
    </row>
    <row r="642">
      <c r="A642" s="96"/>
      <c r="B642" s="3"/>
    </row>
    <row r="643">
      <c r="A643" s="96"/>
      <c r="B643" s="3"/>
    </row>
    <row r="644">
      <c r="A644" s="96"/>
      <c r="B644" s="3"/>
    </row>
    <row r="645">
      <c r="A645" s="96"/>
      <c r="B645" s="3"/>
    </row>
    <row r="646">
      <c r="A646" s="96"/>
      <c r="B646" s="3"/>
    </row>
    <row r="647">
      <c r="A647" s="96"/>
      <c r="B647" s="3"/>
    </row>
    <row r="648">
      <c r="A648" s="96"/>
      <c r="B648" s="3"/>
    </row>
    <row r="649">
      <c r="A649" s="96"/>
      <c r="B649" s="3"/>
    </row>
    <row r="650">
      <c r="A650" s="96"/>
      <c r="B650" s="3"/>
    </row>
    <row r="651">
      <c r="A651" s="96"/>
      <c r="B651" s="3"/>
    </row>
    <row r="652">
      <c r="A652" s="96"/>
      <c r="B652" s="3"/>
    </row>
    <row r="653">
      <c r="A653" s="96"/>
      <c r="B653" s="3"/>
    </row>
    <row r="654">
      <c r="A654" s="96"/>
      <c r="B654" s="3"/>
    </row>
    <row r="655">
      <c r="A655" s="96"/>
      <c r="B655" s="3"/>
    </row>
    <row r="656">
      <c r="A656" s="96"/>
      <c r="B656" s="3"/>
    </row>
    <row r="657">
      <c r="A657" s="96"/>
      <c r="B657" s="3"/>
    </row>
    <row r="658">
      <c r="A658" s="96"/>
      <c r="B658" s="3"/>
    </row>
    <row r="659">
      <c r="A659" s="96"/>
      <c r="B659" s="3"/>
    </row>
    <row r="660">
      <c r="A660" s="96"/>
      <c r="B660" s="3"/>
    </row>
    <row r="661">
      <c r="A661" s="96"/>
      <c r="B661" s="3"/>
    </row>
    <row r="662">
      <c r="A662" s="96"/>
      <c r="B662" s="3"/>
    </row>
    <row r="663">
      <c r="A663" s="96"/>
      <c r="B663" s="3"/>
    </row>
    <row r="664">
      <c r="A664" s="96"/>
      <c r="B664" s="3"/>
    </row>
    <row r="665">
      <c r="A665" s="96"/>
      <c r="B665" s="3"/>
    </row>
    <row r="666">
      <c r="A666" s="96"/>
      <c r="B666" s="3"/>
    </row>
    <row r="667">
      <c r="A667" s="96"/>
      <c r="B667" s="3"/>
    </row>
    <row r="668">
      <c r="A668" s="96"/>
      <c r="B668" s="3"/>
    </row>
    <row r="669">
      <c r="A669" s="96"/>
      <c r="B669" s="3"/>
    </row>
    <row r="670">
      <c r="A670" s="96"/>
      <c r="B670" s="3"/>
    </row>
    <row r="671">
      <c r="A671" s="96"/>
      <c r="B671" s="3"/>
    </row>
    <row r="672">
      <c r="A672" s="96"/>
      <c r="B672" s="3"/>
    </row>
    <row r="673">
      <c r="A673" s="96"/>
      <c r="B673" s="3"/>
    </row>
    <row r="674">
      <c r="A674" s="96"/>
      <c r="B674" s="3"/>
    </row>
    <row r="675">
      <c r="A675" s="96"/>
      <c r="B675" s="3"/>
    </row>
    <row r="676">
      <c r="A676" s="96"/>
      <c r="B676" s="3"/>
    </row>
    <row r="677">
      <c r="A677" s="96"/>
      <c r="B677" s="3"/>
    </row>
    <row r="678">
      <c r="A678" s="96"/>
      <c r="B678" s="3"/>
    </row>
    <row r="679">
      <c r="A679" s="96"/>
      <c r="B679" s="3"/>
    </row>
    <row r="680">
      <c r="A680" s="96"/>
      <c r="B680" s="3"/>
    </row>
    <row r="681">
      <c r="A681" s="96"/>
      <c r="B681" s="3"/>
    </row>
    <row r="682">
      <c r="A682" s="96"/>
      <c r="B682" s="3"/>
    </row>
    <row r="683">
      <c r="A683" s="96"/>
      <c r="B683" s="3"/>
    </row>
    <row r="684">
      <c r="A684" s="96"/>
      <c r="B684" s="3"/>
    </row>
    <row r="685">
      <c r="A685" s="96"/>
      <c r="B685" s="3"/>
    </row>
    <row r="686">
      <c r="A686" s="96"/>
      <c r="B686" s="3"/>
    </row>
    <row r="687">
      <c r="A687" s="96"/>
      <c r="B687" s="3"/>
    </row>
    <row r="688">
      <c r="A688" s="96"/>
      <c r="B688" s="3"/>
    </row>
    <row r="689">
      <c r="A689" s="96"/>
      <c r="B689" s="3"/>
    </row>
    <row r="690">
      <c r="A690" s="96"/>
      <c r="B690" s="3"/>
    </row>
    <row r="691">
      <c r="A691" s="96"/>
      <c r="B691" s="3"/>
    </row>
    <row r="692">
      <c r="A692" s="96"/>
      <c r="B692" s="3"/>
    </row>
    <row r="693">
      <c r="A693" s="96"/>
      <c r="B693" s="3"/>
    </row>
    <row r="694">
      <c r="A694" s="96"/>
      <c r="B694" s="3"/>
    </row>
    <row r="695">
      <c r="A695" s="96"/>
      <c r="B695" s="3"/>
    </row>
    <row r="696">
      <c r="A696" s="96"/>
      <c r="B696" s="3"/>
    </row>
    <row r="697">
      <c r="A697" s="96"/>
      <c r="B697" s="3"/>
    </row>
    <row r="698">
      <c r="A698" s="96"/>
      <c r="B698" s="3"/>
    </row>
    <row r="699">
      <c r="A699" s="96"/>
      <c r="B699" s="3"/>
    </row>
    <row r="700">
      <c r="A700" s="96"/>
      <c r="B700" s="3"/>
    </row>
    <row r="701">
      <c r="A701" s="96"/>
      <c r="B701" s="3"/>
    </row>
    <row r="702">
      <c r="A702" s="96"/>
      <c r="B702" s="3"/>
    </row>
    <row r="703">
      <c r="A703" s="96"/>
      <c r="B703" s="3"/>
    </row>
    <row r="704">
      <c r="A704" s="96"/>
      <c r="B704" s="3"/>
    </row>
    <row r="705">
      <c r="A705" s="96"/>
      <c r="B705" s="3"/>
    </row>
    <row r="706">
      <c r="A706" s="96"/>
      <c r="B706" s="3"/>
    </row>
    <row r="707">
      <c r="A707" s="96"/>
      <c r="B707" s="3"/>
    </row>
    <row r="708">
      <c r="A708" s="96"/>
      <c r="B708" s="3"/>
    </row>
    <row r="709">
      <c r="A709" s="96"/>
      <c r="B709" s="3"/>
    </row>
    <row r="710">
      <c r="A710" s="96"/>
      <c r="B710" s="3"/>
    </row>
    <row r="711">
      <c r="A711" s="96"/>
      <c r="B711" s="3"/>
    </row>
    <row r="712">
      <c r="A712" s="96"/>
      <c r="B712" s="3"/>
    </row>
    <row r="713">
      <c r="A713" s="96"/>
      <c r="B713" s="3"/>
    </row>
    <row r="714">
      <c r="A714" s="96"/>
      <c r="B714" s="3"/>
    </row>
    <row r="715">
      <c r="A715" s="96"/>
      <c r="B715" s="3"/>
    </row>
    <row r="716">
      <c r="A716" s="96"/>
      <c r="B716" s="3"/>
    </row>
    <row r="717">
      <c r="A717" s="96"/>
      <c r="B717" s="3"/>
    </row>
    <row r="718">
      <c r="A718" s="96"/>
      <c r="B718" s="3"/>
    </row>
    <row r="719">
      <c r="A719" s="96"/>
      <c r="B719" s="3"/>
    </row>
    <row r="720">
      <c r="A720" s="96"/>
      <c r="B720" s="3"/>
    </row>
    <row r="721">
      <c r="A721" s="96"/>
      <c r="B721" s="3"/>
    </row>
    <row r="722">
      <c r="A722" s="96"/>
      <c r="B722" s="3"/>
    </row>
    <row r="723">
      <c r="A723" s="96"/>
      <c r="B723" s="3"/>
    </row>
    <row r="724">
      <c r="A724" s="96"/>
      <c r="B724" s="3"/>
    </row>
    <row r="725">
      <c r="A725" s="96"/>
      <c r="B725" s="3"/>
    </row>
    <row r="726">
      <c r="A726" s="96"/>
      <c r="B726" s="3"/>
    </row>
    <row r="727">
      <c r="A727" s="96"/>
      <c r="B727" s="3"/>
    </row>
    <row r="728">
      <c r="A728" s="96"/>
      <c r="B728" s="3"/>
    </row>
    <row r="729">
      <c r="A729" s="96"/>
      <c r="B729" s="3"/>
    </row>
    <row r="730">
      <c r="A730" s="96"/>
      <c r="B730" s="3"/>
    </row>
    <row r="731">
      <c r="A731" s="96"/>
      <c r="B731" s="3"/>
    </row>
    <row r="732">
      <c r="A732" s="96"/>
      <c r="B732" s="3"/>
    </row>
    <row r="733">
      <c r="A733" s="96"/>
      <c r="B733" s="3"/>
    </row>
    <row r="734">
      <c r="A734" s="96"/>
      <c r="B734" s="3"/>
    </row>
    <row r="735">
      <c r="A735" s="96"/>
      <c r="B735" s="3"/>
    </row>
    <row r="736">
      <c r="A736" s="96"/>
      <c r="B736" s="3"/>
    </row>
    <row r="737">
      <c r="A737" s="96"/>
      <c r="B737" s="3"/>
    </row>
    <row r="738">
      <c r="A738" s="96"/>
      <c r="B738" s="3"/>
    </row>
    <row r="739">
      <c r="A739" s="96"/>
      <c r="B739" s="3"/>
    </row>
    <row r="740">
      <c r="A740" s="96"/>
      <c r="B740" s="3"/>
    </row>
    <row r="741">
      <c r="A741" s="96"/>
      <c r="B741" s="3"/>
    </row>
    <row r="742">
      <c r="A742" s="96"/>
      <c r="B742" s="3"/>
    </row>
    <row r="743">
      <c r="A743" s="96"/>
      <c r="B743" s="3"/>
    </row>
    <row r="744">
      <c r="A744" s="96"/>
      <c r="B744" s="3"/>
    </row>
    <row r="745">
      <c r="A745" s="96"/>
      <c r="B745" s="3"/>
    </row>
    <row r="746">
      <c r="A746" s="96"/>
      <c r="B746" s="3"/>
    </row>
    <row r="747">
      <c r="A747" s="96"/>
      <c r="B747" s="3"/>
    </row>
    <row r="748">
      <c r="A748" s="96"/>
      <c r="B748" s="3"/>
    </row>
    <row r="749">
      <c r="A749" s="96"/>
      <c r="B749" s="3"/>
    </row>
    <row r="750">
      <c r="A750" s="96"/>
      <c r="B750" s="3"/>
    </row>
    <row r="751">
      <c r="A751" s="96"/>
      <c r="B751" s="3"/>
    </row>
    <row r="752">
      <c r="A752" s="96"/>
      <c r="B752" s="3"/>
    </row>
    <row r="753">
      <c r="A753" s="96"/>
      <c r="B753" s="3"/>
    </row>
    <row r="754">
      <c r="A754" s="96"/>
      <c r="B754" s="3"/>
    </row>
    <row r="755">
      <c r="A755" s="96"/>
      <c r="B755" s="3"/>
    </row>
    <row r="756">
      <c r="A756" s="96"/>
      <c r="B756" s="3"/>
    </row>
    <row r="757">
      <c r="A757" s="96"/>
      <c r="B757" s="3"/>
    </row>
    <row r="758">
      <c r="A758" s="96"/>
      <c r="B758" s="3"/>
    </row>
    <row r="759">
      <c r="A759" s="96"/>
      <c r="B759" s="3"/>
    </row>
    <row r="760">
      <c r="A760" s="96"/>
      <c r="B760" s="3"/>
    </row>
    <row r="761">
      <c r="A761" s="96"/>
      <c r="B761" s="3"/>
    </row>
    <row r="762">
      <c r="A762" s="96"/>
      <c r="B762" s="3"/>
    </row>
    <row r="763">
      <c r="A763" s="96"/>
      <c r="B763" s="3"/>
    </row>
    <row r="764">
      <c r="A764" s="96"/>
      <c r="B764" s="3"/>
    </row>
    <row r="765">
      <c r="A765" s="96"/>
      <c r="B765" s="3"/>
    </row>
    <row r="766">
      <c r="A766" s="96"/>
      <c r="B766" s="3"/>
    </row>
    <row r="767">
      <c r="A767" s="96"/>
      <c r="B767" s="3"/>
    </row>
    <row r="768">
      <c r="A768" s="96"/>
      <c r="B768" s="3"/>
    </row>
    <row r="769">
      <c r="A769" s="96"/>
      <c r="B769" s="3"/>
    </row>
    <row r="770">
      <c r="A770" s="96"/>
      <c r="B770" s="3"/>
    </row>
    <row r="771">
      <c r="A771" s="96"/>
      <c r="B771" s="3"/>
    </row>
    <row r="772">
      <c r="A772" s="96"/>
      <c r="B772" s="3"/>
    </row>
    <row r="773">
      <c r="A773" s="96"/>
      <c r="B773" s="3"/>
    </row>
    <row r="774">
      <c r="A774" s="96"/>
      <c r="B774" s="3"/>
    </row>
    <row r="775">
      <c r="A775" s="96"/>
      <c r="B775" s="3"/>
    </row>
    <row r="776">
      <c r="A776" s="96"/>
      <c r="B776" s="3"/>
    </row>
    <row r="777">
      <c r="A777" s="96"/>
      <c r="B777" s="3"/>
    </row>
    <row r="778">
      <c r="A778" s="96"/>
      <c r="B778" s="3"/>
    </row>
    <row r="779">
      <c r="A779" s="96"/>
      <c r="B779" s="3"/>
    </row>
    <row r="780">
      <c r="A780" s="96"/>
      <c r="B780" s="3"/>
    </row>
    <row r="781">
      <c r="A781" s="96"/>
      <c r="B781" s="3"/>
    </row>
    <row r="782">
      <c r="A782" s="96"/>
      <c r="B782" s="3"/>
    </row>
    <row r="783">
      <c r="A783" s="96"/>
      <c r="B783" s="3"/>
    </row>
    <row r="784">
      <c r="A784" s="96"/>
      <c r="B784" s="3"/>
    </row>
    <row r="785">
      <c r="A785" s="96"/>
      <c r="B785" s="3"/>
    </row>
    <row r="786">
      <c r="A786" s="96"/>
      <c r="B786" s="3"/>
    </row>
    <row r="787">
      <c r="A787" s="96"/>
      <c r="B787" s="3"/>
    </row>
    <row r="788">
      <c r="A788" s="96"/>
      <c r="B788" s="3"/>
    </row>
    <row r="789">
      <c r="A789" s="96"/>
      <c r="B789" s="3"/>
    </row>
    <row r="790">
      <c r="A790" s="96"/>
      <c r="B790" s="3"/>
    </row>
    <row r="791">
      <c r="A791" s="96"/>
      <c r="B791" s="3"/>
    </row>
    <row r="792">
      <c r="A792" s="96"/>
      <c r="B792" s="3"/>
    </row>
    <row r="793">
      <c r="A793" s="96"/>
      <c r="B793" s="3"/>
    </row>
    <row r="794">
      <c r="A794" s="96"/>
      <c r="B794" s="3"/>
    </row>
    <row r="795">
      <c r="A795" s="96"/>
      <c r="B795" s="3"/>
    </row>
    <row r="796">
      <c r="A796" s="96"/>
      <c r="B796" s="3"/>
    </row>
    <row r="797">
      <c r="A797" s="96"/>
      <c r="B797" s="3"/>
    </row>
    <row r="798">
      <c r="A798" s="96"/>
      <c r="B798" s="3"/>
    </row>
    <row r="799">
      <c r="A799" s="96"/>
      <c r="B799" s="3"/>
    </row>
    <row r="800">
      <c r="A800" s="96"/>
      <c r="B800" s="3"/>
    </row>
    <row r="801">
      <c r="A801" s="96"/>
      <c r="B801" s="3"/>
    </row>
    <row r="802">
      <c r="A802" s="96"/>
      <c r="B802" s="3"/>
    </row>
    <row r="803">
      <c r="A803" s="96"/>
      <c r="B803" s="3"/>
    </row>
    <row r="804">
      <c r="A804" s="96"/>
      <c r="B804" s="3"/>
    </row>
    <row r="805">
      <c r="A805" s="96"/>
      <c r="B805" s="3"/>
    </row>
    <row r="806">
      <c r="A806" s="96"/>
      <c r="B806" s="3"/>
    </row>
    <row r="807">
      <c r="A807" s="96"/>
      <c r="B807" s="3"/>
    </row>
    <row r="808">
      <c r="A808" s="96"/>
      <c r="B808" s="3"/>
    </row>
    <row r="809">
      <c r="A809" s="96"/>
      <c r="B809" s="3"/>
    </row>
    <row r="810">
      <c r="A810" s="96"/>
      <c r="B810" s="3"/>
    </row>
    <row r="811">
      <c r="A811" s="96"/>
      <c r="B811" s="3"/>
    </row>
    <row r="812">
      <c r="A812" s="96"/>
      <c r="B812" s="3"/>
    </row>
    <row r="813">
      <c r="A813" s="96"/>
      <c r="B813" s="3"/>
    </row>
    <row r="814">
      <c r="A814" s="96"/>
      <c r="B814" s="3"/>
    </row>
    <row r="815">
      <c r="A815" s="96"/>
      <c r="B815" s="3"/>
    </row>
    <row r="816">
      <c r="A816" s="96"/>
      <c r="B816" s="3"/>
    </row>
    <row r="817">
      <c r="A817" s="96"/>
      <c r="B817" s="3"/>
    </row>
    <row r="818">
      <c r="A818" s="96"/>
      <c r="B818" s="3"/>
    </row>
    <row r="819">
      <c r="A819" s="96"/>
      <c r="B819" s="3"/>
    </row>
    <row r="820">
      <c r="A820" s="96"/>
      <c r="B820" s="3"/>
    </row>
    <row r="821">
      <c r="A821" s="96"/>
      <c r="B821" s="3"/>
    </row>
    <row r="822">
      <c r="A822" s="96"/>
      <c r="B822" s="3"/>
    </row>
    <row r="823">
      <c r="A823" s="96"/>
      <c r="B823" s="3"/>
    </row>
    <row r="824">
      <c r="A824" s="96"/>
      <c r="B824" s="3"/>
    </row>
    <row r="825">
      <c r="A825" s="96"/>
      <c r="B825" s="3"/>
    </row>
    <row r="826">
      <c r="A826" s="96"/>
      <c r="B826" s="3"/>
    </row>
    <row r="827">
      <c r="A827" s="96"/>
      <c r="B827" s="3"/>
    </row>
    <row r="828">
      <c r="A828" s="96"/>
      <c r="B828" s="3"/>
    </row>
    <row r="829">
      <c r="A829" s="96"/>
      <c r="B829" s="3"/>
    </row>
    <row r="830">
      <c r="A830" s="96"/>
      <c r="B830" s="3"/>
    </row>
    <row r="831">
      <c r="A831" s="96"/>
      <c r="B831" s="3"/>
    </row>
    <row r="832">
      <c r="A832" s="96"/>
      <c r="B832" s="3"/>
    </row>
    <row r="833">
      <c r="A833" s="96"/>
      <c r="B833" s="3"/>
    </row>
    <row r="834">
      <c r="A834" s="96"/>
      <c r="B834" s="3"/>
    </row>
    <row r="835">
      <c r="A835" s="96"/>
      <c r="B835" s="3"/>
    </row>
    <row r="836">
      <c r="A836" s="96"/>
      <c r="B836" s="3"/>
    </row>
    <row r="837">
      <c r="A837" s="96"/>
      <c r="B837" s="3"/>
    </row>
    <row r="838">
      <c r="A838" s="96"/>
      <c r="B838" s="3"/>
    </row>
    <row r="839">
      <c r="A839" s="96"/>
      <c r="B839" s="3"/>
    </row>
    <row r="840">
      <c r="A840" s="96"/>
      <c r="B840" s="3"/>
    </row>
    <row r="841">
      <c r="A841" s="96"/>
      <c r="B841" s="3"/>
    </row>
    <row r="842">
      <c r="A842" s="96"/>
      <c r="B842" s="3"/>
    </row>
    <row r="843">
      <c r="A843" s="96"/>
      <c r="B843" s="3"/>
    </row>
    <row r="844">
      <c r="A844" s="96"/>
      <c r="B844" s="3"/>
    </row>
    <row r="845">
      <c r="A845" s="96"/>
      <c r="B845" s="3"/>
    </row>
    <row r="846">
      <c r="A846" s="96"/>
      <c r="B846" s="3"/>
    </row>
    <row r="847">
      <c r="A847" s="96"/>
      <c r="B847" s="3"/>
    </row>
    <row r="848">
      <c r="A848" s="96"/>
      <c r="B848" s="3"/>
    </row>
    <row r="849">
      <c r="A849" s="96"/>
      <c r="B849" s="3"/>
    </row>
    <row r="850">
      <c r="A850" s="96"/>
      <c r="B850" s="3"/>
    </row>
    <row r="851">
      <c r="A851" s="96"/>
      <c r="B851" s="3"/>
    </row>
    <row r="852">
      <c r="A852" s="96"/>
      <c r="B852" s="3"/>
    </row>
    <row r="853">
      <c r="A853" s="96"/>
      <c r="B853" s="3"/>
    </row>
    <row r="854">
      <c r="A854" s="96"/>
      <c r="B854" s="3"/>
    </row>
    <row r="855">
      <c r="A855" s="96"/>
      <c r="B855" s="3"/>
    </row>
    <row r="856">
      <c r="A856" s="96"/>
      <c r="B856" s="3"/>
    </row>
    <row r="857">
      <c r="A857" s="96"/>
      <c r="B857" s="3"/>
    </row>
    <row r="858">
      <c r="A858" s="96"/>
      <c r="B858" s="3"/>
    </row>
    <row r="859">
      <c r="A859" s="96"/>
      <c r="B859" s="3"/>
    </row>
    <row r="860">
      <c r="A860" s="96"/>
      <c r="B860" s="3"/>
    </row>
    <row r="861">
      <c r="A861" s="96"/>
      <c r="B861" s="3"/>
    </row>
    <row r="862">
      <c r="A862" s="96"/>
      <c r="B862" s="3"/>
    </row>
    <row r="863">
      <c r="A863" s="96"/>
      <c r="B863" s="3"/>
    </row>
    <row r="864">
      <c r="A864" s="96"/>
      <c r="B864" s="3"/>
    </row>
    <row r="865">
      <c r="A865" s="96"/>
      <c r="B865" s="3"/>
    </row>
    <row r="866">
      <c r="A866" s="96"/>
      <c r="B866" s="3"/>
    </row>
    <row r="867">
      <c r="A867" s="96"/>
      <c r="B867" s="3"/>
    </row>
    <row r="868">
      <c r="A868" s="96"/>
      <c r="B868" s="3"/>
    </row>
    <row r="869">
      <c r="A869" s="96"/>
      <c r="B869" s="3"/>
    </row>
    <row r="870">
      <c r="A870" s="96"/>
      <c r="B870" s="3"/>
    </row>
    <row r="871">
      <c r="A871" s="96"/>
      <c r="B871" s="3"/>
    </row>
    <row r="872">
      <c r="A872" s="96"/>
      <c r="B872" s="3"/>
    </row>
    <row r="873">
      <c r="A873" s="96"/>
      <c r="B873" s="3"/>
    </row>
    <row r="874">
      <c r="A874" s="96"/>
      <c r="B874" s="3"/>
    </row>
    <row r="875">
      <c r="A875" s="96"/>
      <c r="B875" s="3"/>
    </row>
    <row r="876">
      <c r="A876" s="96"/>
      <c r="B876" s="3"/>
    </row>
    <row r="877">
      <c r="A877" s="96"/>
      <c r="B877" s="3"/>
    </row>
    <row r="878">
      <c r="A878" s="96"/>
      <c r="B878" s="3"/>
    </row>
    <row r="879">
      <c r="A879" s="96"/>
      <c r="B879" s="3"/>
    </row>
    <row r="880">
      <c r="A880" s="96"/>
      <c r="B880" s="3"/>
    </row>
    <row r="881">
      <c r="A881" s="96"/>
      <c r="B881" s="3"/>
    </row>
    <row r="882">
      <c r="A882" s="96"/>
      <c r="B882" s="3"/>
    </row>
    <row r="883">
      <c r="A883" s="96"/>
      <c r="B883" s="3"/>
    </row>
    <row r="884">
      <c r="A884" s="96"/>
      <c r="B884" s="3"/>
    </row>
    <row r="885">
      <c r="A885" s="96"/>
      <c r="B885" s="3"/>
    </row>
    <row r="886">
      <c r="A886" s="96"/>
      <c r="B886" s="3"/>
    </row>
    <row r="887">
      <c r="A887" s="96"/>
      <c r="B887" s="3"/>
    </row>
    <row r="888">
      <c r="A888" s="96"/>
      <c r="B888" s="3"/>
    </row>
    <row r="889">
      <c r="A889" s="96"/>
      <c r="B889" s="3"/>
    </row>
    <row r="890">
      <c r="A890" s="96"/>
      <c r="B890" s="3"/>
    </row>
    <row r="891">
      <c r="A891" s="96"/>
      <c r="B891" s="3"/>
    </row>
    <row r="892">
      <c r="A892" s="96"/>
      <c r="B892" s="3"/>
    </row>
    <row r="893">
      <c r="A893" s="96"/>
      <c r="B893" s="3"/>
    </row>
    <row r="894">
      <c r="A894" s="96"/>
      <c r="B894" s="3"/>
    </row>
    <row r="895">
      <c r="A895" s="96"/>
      <c r="B895" s="3"/>
    </row>
    <row r="896">
      <c r="A896" s="96"/>
      <c r="B896" s="3"/>
    </row>
    <row r="897">
      <c r="A897" s="96"/>
      <c r="B897" s="3"/>
    </row>
    <row r="898">
      <c r="A898" s="96"/>
      <c r="B898" s="3"/>
    </row>
    <row r="899">
      <c r="A899" s="96"/>
      <c r="B899" s="3"/>
    </row>
    <row r="900">
      <c r="A900" s="96"/>
      <c r="B900" s="3"/>
    </row>
    <row r="901">
      <c r="A901" s="96"/>
      <c r="B901" s="3"/>
    </row>
    <row r="902">
      <c r="A902" s="96"/>
      <c r="B902" s="3"/>
    </row>
    <row r="903">
      <c r="A903" s="96"/>
      <c r="B903" s="3"/>
    </row>
    <row r="904">
      <c r="A904" s="96"/>
      <c r="B904" s="3"/>
    </row>
    <row r="905">
      <c r="A905" s="96"/>
      <c r="B905" s="3"/>
    </row>
    <row r="906">
      <c r="A906" s="96"/>
      <c r="B906" s="3"/>
    </row>
    <row r="907">
      <c r="A907" s="96"/>
      <c r="B907" s="3"/>
    </row>
    <row r="908">
      <c r="A908" s="96"/>
      <c r="B908" s="3"/>
    </row>
    <row r="909">
      <c r="A909" s="96"/>
      <c r="B909" s="3"/>
    </row>
    <row r="910">
      <c r="A910" s="96"/>
      <c r="B910" s="3"/>
    </row>
    <row r="911">
      <c r="A911" s="96"/>
      <c r="B911" s="3"/>
    </row>
    <row r="912">
      <c r="A912" s="96"/>
      <c r="B912" s="3"/>
    </row>
    <row r="913">
      <c r="A913" s="96"/>
      <c r="B913" s="3"/>
    </row>
    <row r="914">
      <c r="A914" s="96"/>
      <c r="B914" s="3"/>
    </row>
    <row r="915">
      <c r="A915" s="96"/>
      <c r="B915" s="3"/>
    </row>
    <row r="916">
      <c r="A916" s="96"/>
      <c r="B916" s="3"/>
    </row>
    <row r="917">
      <c r="A917" s="96"/>
      <c r="B917" s="3"/>
    </row>
    <row r="918">
      <c r="A918" s="96"/>
      <c r="B918" s="3"/>
    </row>
    <row r="919">
      <c r="A919" s="96"/>
      <c r="B919" s="3"/>
    </row>
    <row r="920">
      <c r="A920" s="96"/>
      <c r="B920" s="3"/>
    </row>
    <row r="921">
      <c r="A921" s="96"/>
      <c r="B921" s="3"/>
    </row>
    <row r="922">
      <c r="A922" s="96"/>
      <c r="B922" s="3"/>
    </row>
    <row r="923">
      <c r="A923" s="96"/>
      <c r="B923" s="3"/>
    </row>
    <row r="924">
      <c r="A924" s="96"/>
      <c r="B924" s="3"/>
    </row>
    <row r="925">
      <c r="A925" s="96"/>
      <c r="B925" s="3"/>
    </row>
    <row r="926">
      <c r="A926" s="96"/>
      <c r="B926" s="3"/>
    </row>
    <row r="927">
      <c r="A927" s="96"/>
      <c r="B927" s="3"/>
    </row>
    <row r="928">
      <c r="A928" s="96"/>
      <c r="B928" s="3"/>
    </row>
    <row r="929">
      <c r="A929" s="96"/>
      <c r="B929" s="3"/>
    </row>
    <row r="930">
      <c r="A930" s="96"/>
      <c r="B930" s="3"/>
    </row>
    <row r="931">
      <c r="A931" s="96"/>
      <c r="B931" s="3"/>
    </row>
    <row r="932">
      <c r="A932" s="96"/>
      <c r="B932" s="3"/>
    </row>
    <row r="933">
      <c r="A933" s="96"/>
      <c r="B933" s="3"/>
    </row>
    <row r="934">
      <c r="A934" s="96"/>
      <c r="B934" s="3"/>
    </row>
    <row r="935">
      <c r="A935" s="96"/>
      <c r="B935" s="3"/>
    </row>
    <row r="936">
      <c r="A936" s="96"/>
      <c r="B936" s="3"/>
    </row>
    <row r="937">
      <c r="A937" s="96"/>
      <c r="B937" s="3"/>
    </row>
    <row r="938">
      <c r="A938" s="96"/>
      <c r="B938" s="3"/>
    </row>
    <row r="939">
      <c r="A939" s="96"/>
      <c r="B939" s="3"/>
    </row>
    <row r="940">
      <c r="A940" s="96"/>
      <c r="B940" s="3"/>
    </row>
    <row r="941">
      <c r="A941" s="96"/>
      <c r="B941" s="3"/>
    </row>
    <row r="942">
      <c r="A942" s="96"/>
      <c r="B942" s="3"/>
    </row>
    <row r="943">
      <c r="A943" s="96"/>
      <c r="B943" s="3"/>
    </row>
    <row r="944">
      <c r="A944" s="96"/>
      <c r="B944" s="3"/>
    </row>
    <row r="945">
      <c r="A945" s="96"/>
      <c r="B945" s="3"/>
    </row>
    <row r="946">
      <c r="A946" s="96"/>
      <c r="B946" s="3"/>
    </row>
    <row r="947">
      <c r="A947" s="96"/>
      <c r="B947" s="3"/>
    </row>
    <row r="948">
      <c r="A948" s="96"/>
      <c r="B948" s="3"/>
    </row>
    <row r="949">
      <c r="A949" s="96"/>
      <c r="B949" s="3"/>
    </row>
    <row r="950">
      <c r="A950" s="96"/>
      <c r="B950" s="3"/>
    </row>
    <row r="951">
      <c r="A951" s="96"/>
      <c r="B951" s="3"/>
    </row>
    <row r="952">
      <c r="A952" s="96"/>
      <c r="B952" s="3"/>
    </row>
    <row r="953">
      <c r="A953" s="96"/>
      <c r="B953" s="3"/>
    </row>
    <row r="954">
      <c r="A954" s="96"/>
      <c r="B954" s="3"/>
    </row>
    <row r="955">
      <c r="A955" s="96"/>
      <c r="B955" s="3"/>
    </row>
    <row r="956">
      <c r="A956" s="96"/>
      <c r="B956" s="3"/>
    </row>
    <row r="957">
      <c r="A957" s="96"/>
      <c r="B957" s="3"/>
    </row>
    <row r="958">
      <c r="A958" s="96"/>
      <c r="B958" s="3"/>
    </row>
    <row r="959">
      <c r="A959" s="96"/>
      <c r="B959" s="3"/>
    </row>
    <row r="960">
      <c r="A960" s="96"/>
      <c r="B960" s="3"/>
    </row>
    <row r="961">
      <c r="A961" s="96"/>
      <c r="B961" s="3"/>
    </row>
    <row r="962">
      <c r="A962" s="96"/>
      <c r="B962" s="3"/>
    </row>
    <row r="963">
      <c r="A963" s="96"/>
      <c r="B963" s="3"/>
    </row>
    <row r="964">
      <c r="A964" s="96"/>
      <c r="B964" s="3"/>
    </row>
    <row r="965">
      <c r="A965" s="96"/>
      <c r="B965" s="3"/>
    </row>
    <row r="966">
      <c r="A966" s="96"/>
      <c r="B966" s="3"/>
    </row>
    <row r="967">
      <c r="A967" s="96"/>
      <c r="B967" s="3"/>
    </row>
    <row r="968">
      <c r="A968" s="96"/>
      <c r="B968" s="3"/>
    </row>
    <row r="969">
      <c r="A969" s="96"/>
      <c r="B969" s="3"/>
    </row>
    <row r="970">
      <c r="A970" s="96"/>
      <c r="B970" s="3"/>
    </row>
    <row r="971">
      <c r="A971" s="96"/>
      <c r="B971" s="3"/>
    </row>
    <row r="972">
      <c r="A972" s="96"/>
      <c r="B972" s="3"/>
    </row>
    <row r="973">
      <c r="A973" s="96"/>
      <c r="B973" s="3"/>
    </row>
    <row r="974">
      <c r="A974" s="96"/>
      <c r="B974" s="3"/>
    </row>
    <row r="975">
      <c r="A975" s="96"/>
      <c r="B975" s="3"/>
    </row>
    <row r="976">
      <c r="A976" s="96"/>
      <c r="B976" s="3"/>
    </row>
    <row r="977">
      <c r="A977" s="96"/>
      <c r="B977" s="3"/>
    </row>
    <row r="978">
      <c r="A978" s="96"/>
      <c r="B978" s="3"/>
    </row>
    <row r="979">
      <c r="A979" s="96"/>
      <c r="B979" s="3"/>
    </row>
    <row r="980">
      <c r="A980" s="96"/>
      <c r="B980" s="3"/>
    </row>
    <row r="981">
      <c r="A981" s="96"/>
      <c r="B981" s="3"/>
    </row>
    <row r="982">
      <c r="A982" s="96"/>
      <c r="B982" s="3"/>
    </row>
    <row r="983">
      <c r="A983" s="96"/>
      <c r="B983" s="3"/>
    </row>
    <row r="984">
      <c r="A984" s="96"/>
      <c r="B984" s="3"/>
    </row>
    <row r="985">
      <c r="A985" s="96"/>
      <c r="B985" s="3"/>
    </row>
    <row r="986">
      <c r="A986" s="96"/>
      <c r="B986" s="3"/>
    </row>
    <row r="987">
      <c r="A987" s="96"/>
      <c r="B987" s="3"/>
    </row>
    <row r="988">
      <c r="A988" s="96"/>
      <c r="B988" s="3"/>
    </row>
    <row r="989">
      <c r="A989" s="96"/>
      <c r="B989" s="3"/>
    </row>
    <row r="990">
      <c r="A990" s="96"/>
      <c r="B990" s="3"/>
    </row>
    <row r="991">
      <c r="A991" s="96"/>
      <c r="B991" s="3"/>
    </row>
    <row r="992">
      <c r="A992" s="96"/>
      <c r="B992" s="3"/>
    </row>
    <row r="993">
      <c r="A993" s="96"/>
      <c r="B993" s="3"/>
    </row>
    <row r="994">
      <c r="A994" s="96"/>
      <c r="B994" s="3"/>
    </row>
    <row r="995">
      <c r="A995" s="96"/>
      <c r="B995" s="3"/>
    </row>
    <row r="996">
      <c r="A996" s="96"/>
      <c r="B996" s="3"/>
    </row>
    <row r="997">
      <c r="A997" s="96"/>
      <c r="B997" s="3"/>
    </row>
    <row r="998">
      <c r="A998" s="96"/>
      <c r="B998" s="3"/>
    </row>
    <row r="999">
      <c r="A999" s="96"/>
      <c r="B999" s="3"/>
    </row>
    <row r="1000">
      <c r="A1000" s="96"/>
      <c r="B1000" s="3"/>
    </row>
    <row r="1001">
      <c r="A1001" s="96"/>
      <c r="B1001" s="3"/>
    </row>
    <row r="1002">
      <c r="A1002" s="96"/>
      <c r="B1002" s="3"/>
    </row>
    <row r="1003">
      <c r="A1003" s="96"/>
      <c r="B1003" s="3"/>
    </row>
    <row r="1004">
      <c r="A1004" s="96"/>
      <c r="B1004" s="3"/>
    </row>
    <row r="1005">
      <c r="A1005" s="96"/>
      <c r="B1005" s="3"/>
    </row>
    <row r="1006">
      <c r="A1006" s="96"/>
      <c r="B1006" s="3"/>
    </row>
    <row r="1007">
      <c r="A1007" s="96"/>
      <c r="B1007" s="3"/>
    </row>
    <row r="1008">
      <c r="A1008" s="96"/>
      <c r="B1008" s="3"/>
    </row>
    <row r="1009">
      <c r="A1009" s="96"/>
      <c r="B1009" s="3"/>
    </row>
    <row r="1010">
      <c r="A1010" s="96"/>
      <c r="B1010" s="3"/>
    </row>
    <row r="1011">
      <c r="A1011" s="96"/>
      <c r="B1011" s="3"/>
    </row>
    <row r="1012">
      <c r="A1012" s="96"/>
      <c r="B1012" s="3"/>
    </row>
    <row r="1013">
      <c r="A1013" s="96"/>
      <c r="B1013" s="3"/>
    </row>
    <row r="1014">
      <c r="A1014" s="96"/>
      <c r="B1014" s="3"/>
    </row>
    <row r="1015">
      <c r="A1015" s="96"/>
      <c r="B1015" s="3"/>
    </row>
    <row r="1016">
      <c r="A1016" s="96"/>
      <c r="B1016" s="3"/>
    </row>
    <row r="1017">
      <c r="A1017" s="96"/>
      <c r="B1017" s="3"/>
    </row>
    <row r="1018">
      <c r="A1018" s="96"/>
      <c r="B1018" s="3"/>
    </row>
    <row r="1019">
      <c r="A1019" s="96"/>
      <c r="B1019" s="3"/>
    </row>
    <row r="1020">
      <c r="A1020" s="96"/>
      <c r="B1020" s="3"/>
    </row>
    <row r="1021">
      <c r="A1021" s="96"/>
      <c r="B1021" s="3"/>
    </row>
    <row r="1022">
      <c r="A1022" s="96"/>
      <c r="B1022" s="3"/>
    </row>
    <row r="1023">
      <c r="A1023" s="96"/>
      <c r="B1023" s="3"/>
    </row>
    <row r="1024">
      <c r="A1024" s="96"/>
      <c r="B1024" s="3"/>
    </row>
    <row r="1025">
      <c r="A1025" s="96"/>
      <c r="B1025" s="3"/>
    </row>
    <row r="1026">
      <c r="A1026" s="96"/>
      <c r="B1026" s="3"/>
    </row>
    <row r="1027">
      <c r="A1027" s="96"/>
      <c r="B1027" s="3"/>
    </row>
    <row r="1028">
      <c r="A1028" s="96"/>
      <c r="B1028" s="3"/>
    </row>
    <row r="1029">
      <c r="A1029" s="96"/>
      <c r="B1029" s="3"/>
    </row>
    <row r="1030">
      <c r="A1030" s="96"/>
      <c r="B1030" s="3"/>
    </row>
    <row r="1031">
      <c r="A1031" s="96"/>
      <c r="B1031" s="3"/>
    </row>
    <row r="1032">
      <c r="A1032" s="96"/>
      <c r="B1032" s="3"/>
    </row>
    <row r="1033">
      <c r="A1033" s="96"/>
      <c r="B1033" s="3"/>
    </row>
    <row r="1034">
      <c r="A1034" s="96"/>
      <c r="B1034" s="3"/>
    </row>
    <row r="1035">
      <c r="A1035" s="96"/>
      <c r="B1035" s="3"/>
    </row>
    <row r="1036">
      <c r="A1036" s="96"/>
      <c r="B1036" s="3"/>
    </row>
    <row r="1037">
      <c r="A1037" s="96"/>
      <c r="B1037" s="3"/>
    </row>
    <row r="1038">
      <c r="A1038" s="96"/>
      <c r="B1038" s="3"/>
    </row>
  </sheetData>
  <conditionalFormatting sqref="D2:D104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27:C30 C32:C35 C37:C40 C42:C45 C47:C50 C52:C55 C57:C60 C62:C65 C67:C70 C72:C75 C77:C80 C82:C85 C87:C90 C92:C95 C97:C100 C102:C105 C107:C110 C112:C115 C117:C120 C122:C125 C127:C130 C132:C135 C137:C140 C142:C145 C147:C150 C152:C155 C157:C160 C162:C165 C167:C170 C172:C175 C177:C180 C182:C185 C187:C190 C192:C195 C197:C200 C202:C205 C207:C210 C212:C215 C217:C220 C222:C225 C227:C230 C232:C235 C237:C240 C242:C245 C247:C250 C252:C255">
      <formula1>"5W1H,Base,CoT,tldr,Heading,Jeremy,Begoña,Alba,Naiara"</formula1>
    </dataValidation>
    <dataValidation type="list" allowBlank="1" showErrorMessage="1" sqref="E2:I5 E7:I10 E12:I15 E17:I20 E22:I25 E27:I30 E32:I35 E37:I40 E42:I45 E47:I50 E52:I55 E57:I60 E62:I65 E67:I70 E72:I75 E77:I80 E82:I85 E87:I90 E92:I95 E97:I100 E102:I105 E107:I110 E112:I115 E117:I120 E122:I125 E127:I130 E132:I135 E137:I140 E142:I145 E147:I150 E152:I155 E157:I160 E162:I165 E167:I170 E172:I175 E177:I180 E182:I185 E187:I190 E192:I195 E197:I200 E202:I205 E207:I210 E212:I215 E217:I220 E222:I225 E227:I230 E232:I235 E237:I240 E242:I245 E247:I250 E252:I255">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103" t="s">
        <v>164</v>
      </c>
      <c r="B1" s="104"/>
      <c r="C1" s="105"/>
      <c r="D1" s="105"/>
      <c r="E1" s="105"/>
      <c r="F1" s="105"/>
      <c r="G1" s="105"/>
      <c r="H1" s="105"/>
      <c r="I1" s="105"/>
      <c r="J1" s="105"/>
      <c r="K1" s="105"/>
      <c r="L1" s="105"/>
      <c r="M1" s="105"/>
      <c r="N1" s="105"/>
      <c r="O1" s="105"/>
      <c r="P1" s="105"/>
      <c r="Q1" s="105"/>
      <c r="R1" s="105"/>
      <c r="S1" s="105"/>
      <c r="T1" s="105"/>
      <c r="U1" s="105"/>
      <c r="V1" s="105"/>
      <c r="W1" s="105"/>
      <c r="X1" s="105"/>
      <c r="Y1" s="105"/>
      <c r="Z1" s="105"/>
    </row>
    <row r="2">
      <c r="A2" s="106" t="s">
        <v>21</v>
      </c>
      <c r="B2" s="107" t="s">
        <v>165</v>
      </c>
      <c r="C2" s="98"/>
      <c r="D2" s="98"/>
      <c r="E2" s="98"/>
      <c r="F2" s="98"/>
      <c r="G2" s="98"/>
      <c r="H2" s="98"/>
      <c r="I2" s="98"/>
      <c r="J2" s="98"/>
      <c r="K2" s="98"/>
      <c r="L2" s="98"/>
      <c r="M2" s="98"/>
      <c r="N2" s="98"/>
      <c r="O2" s="98"/>
      <c r="P2" s="98"/>
      <c r="Q2" s="98"/>
      <c r="R2" s="98"/>
      <c r="S2" s="98"/>
      <c r="T2" s="98"/>
      <c r="U2" s="98"/>
      <c r="V2" s="98"/>
      <c r="W2" s="98"/>
      <c r="X2" s="98"/>
      <c r="Y2" s="98"/>
      <c r="Z2" s="98"/>
    </row>
    <row r="3">
      <c r="A3" s="106" t="s">
        <v>22</v>
      </c>
      <c r="B3" s="107" t="s">
        <v>166</v>
      </c>
      <c r="C3" s="98"/>
      <c r="D3" s="98"/>
      <c r="E3" s="98"/>
      <c r="F3" s="98"/>
      <c r="G3" s="98"/>
      <c r="H3" s="98"/>
      <c r="I3" s="98"/>
      <c r="J3" s="98"/>
      <c r="K3" s="98"/>
      <c r="L3" s="98"/>
      <c r="M3" s="98"/>
      <c r="N3" s="98"/>
      <c r="O3" s="98"/>
      <c r="P3" s="98"/>
      <c r="Q3" s="98"/>
      <c r="R3" s="98"/>
      <c r="S3" s="98"/>
      <c r="T3" s="98"/>
      <c r="U3" s="98"/>
      <c r="V3" s="98"/>
      <c r="W3" s="98"/>
      <c r="X3" s="98"/>
      <c r="Y3" s="98"/>
      <c r="Z3" s="98"/>
    </row>
    <row r="4">
      <c r="A4" s="106" t="s">
        <v>8</v>
      </c>
      <c r="B4" s="107" t="s">
        <v>167</v>
      </c>
      <c r="C4" s="98"/>
      <c r="D4" s="98"/>
      <c r="E4" s="98"/>
      <c r="F4" s="98"/>
      <c r="G4" s="98"/>
      <c r="H4" s="98"/>
      <c r="I4" s="98"/>
      <c r="J4" s="98"/>
      <c r="K4" s="98"/>
      <c r="L4" s="98"/>
      <c r="M4" s="98"/>
      <c r="N4" s="98"/>
      <c r="O4" s="98"/>
      <c r="P4" s="98"/>
      <c r="Q4" s="98"/>
      <c r="R4" s="98"/>
      <c r="S4" s="98"/>
      <c r="T4" s="98"/>
      <c r="U4" s="98"/>
      <c r="V4" s="98"/>
      <c r="W4" s="98"/>
      <c r="X4" s="98"/>
      <c r="Y4" s="98"/>
      <c r="Z4" s="98"/>
    </row>
    <row r="5">
      <c r="A5" s="108" t="s">
        <v>23</v>
      </c>
      <c r="B5" s="98" t="s">
        <v>168</v>
      </c>
      <c r="C5" s="98"/>
      <c r="D5" s="98"/>
      <c r="E5" s="98"/>
      <c r="F5" s="98"/>
      <c r="G5" s="98"/>
      <c r="H5" s="98"/>
      <c r="I5" s="98"/>
      <c r="J5" s="98"/>
      <c r="K5" s="98"/>
      <c r="L5" s="98"/>
      <c r="M5" s="98"/>
      <c r="N5" s="98"/>
      <c r="O5" s="98"/>
      <c r="P5" s="98"/>
      <c r="Q5" s="98"/>
      <c r="R5" s="98"/>
      <c r="S5" s="98"/>
      <c r="T5" s="98"/>
      <c r="U5" s="98"/>
      <c r="V5" s="98"/>
      <c r="W5" s="98"/>
      <c r="X5" s="98"/>
      <c r="Y5" s="98"/>
      <c r="Z5" s="98"/>
    </row>
    <row r="6">
      <c r="A6" s="109" t="s">
        <v>169</v>
      </c>
      <c r="B6" s="105"/>
      <c r="C6" s="105"/>
      <c r="D6" s="105"/>
      <c r="E6" s="105"/>
      <c r="F6" s="105"/>
      <c r="G6" s="105"/>
      <c r="H6" s="105"/>
      <c r="I6" s="105"/>
      <c r="J6" s="105"/>
      <c r="K6" s="105"/>
      <c r="L6" s="105"/>
      <c r="M6" s="105"/>
      <c r="N6" s="105"/>
      <c r="O6" s="105"/>
      <c r="P6" s="105"/>
      <c r="Q6" s="105"/>
      <c r="R6" s="105"/>
      <c r="S6" s="105"/>
      <c r="T6" s="105"/>
      <c r="U6" s="105"/>
      <c r="V6" s="105"/>
      <c r="W6" s="105"/>
      <c r="X6" s="105"/>
      <c r="Y6" s="105"/>
      <c r="Z6" s="105"/>
    </row>
    <row r="7">
      <c r="A7" s="108" t="s">
        <v>16</v>
      </c>
      <c r="B7" s="110" t="s">
        <v>170</v>
      </c>
      <c r="C7" s="98"/>
      <c r="D7" s="98"/>
      <c r="E7" s="98"/>
      <c r="F7" s="98"/>
      <c r="G7" s="98"/>
      <c r="H7" s="98"/>
      <c r="I7" s="98"/>
      <c r="J7" s="98"/>
      <c r="K7" s="98"/>
      <c r="L7" s="98"/>
      <c r="M7" s="98"/>
      <c r="N7" s="98"/>
      <c r="O7" s="98"/>
      <c r="P7" s="98"/>
      <c r="Q7" s="98"/>
      <c r="R7" s="98"/>
      <c r="S7" s="98"/>
      <c r="T7" s="98"/>
      <c r="U7" s="98"/>
      <c r="V7" s="98"/>
      <c r="W7" s="98"/>
      <c r="X7" s="98"/>
      <c r="Y7" s="98"/>
      <c r="Z7" s="98"/>
    </row>
    <row r="8">
      <c r="A8" s="108" t="s">
        <v>17</v>
      </c>
      <c r="B8" s="111" t="s">
        <v>171</v>
      </c>
      <c r="C8" s="98"/>
      <c r="D8" s="98"/>
      <c r="E8" s="98"/>
      <c r="F8" s="98"/>
      <c r="G8" s="98"/>
      <c r="H8" s="98"/>
      <c r="I8" s="98"/>
      <c r="J8" s="98"/>
      <c r="K8" s="98"/>
      <c r="L8" s="98"/>
      <c r="M8" s="98"/>
      <c r="N8" s="98"/>
      <c r="O8" s="98"/>
      <c r="P8" s="98"/>
      <c r="Q8" s="98"/>
      <c r="R8" s="98"/>
      <c r="S8" s="98"/>
      <c r="T8" s="98"/>
      <c r="U8" s="98"/>
      <c r="V8" s="98"/>
      <c r="W8" s="98"/>
      <c r="X8" s="98"/>
      <c r="Y8" s="98"/>
      <c r="Z8" s="98"/>
    </row>
    <row r="9">
      <c r="A9" s="108" t="s">
        <v>18</v>
      </c>
      <c r="B9" s="111" t="s">
        <v>172</v>
      </c>
      <c r="C9" s="98"/>
      <c r="D9" s="98"/>
      <c r="E9" s="98"/>
      <c r="F9" s="98"/>
      <c r="G9" s="98"/>
      <c r="H9" s="98"/>
      <c r="I9" s="98"/>
      <c r="J9" s="98"/>
      <c r="K9" s="98"/>
      <c r="L9" s="98"/>
      <c r="M9" s="98"/>
      <c r="N9" s="98"/>
      <c r="O9" s="98"/>
      <c r="P9" s="98"/>
      <c r="Q9" s="98"/>
      <c r="R9" s="98"/>
      <c r="S9" s="98"/>
      <c r="T9" s="98"/>
      <c r="U9" s="98"/>
      <c r="V9" s="98"/>
      <c r="W9" s="98"/>
      <c r="X9" s="98"/>
      <c r="Y9" s="98"/>
      <c r="Z9" s="98"/>
    </row>
    <row r="10">
      <c r="A10" s="108" t="s">
        <v>173</v>
      </c>
      <c r="B10" s="111" t="s">
        <v>174</v>
      </c>
      <c r="C10" s="98"/>
      <c r="D10" s="98"/>
      <c r="E10" s="98"/>
      <c r="F10" s="98"/>
      <c r="G10" s="98"/>
      <c r="H10" s="98"/>
      <c r="I10" s="98"/>
      <c r="J10" s="98"/>
      <c r="K10" s="98"/>
      <c r="L10" s="98"/>
      <c r="M10" s="98"/>
      <c r="N10" s="98"/>
      <c r="O10" s="98"/>
      <c r="P10" s="98"/>
      <c r="Q10" s="98"/>
      <c r="R10" s="98"/>
      <c r="S10" s="98"/>
      <c r="T10" s="98"/>
      <c r="U10" s="98"/>
      <c r="V10" s="98"/>
      <c r="W10" s="98"/>
      <c r="X10" s="98"/>
      <c r="Y10" s="98"/>
      <c r="Z10" s="98"/>
    </row>
    <row r="11">
      <c r="A11" s="108" t="s">
        <v>19</v>
      </c>
      <c r="B11" s="111" t="s">
        <v>175</v>
      </c>
      <c r="C11" s="98"/>
      <c r="D11" s="98"/>
      <c r="E11" s="98"/>
      <c r="F11" s="98"/>
      <c r="G11" s="98"/>
      <c r="H11" s="98"/>
      <c r="I11" s="98"/>
      <c r="J11" s="98"/>
      <c r="K11" s="98"/>
      <c r="L11" s="98"/>
      <c r="M11" s="98"/>
      <c r="N11" s="98"/>
      <c r="O11" s="98"/>
      <c r="P11" s="98"/>
      <c r="Q11" s="98"/>
      <c r="R11" s="98"/>
      <c r="S11" s="98"/>
      <c r="T11" s="98"/>
      <c r="U11" s="98"/>
      <c r="V11" s="98"/>
      <c r="W11" s="98"/>
      <c r="X11" s="98"/>
      <c r="Y11" s="98"/>
      <c r="Z11" s="98"/>
    </row>
    <row r="12">
      <c r="A12" s="109" t="s">
        <v>176</v>
      </c>
      <c r="B12" s="105"/>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row>
    <row r="13">
      <c r="A13" s="108" t="s">
        <v>4</v>
      </c>
      <c r="B13" s="111" t="s">
        <v>177</v>
      </c>
      <c r="C13" s="98"/>
      <c r="D13" s="98"/>
      <c r="E13" s="98"/>
      <c r="F13" s="98"/>
      <c r="G13" s="98"/>
      <c r="H13" s="98"/>
      <c r="I13" s="98"/>
      <c r="J13" s="98"/>
      <c r="K13" s="98"/>
      <c r="L13" s="98"/>
      <c r="M13" s="98"/>
      <c r="N13" s="98"/>
      <c r="O13" s="98"/>
      <c r="P13" s="98"/>
      <c r="Q13" s="98"/>
      <c r="R13" s="98"/>
      <c r="S13" s="98"/>
      <c r="T13" s="98"/>
      <c r="U13" s="98"/>
      <c r="V13" s="98"/>
      <c r="W13" s="98"/>
      <c r="X13" s="98"/>
      <c r="Y13" s="98"/>
      <c r="Z13" s="98"/>
    </row>
    <row r="14">
      <c r="A14" s="112" t="s">
        <v>5</v>
      </c>
      <c r="B14" s="111" t="s">
        <v>178</v>
      </c>
      <c r="C14" s="98"/>
      <c r="D14" s="98"/>
      <c r="E14" s="98"/>
      <c r="F14" s="98"/>
      <c r="G14" s="98"/>
      <c r="H14" s="98"/>
      <c r="I14" s="98"/>
      <c r="J14" s="98"/>
      <c r="K14" s="98"/>
      <c r="L14" s="98"/>
      <c r="M14" s="98"/>
      <c r="N14" s="98"/>
      <c r="O14" s="98"/>
      <c r="P14" s="98"/>
      <c r="Q14" s="98"/>
      <c r="R14" s="98"/>
      <c r="S14" s="98"/>
      <c r="T14" s="98"/>
      <c r="U14" s="98"/>
      <c r="V14" s="98"/>
      <c r="W14" s="98"/>
      <c r="X14" s="98"/>
      <c r="Y14" s="98"/>
      <c r="Z14" s="98"/>
    </row>
    <row r="15">
      <c r="A15" s="112" t="s">
        <v>6</v>
      </c>
      <c r="B15" s="111" t="s">
        <v>179</v>
      </c>
      <c r="C15" s="98"/>
      <c r="D15" s="98"/>
      <c r="E15" s="98"/>
      <c r="F15" s="98"/>
      <c r="G15" s="98"/>
      <c r="H15" s="98"/>
      <c r="I15" s="98"/>
      <c r="J15" s="98"/>
      <c r="K15" s="98"/>
      <c r="L15" s="98"/>
      <c r="M15" s="98"/>
      <c r="N15" s="98"/>
      <c r="O15" s="98"/>
      <c r="P15" s="98"/>
      <c r="Q15" s="98"/>
      <c r="R15" s="98"/>
      <c r="S15" s="98"/>
      <c r="T15" s="98"/>
      <c r="U15" s="98"/>
      <c r="V15" s="98"/>
      <c r="W15" s="98"/>
      <c r="X15" s="98"/>
      <c r="Y15" s="98"/>
      <c r="Z15" s="98"/>
    </row>
    <row r="16">
      <c r="A16" s="112" t="s">
        <v>7</v>
      </c>
      <c r="B16" s="111" t="s">
        <v>180</v>
      </c>
      <c r="C16" s="98"/>
      <c r="D16" s="98"/>
      <c r="E16" s="98"/>
      <c r="F16" s="98"/>
      <c r="G16" s="98"/>
      <c r="H16" s="98"/>
      <c r="I16" s="98"/>
      <c r="J16" s="98"/>
      <c r="K16" s="98"/>
      <c r="L16" s="98"/>
      <c r="M16" s="98"/>
      <c r="N16" s="98"/>
      <c r="O16" s="98"/>
      <c r="P16" s="98"/>
      <c r="Q16" s="98"/>
      <c r="R16" s="98"/>
      <c r="S16" s="98"/>
      <c r="T16" s="98"/>
      <c r="U16" s="98"/>
      <c r="V16" s="98"/>
      <c r="W16" s="98"/>
      <c r="X16" s="98"/>
      <c r="Y16" s="98"/>
      <c r="Z16" s="98"/>
    </row>
    <row r="17">
      <c r="A17" s="112" t="s">
        <v>8</v>
      </c>
      <c r="B17" s="111" t="s">
        <v>181</v>
      </c>
      <c r="C17" s="98"/>
      <c r="D17" s="98"/>
      <c r="E17" s="98"/>
      <c r="F17" s="98"/>
      <c r="G17" s="98"/>
      <c r="H17" s="98"/>
      <c r="I17" s="98"/>
      <c r="J17" s="98"/>
      <c r="K17" s="98"/>
      <c r="L17" s="98"/>
      <c r="M17" s="98"/>
      <c r="N17" s="98"/>
      <c r="O17" s="98"/>
      <c r="P17" s="98"/>
      <c r="Q17" s="98"/>
      <c r="R17" s="98"/>
      <c r="S17" s="98"/>
      <c r="T17" s="98"/>
      <c r="U17" s="98"/>
      <c r="V17" s="98"/>
      <c r="W17" s="98"/>
      <c r="X17" s="98"/>
      <c r="Y17" s="98"/>
      <c r="Z17" s="98"/>
    </row>
    <row r="18">
      <c r="A18" s="109" t="s">
        <v>182</v>
      </c>
      <c r="B18" s="105"/>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row>
    <row r="19">
      <c r="A19" s="113" t="s">
        <v>183</v>
      </c>
      <c r="B19" s="111" t="s">
        <v>184</v>
      </c>
      <c r="C19" s="98"/>
      <c r="D19" s="98"/>
      <c r="E19" s="98"/>
      <c r="F19" s="98"/>
      <c r="G19" s="98"/>
      <c r="H19" s="98"/>
      <c r="I19" s="98"/>
      <c r="J19" s="98"/>
      <c r="K19" s="98"/>
      <c r="L19" s="98"/>
      <c r="M19" s="98"/>
      <c r="N19" s="98"/>
      <c r="O19" s="98"/>
      <c r="P19" s="98"/>
      <c r="Q19" s="98"/>
      <c r="R19" s="98"/>
      <c r="S19" s="98"/>
      <c r="T19" s="98"/>
      <c r="U19" s="98"/>
      <c r="V19" s="98"/>
      <c r="W19" s="98"/>
      <c r="X19" s="98"/>
      <c r="Y19" s="98"/>
      <c r="Z19" s="98"/>
    </row>
    <row r="20">
      <c r="A20" s="114" t="s">
        <v>183</v>
      </c>
      <c r="B20" s="111" t="s">
        <v>185</v>
      </c>
      <c r="C20" s="98"/>
      <c r="D20" s="98"/>
      <c r="E20" s="98"/>
      <c r="F20" s="98"/>
      <c r="G20" s="98"/>
      <c r="H20" s="98"/>
      <c r="I20" s="98"/>
      <c r="J20" s="98"/>
      <c r="K20" s="98"/>
      <c r="L20" s="98"/>
      <c r="M20" s="98"/>
      <c r="N20" s="98"/>
      <c r="O20" s="98"/>
      <c r="P20" s="98"/>
      <c r="Q20" s="98"/>
      <c r="R20" s="98"/>
      <c r="S20" s="98"/>
      <c r="T20" s="98"/>
      <c r="U20" s="98"/>
      <c r="V20" s="98"/>
      <c r="W20" s="98"/>
      <c r="X20" s="98"/>
      <c r="Y20" s="98"/>
      <c r="Z20" s="98"/>
    </row>
    <row r="21">
      <c r="A21" s="115" t="s">
        <v>183</v>
      </c>
      <c r="B21" s="111" t="s">
        <v>186</v>
      </c>
      <c r="C21" s="98"/>
      <c r="D21" s="98"/>
      <c r="E21" s="98"/>
      <c r="F21" s="98"/>
      <c r="G21" s="98"/>
      <c r="H21" s="98"/>
      <c r="I21" s="98"/>
      <c r="J21" s="98"/>
      <c r="K21" s="98"/>
      <c r="L21" s="98"/>
      <c r="M21" s="98"/>
      <c r="N21" s="98"/>
      <c r="O21" s="98"/>
      <c r="P21" s="98"/>
      <c r="Q21" s="98"/>
      <c r="R21" s="98"/>
      <c r="S21" s="98"/>
      <c r="T21" s="98"/>
      <c r="U21" s="98"/>
      <c r="V21" s="98"/>
      <c r="W21" s="98"/>
      <c r="X21" s="98"/>
      <c r="Y21" s="98"/>
      <c r="Z21" s="98"/>
    </row>
    <row r="22">
      <c r="A22" s="116" t="s">
        <v>187</v>
      </c>
      <c r="B22" s="98"/>
      <c r="C22" s="98"/>
      <c r="D22" s="98"/>
      <c r="E22" s="98"/>
      <c r="F22" s="98"/>
      <c r="G22" s="98"/>
      <c r="H22" s="98"/>
      <c r="I22" s="98"/>
      <c r="J22" s="98"/>
      <c r="K22" s="98"/>
      <c r="L22" s="98"/>
      <c r="M22" s="98"/>
      <c r="N22" s="98"/>
      <c r="O22" s="98"/>
      <c r="P22" s="98"/>
      <c r="Q22" s="98"/>
      <c r="R22" s="98"/>
      <c r="S22" s="98"/>
      <c r="T22" s="98"/>
      <c r="U22" s="98"/>
      <c r="V22" s="98"/>
      <c r="W22" s="98"/>
      <c r="X22" s="98"/>
      <c r="Y22" s="98"/>
      <c r="Z22" s="98"/>
    </row>
    <row r="23">
      <c r="A23" s="117" t="s">
        <v>188</v>
      </c>
      <c r="B23" s="98"/>
      <c r="C23" s="98"/>
      <c r="D23" s="98"/>
      <c r="E23" s="98"/>
      <c r="F23" s="98"/>
      <c r="G23" s="98"/>
      <c r="H23" s="98"/>
      <c r="I23" s="98"/>
      <c r="J23" s="98"/>
      <c r="K23" s="98"/>
      <c r="L23" s="98"/>
      <c r="M23" s="98"/>
      <c r="N23" s="98"/>
      <c r="O23" s="98"/>
      <c r="P23" s="98"/>
      <c r="Q23" s="98"/>
      <c r="R23" s="98"/>
      <c r="S23" s="98"/>
      <c r="T23" s="98"/>
      <c r="U23" s="98"/>
      <c r="V23" s="98"/>
      <c r="W23" s="98"/>
      <c r="X23" s="98"/>
      <c r="Y23" s="98"/>
      <c r="Z23" s="98"/>
    </row>
    <row r="24">
      <c r="A24" s="118" t="s">
        <v>189</v>
      </c>
      <c r="B24" s="98"/>
      <c r="C24" s="98"/>
      <c r="D24" s="98"/>
      <c r="E24" s="98"/>
      <c r="F24" s="98"/>
      <c r="G24" s="98"/>
      <c r="H24" s="98"/>
      <c r="I24" s="98"/>
      <c r="J24" s="98"/>
      <c r="K24" s="98"/>
      <c r="L24" s="98"/>
      <c r="M24" s="98"/>
      <c r="N24" s="98"/>
      <c r="O24" s="98"/>
      <c r="P24" s="98"/>
      <c r="Q24" s="98"/>
      <c r="R24" s="98"/>
      <c r="S24" s="98"/>
      <c r="T24" s="98"/>
      <c r="U24" s="98"/>
      <c r="V24" s="98"/>
      <c r="W24" s="98"/>
      <c r="X24" s="98"/>
      <c r="Y24" s="98"/>
      <c r="Z24" s="98"/>
    </row>
    <row r="25">
      <c r="A25" s="119" t="s">
        <v>190</v>
      </c>
      <c r="B25" s="98"/>
      <c r="C25" s="98"/>
      <c r="D25" s="98"/>
      <c r="E25" s="98"/>
      <c r="F25" s="98"/>
      <c r="G25" s="98"/>
      <c r="H25" s="98"/>
      <c r="I25" s="98"/>
      <c r="J25" s="98"/>
      <c r="K25" s="98"/>
      <c r="L25" s="98"/>
      <c r="M25" s="98"/>
      <c r="N25" s="98"/>
      <c r="O25" s="98"/>
      <c r="P25" s="98"/>
      <c r="Q25" s="98"/>
      <c r="R25" s="98"/>
      <c r="S25" s="98"/>
      <c r="T25" s="98"/>
      <c r="U25" s="98"/>
      <c r="V25" s="98"/>
      <c r="W25" s="98"/>
      <c r="X25" s="98"/>
      <c r="Y25" s="98"/>
      <c r="Z25" s="98"/>
    </row>
    <row r="26">
      <c r="A26" s="120" t="s">
        <v>191</v>
      </c>
      <c r="B26" s="98"/>
      <c r="C26" s="98"/>
      <c r="D26" s="98"/>
      <c r="E26" s="98"/>
      <c r="F26" s="98"/>
      <c r="G26" s="98"/>
      <c r="H26" s="98"/>
      <c r="I26" s="98"/>
      <c r="J26" s="98"/>
      <c r="K26" s="98"/>
      <c r="L26" s="98"/>
      <c r="M26" s="98"/>
      <c r="N26" s="98"/>
      <c r="O26" s="98"/>
      <c r="P26" s="98"/>
      <c r="Q26" s="98"/>
      <c r="R26" s="98"/>
      <c r="S26" s="98"/>
      <c r="T26" s="98"/>
      <c r="U26" s="98"/>
      <c r="V26" s="98"/>
      <c r="W26" s="98"/>
      <c r="X26" s="98"/>
      <c r="Y26" s="98"/>
      <c r="Z26" s="98"/>
    </row>
    <row r="27">
      <c r="A27" s="121" t="s">
        <v>192</v>
      </c>
      <c r="B27" s="98"/>
      <c r="C27" s="98"/>
      <c r="D27" s="98"/>
      <c r="E27" s="98"/>
      <c r="F27" s="98"/>
      <c r="G27" s="98"/>
      <c r="H27" s="98"/>
      <c r="I27" s="98"/>
      <c r="J27" s="98"/>
      <c r="K27" s="98"/>
      <c r="L27" s="98"/>
      <c r="M27" s="98"/>
      <c r="N27" s="98"/>
      <c r="O27" s="98"/>
      <c r="P27" s="98"/>
      <c r="Q27" s="98"/>
      <c r="R27" s="98"/>
      <c r="S27" s="98"/>
      <c r="T27" s="98"/>
      <c r="U27" s="98"/>
      <c r="V27" s="98"/>
      <c r="W27" s="98"/>
      <c r="X27" s="98"/>
      <c r="Y27" s="98"/>
      <c r="Z27" s="98"/>
    </row>
    <row r="28">
      <c r="A28" s="98"/>
      <c r="B28" s="98"/>
      <c r="C28" s="98"/>
      <c r="D28" s="98"/>
      <c r="E28" s="98"/>
      <c r="F28" s="98"/>
      <c r="G28" s="98"/>
      <c r="H28" s="98"/>
      <c r="I28" s="98"/>
      <c r="J28" s="98"/>
      <c r="K28" s="98"/>
      <c r="L28" s="98"/>
      <c r="M28" s="98"/>
      <c r="N28" s="98"/>
      <c r="O28" s="98"/>
      <c r="P28" s="98"/>
      <c r="Q28" s="98"/>
      <c r="R28" s="98"/>
      <c r="S28" s="98"/>
      <c r="T28" s="98"/>
      <c r="U28" s="98"/>
      <c r="V28" s="98"/>
      <c r="W28" s="98"/>
      <c r="X28" s="98"/>
      <c r="Y28" s="98"/>
      <c r="Z28" s="98"/>
    </row>
    <row r="29">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row>
    <row r="30">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row>
    <row r="31">
      <c r="A31" s="98"/>
      <c r="B31" s="98"/>
      <c r="C31" s="98"/>
      <c r="D31" s="98"/>
      <c r="E31" s="98"/>
      <c r="F31" s="98"/>
      <c r="G31" s="98"/>
      <c r="H31" s="98"/>
      <c r="I31" s="98"/>
      <c r="J31" s="98"/>
      <c r="K31" s="98"/>
      <c r="L31" s="98"/>
      <c r="M31" s="98"/>
      <c r="N31" s="98"/>
      <c r="O31" s="98"/>
      <c r="P31" s="98"/>
      <c r="Q31" s="98"/>
      <c r="R31" s="98"/>
      <c r="S31" s="98"/>
      <c r="T31" s="98"/>
      <c r="U31" s="98"/>
      <c r="V31" s="98"/>
      <c r="W31" s="98"/>
      <c r="X31" s="98"/>
      <c r="Y31" s="98"/>
      <c r="Z31" s="98"/>
    </row>
    <row r="32">
      <c r="A32" s="98"/>
      <c r="B32" s="98"/>
      <c r="C32" s="98"/>
      <c r="D32" s="98"/>
      <c r="E32" s="98"/>
      <c r="F32" s="98"/>
      <c r="G32" s="98"/>
      <c r="H32" s="98"/>
      <c r="I32" s="98"/>
      <c r="J32" s="98"/>
      <c r="K32" s="98"/>
      <c r="L32" s="98"/>
      <c r="M32" s="98"/>
      <c r="N32" s="98"/>
      <c r="O32" s="98"/>
      <c r="P32" s="98"/>
      <c r="Q32" s="98"/>
      <c r="R32" s="98"/>
      <c r="S32" s="98"/>
      <c r="T32" s="98"/>
      <c r="U32" s="98"/>
      <c r="V32" s="98"/>
      <c r="W32" s="98"/>
      <c r="X32" s="98"/>
      <c r="Y32" s="98"/>
      <c r="Z32" s="98"/>
    </row>
    <row r="33">
      <c r="A33" s="98"/>
      <c r="B33" s="98"/>
      <c r="C33" s="98"/>
      <c r="D33" s="98"/>
      <c r="E33" s="98"/>
      <c r="F33" s="98"/>
      <c r="G33" s="98"/>
      <c r="H33" s="98"/>
      <c r="I33" s="98"/>
      <c r="J33" s="98"/>
      <c r="K33" s="98"/>
      <c r="L33" s="98"/>
      <c r="M33" s="98"/>
      <c r="N33" s="98"/>
      <c r="O33" s="98"/>
      <c r="P33" s="98"/>
      <c r="Q33" s="98"/>
      <c r="R33" s="98"/>
      <c r="S33" s="98"/>
      <c r="T33" s="98"/>
      <c r="U33" s="98"/>
      <c r="V33" s="98"/>
      <c r="W33" s="98"/>
      <c r="X33" s="98"/>
      <c r="Y33" s="98"/>
      <c r="Z33" s="98"/>
    </row>
    <row r="34">
      <c r="A34" s="98"/>
      <c r="B34" s="98"/>
      <c r="C34" s="98"/>
      <c r="D34" s="98"/>
      <c r="E34" s="98"/>
      <c r="F34" s="98"/>
      <c r="G34" s="98"/>
      <c r="H34" s="98"/>
      <c r="I34" s="98"/>
      <c r="J34" s="98"/>
      <c r="K34" s="98"/>
      <c r="L34" s="98"/>
      <c r="M34" s="98"/>
      <c r="N34" s="98"/>
      <c r="O34" s="98"/>
      <c r="P34" s="98"/>
      <c r="Q34" s="98"/>
      <c r="R34" s="98"/>
      <c r="S34" s="98"/>
      <c r="T34" s="98"/>
      <c r="U34" s="98"/>
      <c r="V34" s="98"/>
      <c r="W34" s="98"/>
      <c r="X34" s="98"/>
      <c r="Y34" s="98"/>
      <c r="Z34" s="98"/>
    </row>
    <row r="35">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c r="A36" s="98"/>
      <c r="B36" s="98"/>
      <c r="C36" s="98"/>
      <c r="D36" s="98"/>
      <c r="E36" s="98"/>
      <c r="F36" s="98"/>
      <c r="G36" s="98"/>
      <c r="H36" s="98"/>
      <c r="I36" s="98"/>
      <c r="J36" s="98"/>
      <c r="K36" s="98"/>
      <c r="L36" s="98"/>
      <c r="M36" s="98"/>
      <c r="N36" s="98"/>
      <c r="O36" s="98"/>
      <c r="P36" s="98"/>
      <c r="Q36" s="98"/>
      <c r="R36" s="98"/>
      <c r="S36" s="98"/>
      <c r="T36" s="98"/>
      <c r="U36" s="98"/>
      <c r="V36" s="98"/>
      <c r="W36" s="98"/>
      <c r="X36" s="98"/>
      <c r="Y36" s="98"/>
      <c r="Z36" s="98"/>
    </row>
    <row r="37">
      <c r="A37" s="98"/>
      <c r="B37" s="98"/>
      <c r="C37" s="98"/>
      <c r="D37" s="98"/>
      <c r="E37" s="98"/>
      <c r="F37" s="98"/>
      <c r="G37" s="98"/>
      <c r="H37" s="98"/>
      <c r="I37" s="98"/>
      <c r="J37" s="98"/>
      <c r="K37" s="98"/>
      <c r="L37" s="98"/>
      <c r="M37" s="98"/>
      <c r="N37" s="98"/>
      <c r="O37" s="98"/>
      <c r="P37" s="98"/>
      <c r="Q37" s="98"/>
      <c r="R37" s="98"/>
      <c r="S37" s="98"/>
      <c r="T37" s="98"/>
      <c r="U37" s="98"/>
      <c r="V37" s="98"/>
      <c r="W37" s="98"/>
      <c r="X37" s="98"/>
      <c r="Y37" s="98"/>
      <c r="Z37" s="98"/>
    </row>
    <row r="38">
      <c r="A38" s="98"/>
      <c r="B38" s="98"/>
      <c r="C38" s="98"/>
      <c r="D38" s="98"/>
      <c r="E38" s="98"/>
      <c r="F38" s="98"/>
      <c r="G38" s="98"/>
      <c r="H38" s="98"/>
      <c r="I38" s="98"/>
      <c r="J38" s="98"/>
      <c r="K38" s="98"/>
      <c r="L38" s="98"/>
      <c r="M38" s="98"/>
      <c r="N38" s="98"/>
      <c r="O38" s="98"/>
      <c r="P38" s="98"/>
      <c r="Q38" s="98"/>
      <c r="R38" s="98"/>
      <c r="S38" s="98"/>
      <c r="T38" s="98"/>
      <c r="U38" s="98"/>
      <c r="V38" s="98"/>
      <c r="W38" s="98"/>
      <c r="X38" s="98"/>
      <c r="Y38" s="98"/>
      <c r="Z38" s="98"/>
    </row>
    <row r="39">
      <c r="A39" s="98"/>
      <c r="B39" s="98"/>
      <c r="C39" s="98"/>
      <c r="D39" s="98"/>
      <c r="E39" s="98"/>
      <c r="F39" s="98"/>
      <c r="G39" s="98"/>
      <c r="H39" s="98"/>
      <c r="I39" s="98"/>
      <c r="J39" s="98"/>
      <c r="K39" s="98"/>
      <c r="L39" s="98"/>
      <c r="M39" s="98"/>
      <c r="N39" s="98"/>
      <c r="O39" s="98"/>
      <c r="P39" s="98"/>
      <c r="Q39" s="98"/>
      <c r="R39" s="98"/>
      <c r="S39" s="98"/>
      <c r="T39" s="98"/>
      <c r="U39" s="98"/>
      <c r="V39" s="98"/>
      <c r="W39" s="98"/>
      <c r="X39" s="98"/>
      <c r="Y39" s="98"/>
      <c r="Z39" s="98"/>
    </row>
    <row r="40">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row>
    <row r="41">
      <c r="A41" s="98"/>
      <c r="B41" s="98"/>
      <c r="C41" s="98"/>
      <c r="D41" s="98"/>
      <c r="E41" s="98"/>
      <c r="F41" s="98"/>
      <c r="G41" s="98"/>
      <c r="H41" s="98"/>
      <c r="I41" s="98"/>
      <c r="J41" s="98"/>
      <c r="K41" s="98"/>
      <c r="L41" s="98"/>
      <c r="M41" s="98"/>
      <c r="N41" s="98"/>
      <c r="O41" s="98"/>
      <c r="P41" s="98"/>
      <c r="Q41" s="98"/>
      <c r="R41" s="98"/>
      <c r="S41" s="98"/>
      <c r="T41" s="98"/>
      <c r="U41" s="98"/>
      <c r="V41" s="98"/>
      <c r="W41" s="98"/>
      <c r="X41" s="98"/>
      <c r="Y41" s="98"/>
      <c r="Z41" s="98"/>
    </row>
    <row r="42">
      <c r="A42" s="98"/>
      <c r="B42" s="98"/>
      <c r="C42" s="98"/>
      <c r="D42" s="98"/>
      <c r="E42" s="98"/>
      <c r="F42" s="98"/>
      <c r="G42" s="98"/>
      <c r="H42" s="98"/>
      <c r="I42" s="98"/>
      <c r="J42" s="98"/>
      <c r="K42" s="98"/>
      <c r="L42" s="98"/>
      <c r="M42" s="98"/>
      <c r="N42" s="98"/>
      <c r="O42" s="98"/>
      <c r="P42" s="98"/>
      <c r="Q42" s="98"/>
      <c r="R42" s="98"/>
      <c r="S42" s="98"/>
      <c r="T42" s="98"/>
      <c r="U42" s="98"/>
      <c r="V42" s="98"/>
      <c r="W42" s="98"/>
      <c r="X42" s="98"/>
      <c r="Y42" s="98"/>
      <c r="Z42" s="98"/>
    </row>
    <row r="43">
      <c r="A43" s="98"/>
      <c r="B43" s="98"/>
      <c r="C43" s="98"/>
      <c r="D43" s="98"/>
      <c r="E43" s="98"/>
      <c r="F43" s="98"/>
      <c r="G43" s="98"/>
      <c r="H43" s="98"/>
      <c r="I43" s="98"/>
      <c r="J43" s="98"/>
      <c r="K43" s="98"/>
      <c r="L43" s="98"/>
      <c r="M43" s="98"/>
      <c r="N43" s="98"/>
      <c r="O43" s="98"/>
      <c r="P43" s="98"/>
      <c r="Q43" s="98"/>
      <c r="R43" s="98"/>
      <c r="S43" s="98"/>
      <c r="T43" s="98"/>
      <c r="U43" s="98"/>
      <c r="V43" s="98"/>
      <c r="W43" s="98"/>
      <c r="X43" s="98"/>
      <c r="Y43" s="98"/>
      <c r="Z43" s="98"/>
    </row>
    <row r="44">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c r="A46" s="98"/>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c r="A47" s="98"/>
      <c r="B47" s="98"/>
      <c r="C47" s="98"/>
      <c r="D47" s="98"/>
      <c r="E47" s="98"/>
      <c r="F47" s="98"/>
      <c r="G47" s="98"/>
      <c r="H47" s="98"/>
      <c r="I47" s="98"/>
      <c r="J47" s="98"/>
      <c r="K47" s="98"/>
      <c r="L47" s="98"/>
      <c r="M47" s="98"/>
      <c r="N47" s="98"/>
      <c r="O47" s="98"/>
      <c r="P47" s="98"/>
      <c r="Q47" s="98"/>
      <c r="R47" s="98"/>
      <c r="S47" s="98"/>
      <c r="T47" s="98"/>
      <c r="U47" s="98"/>
      <c r="V47" s="98"/>
      <c r="W47" s="98"/>
      <c r="X47" s="98"/>
      <c r="Y47" s="98"/>
      <c r="Z47" s="98"/>
    </row>
    <row r="48">
      <c r="A48" s="98"/>
      <c r="B48" s="98"/>
      <c r="C48" s="98"/>
      <c r="D48" s="98"/>
      <c r="E48" s="98"/>
      <c r="F48" s="98"/>
      <c r="G48" s="98"/>
      <c r="H48" s="98"/>
      <c r="I48" s="98"/>
      <c r="J48" s="98"/>
      <c r="K48" s="98"/>
      <c r="L48" s="98"/>
      <c r="M48" s="98"/>
      <c r="N48" s="98"/>
      <c r="O48" s="98"/>
      <c r="P48" s="98"/>
      <c r="Q48" s="98"/>
      <c r="R48" s="98"/>
      <c r="S48" s="98"/>
      <c r="T48" s="98"/>
      <c r="U48" s="98"/>
      <c r="V48" s="98"/>
      <c r="W48" s="98"/>
      <c r="X48" s="98"/>
      <c r="Y48" s="98"/>
      <c r="Z48" s="98"/>
    </row>
    <row r="49">
      <c r="A49" s="98"/>
      <c r="B49" s="98"/>
      <c r="C49" s="98"/>
      <c r="D49" s="98"/>
      <c r="E49" s="98"/>
      <c r="F49" s="98"/>
      <c r="G49" s="98"/>
      <c r="H49" s="98"/>
      <c r="I49" s="98"/>
      <c r="J49" s="98"/>
      <c r="K49" s="98"/>
      <c r="L49" s="98"/>
      <c r="M49" s="98"/>
      <c r="N49" s="98"/>
      <c r="O49" s="98"/>
      <c r="P49" s="98"/>
      <c r="Q49" s="98"/>
      <c r="R49" s="98"/>
      <c r="S49" s="98"/>
      <c r="T49" s="98"/>
      <c r="U49" s="98"/>
      <c r="V49" s="98"/>
      <c r="W49" s="98"/>
      <c r="X49" s="98"/>
      <c r="Y49" s="98"/>
      <c r="Z49" s="98"/>
    </row>
    <row r="50">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c r="A51" s="98"/>
      <c r="B51" s="98"/>
      <c r="C51" s="98"/>
      <c r="D51" s="98"/>
      <c r="E51" s="98"/>
      <c r="F51" s="98"/>
      <c r="G51" s="98"/>
      <c r="H51" s="98"/>
      <c r="I51" s="98"/>
      <c r="J51" s="98"/>
      <c r="K51" s="98"/>
      <c r="L51" s="98"/>
      <c r="M51" s="98"/>
      <c r="N51" s="98"/>
      <c r="O51" s="98"/>
      <c r="P51" s="98"/>
      <c r="Q51" s="98"/>
      <c r="R51" s="98"/>
      <c r="S51" s="98"/>
      <c r="T51" s="98"/>
      <c r="U51" s="98"/>
      <c r="V51" s="98"/>
      <c r="W51" s="98"/>
      <c r="X51" s="98"/>
      <c r="Y51" s="98"/>
      <c r="Z51" s="98"/>
    </row>
    <row r="52">
      <c r="A52" s="98"/>
      <c r="B52" s="98"/>
      <c r="C52" s="98"/>
      <c r="D52" s="98"/>
      <c r="E52" s="98"/>
      <c r="F52" s="98"/>
      <c r="G52" s="98"/>
      <c r="H52" s="98"/>
      <c r="I52" s="98"/>
      <c r="J52" s="98"/>
      <c r="K52" s="98"/>
      <c r="L52" s="98"/>
      <c r="M52" s="98"/>
      <c r="N52" s="98"/>
      <c r="O52" s="98"/>
      <c r="P52" s="98"/>
      <c r="Q52" s="98"/>
      <c r="R52" s="98"/>
      <c r="S52" s="98"/>
      <c r="T52" s="98"/>
      <c r="U52" s="98"/>
      <c r="V52" s="98"/>
      <c r="W52" s="98"/>
      <c r="X52" s="98"/>
      <c r="Y52" s="98"/>
      <c r="Z52" s="98"/>
    </row>
    <row r="53">
      <c r="A53" s="98"/>
      <c r="B53" s="98"/>
      <c r="C53" s="98"/>
      <c r="D53" s="98"/>
      <c r="E53" s="98"/>
      <c r="F53" s="98"/>
      <c r="G53" s="98"/>
      <c r="H53" s="98"/>
      <c r="I53" s="98"/>
      <c r="J53" s="98"/>
      <c r="K53" s="98"/>
      <c r="L53" s="98"/>
      <c r="M53" s="98"/>
      <c r="N53" s="98"/>
      <c r="O53" s="98"/>
      <c r="P53" s="98"/>
      <c r="Q53" s="98"/>
      <c r="R53" s="98"/>
      <c r="S53" s="98"/>
      <c r="T53" s="98"/>
      <c r="U53" s="98"/>
      <c r="V53" s="98"/>
      <c r="W53" s="98"/>
      <c r="X53" s="98"/>
      <c r="Y53" s="98"/>
      <c r="Z53" s="98"/>
    </row>
    <row r="54">
      <c r="A54" s="98"/>
      <c r="B54" s="98"/>
      <c r="C54" s="98"/>
      <c r="D54" s="98"/>
      <c r="E54" s="98"/>
      <c r="F54" s="98"/>
      <c r="G54" s="98"/>
      <c r="H54" s="98"/>
      <c r="I54" s="98"/>
      <c r="J54" s="98"/>
      <c r="K54" s="98"/>
      <c r="L54" s="98"/>
      <c r="M54" s="98"/>
      <c r="N54" s="98"/>
      <c r="O54" s="98"/>
      <c r="P54" s="98"/>
      <c r="Q54" s="98"/>
      <c r="R54" s="98"/>
      <c r="S54" s="98"/>
      <c r="T54" s="98"/>
      <c r="U54" s="98"/>
      <c r="V54" s="98"/>
      <c r="W54" s="98"/>
      <c r="X54" s="98"/>
      <c r="Y54" s="98"/>
      <c r="Z54" s="98"/>
    </row>
    <row r="55">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row>
    <row r="56">
      <c r="A56" s="98"/>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c r="A57" s="98"/>
      <c r="B57" s="98"/>
      <c r="C57" s="98"/>
      <c r="D57" s="98"/>
      <c r="E57" s="98"/>
      <c r="F57" s="98"/>
      <c r="G57" s="98"/>
      <c r="H57" s="98"/>
      <c r="I57" s="98"/>
      <c r="J57" s="98"/>
      <c r="K57" s="98"/>
      <c r="L57" s="98"/>
      <c r="M57" s="98"/>
      <c r="N57" s="98"/>
      <c r="O57" s="98"/>
      <c r="P57" s="98"/>
      <c r="Q57" s="98"/>
      <c r="R57" s="98"/>
      <c r="S57" s="98"/>
      <c r="T57" s="98"/>
      <c r="U57" s="98"/>
      <c r="V57" s="98"/>
      <c r="W57" s="98"/>
      <c r="X57" s="98"/>
      <c r="Y57" s="98"/>
      <c r="Z57" s="98"/>
    </row>
    <row r="58">
      <c r="A58" s="98"/>
      <c r="B58" s="98"/>
      <c r="C58" s="98"/>
      <c r="D58" s="98"/>
      <c r="E58" s="98"/>
      <c r="F58" s="98"/>
      <c r="G58" s="98"/>
      <c r="H58" s="98"/>
      <c r="I58" s="98"/>
      <c r="J58" s="98"/>
      <c r="K58" s="98"/>
      <c r="L58" s="98"/>
      <c r="M58" s="98"/>
      <c r="N58" s="98"/>
      <c r="O58" s="98"/>
      <c r="P58" s="98"/>
      <c r="Q58" s="98"/>
      <c r="R58" s="98"/>
      <c r="S58" s="98"/>
      <c r="T58" s="98"/>
      <c r="U58" s="98"/>
      <c r="V58" s="98"/>
      <c r="W58" s="98"/>
      <c r="X58" s="98"/>
      <c r="Y58" s="98"/>
      <c r="Z58" s="98"/>
    </row>
    <row r="59">
      <c r="A59" s="98"/>
      <c r="B59" s="98"/>
      <c r="C59" s="98"/>
      <c r="D59" s="98"/>
      <c r="E59" s="98"/>
      <c r="F59" s="98"/>
      <c r="G59" s="98"/>
      <c r="H59" s="98"/>
      <c r="I59" s="98"/>
      <c r="J59" s="98"/>
      <c r="K59" s="98"/>
      <c r="L59" s="98"/>
      <c r="M59" s="98"/>
      <c r="N59" s="98"/>
      <c r="O59" s="98"/>
      <c r="P59" s="98"/>
      <c r="Q59" s="98"/>
      <c r="R59" s="98"/>
      <c r="S59" s="98"/>
      <c r="T59" s="98"/>
      <c r="U59" s="98"/>
      <c r="V59" s="98"/>
      <c r="W59" s="98"/>
      <c r="X59" s="98"/>
      <c r="Y59" s="98"/>
      <c r="Z59" s="98"/>
    </row>
    <row r="60">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c r="A61" s="98"/>
      <c r="B61" s="98"/>
      <c r="C61" s="98"/>
      <c r="D61" s="98"/>
      <c r="E61" s="98"/>
      <c r="F61" s="98"/>
      <c r="G61" s="98"/>
      <c r="H61" s="98"/>
      <c r="I61" s="98"/>
      <c r="J61" s="98"/>
      <c r="K61" s="98"/>
      <c r="L61" s="98"/>
      <c r="M61" s="98"/>
      <c r="N61" s="98"/>
      <c r="O61" s="98"/>
      <c r="P61" s="98"/>
      <c r="Q61" s="98"/>
      <c r="R61" s="98"/>
      <c r="S61" s="98"/>
      <c r="T61" s="98"/>
      <c r="U61" s="98"/>
      <c r="V61" s="98"/>
      <c r="W61" s="98"/>
      <c r="X61" s="98"/>
      <c r="Y61" s="98"/>
      <c r="Z61" s="98"/>
    </row>
    <row r="62">
      <c r="A62" s="98"/>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row>
    <row r="64">
      <c r="A64" s="98"/>
      <c r="B64" s="98"/>
      <c r="C64" s="98"/>
      <c r="D64" s="98"/>
      <c r="E64" s="98"/>
      <c r="F64" s="98"/>
      <c r="G64" s="98"/>
      <c r="H64" s="98"/>
      <c r="I64" s="98"/>
      <c r="J64" s="98"/>
      <c r="K64" s="98"/>
      <c r="L64" s="98"/>
      <c r="M64" s="98"/>
      <c r="N64" s="98"/>
      <c r="O64" s="98"/>
      <c r="P64" s="98"/>
      <c r="Q64" s="98"/>
      <c r="R64" s="98"/>
      <c r="S64" s="98"/>
      <c r="T64" s="98"/>
      <c r="U64" s="98"/>
      <c r="V64" s="98"/>
      <c r="W64" s="98"/>
      <c r="X64" s="98"/>
      <c r="Y64" s="98"/>
      <c r="Z64" s="98"/>
    </row>
    <row r="65">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c r="A67" s="98"/>
      <c r="B67" s="98"/>
      <c r="C67" s="98"/>
      <c r="D67" s="98"/>
      <c r="E67" s="98"/>
      <c r="F67" s="98"/>
      <c r="G67" s="98"/>
      <c r="H67" s="98"/>
      <c r="I67" s="98"/>
      <c r="J67" s="98"/>
      <c r="K67" s="98"/>
      <c r="L67" s="98"/>
      <c r="M67" s="98"/>
      <c r="N67" s="98"/>
      <c r="O67" s="98"/>
      <c r="P67" s="98"/>
      <c r="Q67" s="98"/>
      <c r="R67" s="98"/>
      <c r="S67" s="98"/>
      <c r="T67" s="98"/>
      <c r="U67" s="98"/>
      <c r="V67" s="98"/>
      <c r="W67" s="98"/>
      <c r="X67" s="98"/>
      <c r="Y67" s="98"/>
      <c r="Z67" s="98"/>
    </row>
    <row r="68">
      <c r="A68" s="98"/>
      <c r="B68" s="98"/>
      <c r="C68" s="98"/>
      <c r="D68" s="98"/>
      <c r="E68" s="98"/>
      <c r="F68" s="98"/>
      <c r="G68" s="98"/>
      <c r="H68" s="98"/>
      <c r="I68" s="98"/>
      <c r="J68" s="98"/>
      <c r="K68" s="98"/>
      <c r="L68" s="98"/>
      <c r="M68" s="98"/>
      <c r="N68" s="98"/>
      <c r="O68" s="98"/>
      <c r="P68" s="98"/>
      <c r="Q68" s="98"/>
      <c r="R68" s="98"/>
      <c r="S68" s="98"/>
      <c r="T68" s="98"/>
      <c r="U68" s="98"/>
      <c r="V68" s="98"/>
      <c r="W68" s="98"/>
      <c r="X68" s="98"/>
      <c r="Y68" s="98"/>
      <c r="Z68" s="98"/>
    </row>
    <row r="69">
      <c r="A69" s="98"/>
      <c r="B69" s="98"/>
      <c r="C69" s="98"/>
      <c r="D69" s="98"/>
      <c r="E69" s="98"/>
      <c r="F69" s="98"/>
      <c r="G69" s="98"/>
      <c r="H69" s="98"/>
      <c r="I69" s="98"/>
      <c r="J69" s="98"/>
      <c r="K69" s="98"/>
      <c r="L69" s="98"/>
      <c r="M69" s="98"/>
      <c r="N69" s="98"/>
      <c r="O69" s="98"/>
      <c r="P69" s="98"/>
      <c r="Q69" s="98"/>
      <c r="R69" s="98"/>
      <c r="S69" s="98"/>
      <c r="T69" s="98"/>
      <c r="U69" s="98"/>
      <c r="V69" s="98"/>
      <c r="W69" s="98"/>
      <c r="X69" s="98"/>
      <c r="Y69" s="98"/>
      <c r="Z69" s="98"/>
    </row>
    <row r="70">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row>
    <row r="7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row>
    <row r="74">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row>
    <row r="75">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row>
    <row r="76">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row>
    <row r="79">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row>
    <row r="80">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row>
    <row r="8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row>
    <row r="84">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row>
    <row r="85">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row>
    <row r="86">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row>
    <row r="8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row>
    <row r="88">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row>
    <row r="89">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row>
    <row r="90">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row>
    <row r="9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row>
    <row r="92">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row>
    <row r="93">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row>
    <row r="94">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row>
    <row r="95">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row>
    <row r="96">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row>
    <row r="97">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row>
    <row r="98">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row>
    <row r="99">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row>
    <row r="100">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row>
    <row r="10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row>
    <row r="104">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row>
    <row r="105">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row>
    <row r="106">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row>
    <row r="109">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row>
    <row r="110">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row>
    <row r="11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row>
    <row r="115">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row>
    <row r="116">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row>
    <row r="117">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row>
    <row r="120">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row>
    <row r="12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row>
    <row r="122">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row r="1001">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row>
  </sheetData>
  <dataValidations>
    <dataValidation type="list" allowBlank="1" showErrorMessage="1" sqref="A3:A5 A7:A11">
      <formula1>"5W1H,Base,CoT,tldr,Heading,Jeremy,Begoña,Alba,Naiara"</formula1>
    </dataValidation>
    <dataValidation type="list" allowBlank="1" showErrorMessage="1" sqref="A2">
      <formula1>"5W1H,Base,CoT,tldr"</formula1>
    </dataValidation>
  </dataValidations>
  <drawing r:id="rId1"/>
</worksheet>
</file>