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comments7.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9.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ummary" sheetId="1" state="visible" r:id="rId3"/>
    <sheet name="🖐🏾 Human" sheetId="2" state="visible" r:id="rId4"/>
    <sheet name="🤖 Claude Haiku 3.5" sheetId="3" state="visible" r:id="rId5"/>
    <sheet name="🤖 Command R+" sheetId="4" state="visible" r:id="rId6"/>
    <sheet name="🤖 GPT 4o" sheetId="5" state="visible" r:id="rId7"/>
    <sheet name="🤖 Reka Flash" sheetId="6" state="visible" r:id="rId8"/>
    <sheet name="🤖 Llama-3.1-70b-instruct" sheetId="7" state="visible" r:id="rId9"/>
    <sheet name="📚 Glossary" sheetId="8" state="visible" r:id="rId10"/>
    <sheet name="__flatlist__" sheetId="9" state="hidden" r:id="rId11"/>
    <sheet name="✏️ Notes" sheetId="10" state="visible" r:id="rId12"/>
    <sheet name="__lookup__" sheetId="11" state="hidden" r:id="rId13"/>
  </sheets>
  <definedNames>
    <definedName function="false" hidden="true" localSheetId="0" name="_xlnm._FilterDatabase" vbProcedure="false">Summary!$A$1:$K$23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rFont val="Arial"/>
            <family val="2"/>
          </rPr>
          <t xml:space="preserve">Relevance - selection of important content from the source. The summary should include only important information from the source document.</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E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rFont val="Arial"/>
            <family val="2"/>
          </rPr>
          <t xml:space="preserve">Relevance - selection of important content from the source. The summary should include only important information from the source document.</t>
        </r>
      </text>
    </comment>
  </commentList>
</comments>
</file>

<file path=xl/sharedStrings.xml><?xml version="1.0" encoding="utf-8"?>
<sst xmlns="http://schemas.openxmlformats.org/spreadsheetml/2006/main" count="1910" uniqueCount="304">
  <si>
    <t xml:space="preserve">ID</t>
  </si>
  <si>
    <t xml:space="preserve">Model</t>
  </si>
  <si>
    <t xml:space="preserve">Prompt</t>
  </si>
  <si>
    <t xml:space="preserve">wc</t>
  </si>
  <si>
    <t xml:space="preserve">Coherence</t>
  </si>
  <si>
    <t xml:space="preserve">Consistency</t>
  </si>
  <si>
    <t xml:space="preserve">Fluency</t>
  </si>
  <si>
    <t xml:space="preserve">Relevance</t>
  </si>
  <si>
    <t xml:space="preserve">5W1H</t>
  </si>
  <si>
    <t xml:space="preserve">avg</t>
  </si>
  <si>
    <t xml:space="preserve">rank</t>
  </si>
  <si>
    <t xml:space="preserve">coh</t>
  </si>
  <si>
    <t xml:space="preserve">cons</t>
  </si>
  <si>
    <t xml:space="preserve">fluen</t>
  </si>
  <si>
    <t xml:space="preserve">rel</t>
  </si>
  <si>
    <t xml:space="preserve">Human</t>
  </si>
  <si>
    <t xml:space="preserve">Heading</t>
  </si>
  <si>
    <t xml:space="preserve">Claude Sonnet 3.5</t>
  </si>
  <si>
    <t xml:space="preserve">Base</t>
  </si>
  <si>
    <t xml:space="preserve">CoT</t>
  </si>
  <si>
    <t xml:space="preserve">tldr</t>
  </si>
  <si>
    <t xml:space="preserve">Command R+</t>
  </si>
  <si>
    <t xml:space="preserve">GPT 4o</t>
  </si>
  <si>
    <t xml:space="preserve">Reka Core</t>
  </si>
  <si>
    <t xml:space="preserve">Llama-3.1-70b-instruct</t>
  </si>
  <si>
    <t xml:space="preserve">AVERAGE</t>
  </si>
  <si>
    <t xml:space="preserve">STDEV</t>
  </si>
  <si>
    <t xml:space="preserve">Text</t>
  </si>
  <si>
    <t xml:space="preserve">Author</t>
  </si>
  <si>
    <t xml:space="preserve">Summary</t>
  </si>
  <si>
    <t xml:space="preserve">https://www.berria.eus/mundua/aragonesek-lehen-lerro-politikoa-utziko-du_2125045_102.html</t>
  </si>
  <si>
    <t xml:space="preserve">Pere Aragones Generalitateko presidenteak agur erran dio politikaren lehen lerroari. ERCk «oso emaitza txarrak» izan dituela onartu du, eta, beraz, ez duela Kataluniako Parlamentuko diputatu akta hartuko. Alderdiaren zuzendaritzak bilera egin du gaur goizean, eta horren ostean eman du Aragonesek erabakiaren berri. Dena den, jarduneko presidente lanetan jarraituko duela zehaztu du, alderdiarekiko eta herriarekiko duen «arduragatik».
Bere gain hartu du hamahiru legebiltzarkide galtzearen ardura: 2021eko bozen aldean, 178.000 boto galdu ditu, eta 2017koen aldean, 508.000. Gainbehera hori, baina, PSCren eta Juntsen «etengabeko blokeoari» ere egotzi dio. Gehitu du «gehiengo independentista» galdu egin dela, eta Kataluniak «eskuinerantz» egin duela.
Nuria Parlon PSCko zuzendaritzako bozeramaileak ere adierazpenak egin ditu, eta erran sozialistei dagokiela «Kataluniako etorkizunaren buru izatea». Hortaz, alderdi guztiekin elkarrizketak abiatuko dituztela iragarri du, «gorro diskurtsoak sustatzen dituztenekin» izan ezik.
Argitu du Katalunian agintzeko modu hoberena alderdi progresisten arteko akordio bat dela, baina ez dutela baztertzen gutxiengoan agintzea; beti ere aldian aldiko akordioak kontutan izanda. Eredu «erakitzaile» baten alde eginen dutela azaldu du Parlonek: «Madrilgo gobernagarritasuna mehatxatzen badu ere, ez dugu Puigdemont babestuko».
Izan ere, Carles Puigdemont Juntseko hautagaiak gaur baieztatu du inbestidurara aurkeztuko dela. «Gehiengo koherente bat bildu dezakegu, ez absolutua, [Salvador] Illarena baino zabalagoa. Hautagai sozialistaren aukerek PP hartzen dute barne, nahitaez», borobildu du. Juntsekoak bigarren indarra dira –35 eserlekurekin–, PSCren gibeletik –42 dituzte sozialistek–. Gogoratu du alderdi subiranistek 55 eserleku dituztela –Juntsek, 35, eta ERCk, 20–, eta bertze talderen batekin agindu dezaketela. Sozialistek, ordea, ERC behar dute, bien artean eta Comuns Sumarrekoen eserlekuak gehituta soilik baitituzte 68 eserleku –gehiengo osoa–.
Aurreratu du ERCrekin harremanetan jartzen hasiak direla dagoeneko, eta zehaztu Juntsek ez duela akordiorik eginen sozialistekin: «Oraindik urrun gaude [ERCrekin] negoziazio esparru bat ezartzetik, baldin eta horretarako aukerarik badago». Halere, Aragonesek erran du sozialistek eta Juntsek emaitzak hobetu dituztela, eta haiei dagokiela gobernuan egotea. «Herritarren erabakia onartzea erabaki dugu: oposizioan egotea dagokigu. PSCk eta Juntsek ulertu beharko dute elkar, eta egoera hau kudeatu».
Katalunian egindako akordioek Espainiako Gobernuan zer eragin izango duten galdetuta, Puigdemontek argitu du hurrengo presidentearen inbestidura saioan gertatzen denak baldintzatuko duela JxC Junts per Catalunyak Espainiako Gobernuari eskainiko dion babesa. Izan ere, azaldu du PSCk PP «besarkatzen» badu JxCk eta PSOEk Madrilen duten akordioa «zentzurik gabe» geldituko dela. «Ezin dut imajinatu PSCk akordio jakin batzuk PPren babesarekin aplikatzea». Haren hitzetan, PP alderdi «hain gaiztoa» da, ezen Pedro Sanchez Espainiako Gobernuko presidenteari agintean jarraitzea plantearazi baitzion.
Akordio gosea
Bien bitartean, Comuns Sumarrekoak prest daude ezkerreko gobernua osatzeko PSCrekin eta ERCrekin. Hala adierazi zuen atzo Jessica Albiach Comuns Sumarreko hautagaiak, eta hala berretsi du gaur David Cid taldeko bozeramaileak. TV3 katean egindako elkarrizketa batean zehaztu du «espero» zituzten emaitzak lortu dituztela –sei eserleku lortu dituzte, 2021ekoen aldean bi galduta–: «Gure emaitzen analisi kritikoa egin beharko dugu».
Zehaztu du bere taldeak lan eginen duela ezkerreko gobernu bat izatea errealitate bilakatu dadin, eta, atzo gaueko emaitzak ikusita, hiru aukera posible bertzerik ez du ikusten: PSC, ERC eta Comuns Sumar taldeen arteko akordioa; PSC eta Junts alderdien artekoa; edo hauteskundeak berriz ere egitea. Erran duenez, orain legebiltzarrean ez dagoela gehiengo independentistarik, eta, hortaz, akordio bat negoziatzeko «borondatea» dute.
Bide horretatik mintzatu da Monica Garcia Espainiako Gobernuko Osasun ministroa, eta erran hauteskundeek «gobernu progresista bat» izateko aukera ematen dutela; hala, zehaztu du Comuns Sumar «funtsezkoa» izanen dela horretan. Salvador Illa PSCko burua zoriondu du.
PPko hautagai Alejandro Fernandezek, berriz, adierazi du ez duela PSCren gobernua babestuko: «Ez dugu parte hartuko Katalunian eta Espainiako gainerako herrialdeetan separatismoak giltza izatea ekarriko duen ezein operazio politikotan. Illari gure botoak eman, gero Pedro Sanchezek [Carles] Puigdemontekin dituen akordioekin jarrai dezan; hori ez da gertatuko».
Espainiako telebista publikoan egin diote elkarrizketa Fernandezi, eta pozik agertu da lortutako emaitzen inguruan. Hamabost eserleku lortu dituzte, 2021ean baino hamabi gehiago. «Atzo, Ciudadanosi botoa eman zioten 22.000 kataluniarrei dei egin nien. Ziur gaude badela modurik proiektu konstituzionalista irabazle bat berreraikitzeko, bere garaian Ciudadanos izan zena eta gaur egun Kataluniako PP ordezkatzen duena», zehaztu du. Izan ere, PPren gorakadarekin batera iritsi da Ciudadanosen gainbehera: sei eserleku zituzten orain dela lau urte, eta guztiak galdu dituzte.
Ponsati ere badoa
Kataluniako politika «iraultzeko» sortu zuten Alhora alderdia Clara Ponsatik eta Jordi Grauperak. Ordea, ez dute eserleku bakar bat ere lortu, eta Ponsatik gaur bertan iragarri du utzi eginen duela lehen lerro politikoa. X sare sozialaren bidez –lehen Twitter– egin ditu adierazpenak: «Proiektu independentista krisi handi batean dago, eta ez dugu jakin jendea konbentzitzen Alhoran baditugula ideiak hori aldatzen hasteko».
Zehaztu du atzoko emaitzak ikusita «birplanteatu» egin beharko dutela zein izanen den proiektuaren etorkizuna, eta uste duela bere egitekoa lehenbiziko lerrotik urrun dagoela. Halere, zehaztu du beharrezkoa dela planteatzea «borroka» horrekin nola jarraitu ahal den: «Gauza bat argi dago: ezin dugu [independentismoaren] borroka hau atzean utzi».
Euskal Herritik ere babesa
Andoni Ortuzar EBBko lehendakariarena izan da Euskal Herriko lehenbiziko erreakzioa. Ortuzarrek Junts eta PSC zoriondu ditu: «Politikaren, elkarrizketaren eta desberdinen arteko akordioak lortzeko gaitasunaren garaia da». Gehitu du atzoko bozek «Kataluniako politikaren konplexutasuna» erakusten dutela.
Eneko Andueza PSEko buruak, berriz, «emaitza historikoa» lortu izanagatik zoriondu zituen alderdikide katalanak. «Kataluniak aldi berri bat irekitzen du. Orain kataluniar guztientzat agintzeko garaia da».</t>
  </si>
  <si>
    <t xml:space="preserve">Aragonesek politikaren lehen lerroa utziko du. Puigdemontek iragarri du inbestidurara aurkeztuko dela, eta uste du Salvador Illarena baino gehiengo «zabalagoa» lortu ahal dutela. Halere, ERCk dio oposizioan egotea dagokiela.</t>
  </si>
  <si>
    <t xml:space="preserve">Begoña</t>
  </si>
  <si>
    <t xml:space="preserve">Pere Aragones Generalitateko presidenteak, ERCren emaitza txarrak direla-eta, ez du Kataluniako Parlamentuko diputatu akta hartuko. Dena den, jarduneko presidente lanetan jarraituko du. PSCko Nuria Parlonek, bere aldetik, esan du lderdi guztiekin elkarrizketak abiatuko dituztela eta Katalunian agintzeko modu onena alderdi progresisten arteko akordio bat dela. Carles Puigdemont Juntseko hautagaia ere inbestidurara aurkeztuko da, alderdi subiranistek 55 eserleku dituztenez –Juntsek, 35, eta ERCk, 20–, gehiengo koherente bat bildu dezaketela argudiatuta, eta aurreratu du ERCrekin harremanetan jartzen hasiak direla. Bestalde, Comuns Sumarrekoak prest daude ezkerreko gobernua osatzeko PSCrekin eta ERCrekin. PPko hautagai Alejandro Fernandezek, berriz, adierazi du ez duela PSCren gobernua babestuko.
Clara Ponsati eta Jordi Grauperaren Alhora alderdiak ez du eserlekurik lortu eta Ponsatik lehen lerro politikoa utziko du. Zehaztu duenez, atzoko emaitzak ikusita «birplanteatu» egin beharko dute zein izango den proiektuaren etorkizuna.</t>
  </si>
  <si>
    <t xml:space="preserve">https://www.berria.eus/kirola/derbi-bikoitza_2118881_102.html</t>
  </si>
  <si>
    <t xml:space="preserve">Zozketak derbi bikoitza ekarri du, eta zirrara handiko bi partida izango dira Espainiako Koparen final-zortzirenetan. Osasunak eta Realak elkarren aurka jokatuko dute Sadarren, eta Athleticek eta Alavesek, San Mamesen. Athletic-Alaves urtarrilaren 16an jokatuko da, 21:00etan. Osasunak Superkopako finalaurrekoa galtzen badu, Realaren aurkakoa 17an izango da, 21:00etan. Finalera pasatuz gero, Kopako kanporaketa 18an izango da, 19:30etan.
Ezuste gutxi izan dira Espainiako Kopan orain arte, eta zozketan Bigarren Mailako talde bakarra (Tenerife) eta Lehen Federazio Mailako beste talde bat (Unionistas) zeuden. Beste talde guztiak Lehen Mailakoak ziren; beraz, argi zegoen norgehiagoka interesgarriak egokituko zirela, baina inor gutxik espero zuen halako konbinaziorik.
Osasunarentzat berezia izango da oso Realaren aurkako partida. Etzi, Saudi Arabian jokatuko du Bartzelonaren aurka, Espainiako Superkoparen finalaurrekoa; txapelketa horretatik iritsi, eta lehenengo partida izango da Realaren aurkakoa. Realarentzat hirugarren partida izango da jarraian etxetik kanpo, eta, gainera, bigarren derbia jarraian. San Mamesen jokatu ondoren joango da Sadarrera, eta, ondoren, berriro, kanpora egingo du bidaia Celtaren aurka jokatzeko. Garrantzitsua izango da Osasunak Superkopan zer egiten duen; izan ere, jokatzeko datak aldatu daitezke gorritxoek Bartzelonari irabazten badiote.
Athleticek ere derbiz betetako hilabetea izango du. Hirugarren derbia izango du jarraian Valverderen taldeak: Eibarren aurka jokatu zuen Kopan, eta, ondoren, Realaren aurka Ligan. Alavesen aurka aspaldian ez du jokatu, irailaren 22an Mendizorrotzan 0-2 irabazi zuenetik. Babazorroak zertxobait larriago iritsiko dira partidara, tartean Sevillaren aurka kanpoan jokatuko baitute. Hurrengo partida ere oso garrantzitsua izango dute: Cadiz jasoko dute etxean Koparen partidaren ondoren, seguruenik bi edo hiru egun geroago.</t>
  </si>
  <si>
    <t xml:space="preserve">Bi derbi Kopako final-zortzirenetan. Osasuna-Reala eta Athletic-Alaves izango dira Kopako kanporaketan. Sadarren eta San Mamesen jokatuko dute, zozketan hala erabaki baita.</t>
  </si>
  <si>
    <t xml:space="preserve">Espainiako Koparen final-zortzirenetan Osasunak eta Realak elkarren aurka jokatuko dute Sadarren, eta Athleticek eta Alavesek, San Mamesen. Athletic-Alaves urtarrilaren 16an jokatuko da, 21:00etan. Osasunak Superkopako finalaurrekoa galtzen badu, Realaren aurkakoa 17an izango da, 21:00etan. Finalera pasatuz gero, Kopako kanporaketa 18an izango da, 19:30etan.</t>
  </si>
  <si>
    <t xml:space="preserve">https://www.berria.eus/kirola/berriro-etxean-sentitzeko_2117830_102.html</t>
  </si>
  <si>
    <t xml:space="preserve">Sadarren abaroan gozatu handiak hartu ditu aurten Osasunak. Besteak beste, Kopan gau magikoak eduki zituen Sevilla eta Athleticen aurka, eta Europarako sailkatu zen Gironari Ligako azken jardunaldian irabazita. Guztira, bederatzi garaipen lortu ditu Iruñean. Alabaina, horietatik bakarra dagokio denboraldi honi; Granadari 2-0 irabazi zion hamargarren jardunaldian. Beste zortzi partida jokatu ditu etxean sasoi honetan –Konferentzia ligako atarikoa aintzat hartuta–, eta horietatik sei galdu egin ditu, eta bi berdindu. Deserrotu egin da. Egoera horretan, gaur Rayo Vallecano hartuko dute gorritxoek (21:00, Movistar LaLiga). Gabonak iritsi eta urtea bukatu aurretik, etxean arrotz izateari utzi nahi diote. Irabazi egin behar dute horretarako.
Nafarren bolada kaskarra ez da Sadarreko lehietara mugatzen. Etxetik at ere, puntuak hirunaka batu ezinik dabiltza. Hori horrela, sei jardunaldi kateatu dituzte garaipenik lortu gabe. Bere txarrean, puntu bat urratu dute Las Palmasen, Realaren eta Cadizen kontra. Eta, batez ere, jaisteko postuak sei puntura dituzte oraindik. Alabaina, taldearen jokoa kezka iturri bihurtzen ari da. Batzuetan ongi jardun du Osasunak, baina gorabehera handiak ditu. Bristadek ez dute luze iraun. Eta sendotasunak, are eta gutxiago: 26 gol sartu dizkiote orain arte. Soilik Almeria, Granada eta Vila-real aritu dira hauskorrago. Hamabi aldiz zulatu diote atea azken sei lehiatan. Ez da harritzekoa bakar bat ere irabazi ez izana. Sergio Herreraren esku miragarriak ez dira aski izan.
Budimirren ekarpenari ere ez zaio probetxua ateratzen ari. Ligan zortzi gol sartuak ditu, eta goleko bi pase emanak. Hau da, kroaziarraren sinadura izan du Osasunak orain arte sartu dituen golen %55ek. Lehen Mailan ez dago jokalaririk bere taldean eragin handiagoa duenik. Ona da gorritxoentzat Budimir indar betean aritzea, baina laguntza behar du. Ate aurrean gozakaitz dabil taldea, Cadizen kontra argi geratu zen bezala. Oso lehen zati txarra osatu eta gero, berpiztu egin zen, eta area barruan behin eta berriz sartu. Ordea, ez zen gai izan baloia sareratzeko, harik eta epaileak penalti zalantzagarria adierazi, eta Budimirrek banakoa egin zuen arte.
Rayo ere kezkatuta iritsiko da gaurko neurketara. Hogei puntu ditu zakuan, Osasunak baino lau gehiago, eta sailkapenean lasai egoteko adina. Aldiz, duela zazpi jardunaldi irabazi zuen azkenekoz, iruindarrek bezalaxe. Haiek baino are urriago dabil gol aldetik: hamasei sartu ditu bakarrik. Talderik kamutsenetan seigarrena da. Ezbaian da erasoko jokalarien jarduna: soilik bi gol sartu ditu Isi Palazonek, bakarra Falcaok eta De Futosek, eta batere ez De Tomasek eta Camellok. Alvaro Garcia da taldeko golegile nagusia, lau alerekin. Dena den, bolada txarrean diren aurrelarientzat aurkari egokia izaten da Osasuna. Gainera, Rayo txukun dabil etxetik kanpo: soilik bi partida galdu ditu, eta hiru irabazi. Hiruretan hutsean utzi du atea.
Hamaikakoa, airean
Nolanahi ere, Sadarren ondo moldatu ohi da Osasuna Rayoren aurka. Azkenekoz, 2003an gailendu zitzaion Iruñean gaurko aurkaria. Geroztik, lau partida irabazi ditu, eta bi berdindu. Bolada horri jarraipena emateko, Jagoba Arrasatek bueltan izango ditu bi jokalari garrantzitsu: Ruben Peña eta Catena. Lesiotik osatu da bata, eta zigorra bete du besteak. Halere, ikusteko dago teknikari gorritxoak hamaikakoan tokia egiten dien. Peñak jokatuko balu, kolokan legoke Juan Cruzen, Chimy Avilaren edo Ruben Garciaren parte hartzea. Catenak, berriz, Unai Garciari kenduko lioke tokia. Baliteke Iker Muñozek ere aukerarik izatea hasieratik aritzeko, Torro baino askoz hobe aritu baitzen Cadizen zelaian.
OSASUNA-RAYO VALLECANO
Osasuna. Sergio Herrera; Areso, Catena, David Garcia, Juan Cruz; Muñoz, Aimar, Moi Gomez; Chimy Avila, Budimir eta Ruben Garcia.
Rayo Vallecano. Dimitrievski; Balliu, Lejeune, Mumin, Espino; Pathe Ciss, Valentin; Isi, Unai Lopez, Alvaro Garcia; eta De Tomas.
Lekua. Sadar (23.516 ikusle).
Ordua. 21:00 (LaLiga).</t>
  </si>
  <si>
    <t xml:space="preserve">Berriro etxean sentitzeko. Osasunak garaipenik gabeko bolada eten nahi du gaur, Sadarren, Rayo Vallecanoren kontra. Aurten etxean jokatuko duen azken partida izango da, eta zaleak pozik utzi nahi ditu. Rayok 2003an irabazi zuen azkenekoz Iruñean, eta golak sartu ezinik dabil orain.</t>
  </si>
  <si>
    <t xml:space="preserve">Gaur Osasunak Rayo Vallecano hartuko du Sadarren (21:00, Movistar LaLiga) eta, Gabonak iritsi eta urtea bukatu aurretik, etxean irabazi nahi dute, bolada kaskarra amaitzeko. Izan ere, sei jardunaldi kateatu dituzte garaipenik lortu gabe eta, gehienez, puntu bat urratu dute Las Palmasen, Realaren eta Cadizen kontra. Gainera, jaisteko postuak sei puntura dituzte oraindik. Alabaina, taldearen jokoa kezka iturri bihurtzen ari da. Batzuetan ongi jardun du Osasunak, baina gorabehera handiak ditu. Sergio Herrera atezainaren lana eta Budimirren Ligako zortzi golak ez dira nahikoa. 
Rayo ez dabil Osasuna baino askoz ere hobeto. Osasunak baino 4 puntu gehiago izanagatik ere, ez dute azkeneko zazpi jardunaldietan irabazi eta hamasei gol baino ez ditu sartu. Halaber, Sadarren ondo moldatu ohi da Osasuna Rayoren aurka eta 2003tik lau partida irabazi dizkio, eta bi berdindu. Bolada horri jarraipena emateko, gainera, Jagoba Arrasatek bueltan izango ditu Ruben Peña eta Catena.</t>
  </si>
  <si>
    <t xml:space="preserve">https://www.berria.eus/komunikazioa/generacion-porno-dokumental-saioa-egin-dute-etbk-eta-tv3ek_1341518_102.html</t>
  </si>
  <si>
    <t xml:space="preserve">«6 urte edo gutxiagorekin hasten direnak ere badaude», azaldu du kezkatuta Jose Luis Garcia psikologo eta sexologoak, hitza hartu bezain laster. Errealitate gordina, baina, errealitatea, finean. «Gazteak geroz eta goizago hasten dira pornoa kontsumitzen; eta, kezkagarriena da porno hori geroz eta bortitzagoa bilakatzen ari dela. Gainera, haurrek bi klik besterik ez dute eman behar indarkeriazko bideo horiek ikusteko». Arazo horrek «motibatuta» bezain «kezkatuta», ETBk eta TV3ek, Shine Iberia ekoiztetxearekin elkarlanean, Generación porno dokumental saila ekoitzi dute. Dokumentalak lau familiari egindako elkarrizketak ditu oinarri; baina, horiez gain, abeslarien, pornoaren industriako aktoreen eta gaiari buruzko adituen lekukotzak jaso dituzte.
ETB2k gazteleraz emitituko du dokumental saioa, hilaren 18tik aurrera, lau ataletan. TV3ek nagusiki katalanez emango du, hilaren 26tik aurrera, hiru saiotan.
Dokumentalaren aurkezpenaatzo egin zuten, Gasteizko Europa Biltzar Jauregian, FesTVal jaialdian. Ekoizleekin batera, Garcia psikologoa, Marina Marroqui gizarte hezitzailea, eta dokumentalean parte hartu duten ama-seme batzuk ziren. Aurrerapen txiki bat eskaini ostean, ikus-entzunezkoan lantzen diren gai ezberdinei buruzko solasaldiarekin hasi ziren. Sexu heziketa, teknologia, indarkeria eta gaiarekiko ezjakintasuna izan ziren mintzagai nagusiak.
Pornografia, «droga bat»
Gaur egun, 12 eta 14 urte bitarteko gazteek dituzten sexu harremanak «erabat basatiak» direla azaldu zuen Marroquik, eta ikusten duten guztia errepikatzeko joera dutela: «12 urteko haur bat negarrez etorri zitzaidan behin, aitak salatu zuelako, arrebaren aurrean ukitzeagatik». Umeak gazki eta ondo dagoenaren arteko muga guztiz ezabatuta zeukan, «pornoaren erruz».
Hala ere, Marroquik argi du errudun bakarra ez dela pornoa. Sexu heziketa garaikide baten beharra nabarmendu zuen, gazteen kezkak entzun eta irtenbideak bilatzen lagundu diezaiekeena. «Eta ez platano bati kondoi bat jartzean datzana». Ama batek eta haren semeak sexuari buruz hitz egiteko etxean giro osasuntsu eta seguru bat sortu beharra dagoela azaldu zuten. Amak «irekia» zela pentsatzen zuen dokumentala grabatu aurretik, baina espero ez zituen gauza asko ikusi eta entzun ditu. «Harrituta geratu nintzen, hunkituta, eta, zeharo kezkatuta».
«Etxe guztietan» gertatzen den errealitate bat dela jakinarazi nahi diete ama-semeak dokumentalaren ikusleei, hain zuzen ere.Garcia psikologoak pornografia «droga bat» dela gehitu zuen, soilik ez kontsumitzearekin desagertu daitekeena: «Bien bitartean XXI. mendeko kokaina izaten jarraituko du».
FesTValeko aurkezpenaz gain, dokumentalaren aurrestreinaldia egin zuten atzo arratsaldean, Bilboko Azkuna zentroan.</t>
  </si>
  <si>
    <t xml:space="preserve">Generación porno' dokumental saioa egin dute ETBk eta TV3ek. Pornoak gazteengan duen eragina azalduko du, taburik gabe. Hilaren 18an estreinatuko dute</t>
  </si>
  <si>
    <t xml:space="preserve">Generación Porno dokumentalaren aurkezpena egin zuten atzo, Gasteizko Europa Biltzar Jauregian, FesTVal jaialdian. ETBk eta TV3ek, Shine Iberia ekoiztetxearekin elkarlanean, egindako dokumentalak pornografiaren inguruan lau familiari egindako elkarrizketak ditu oinarri eta abeslarien, pornoaren industriako aktoreen eta gaiari buruzko adituen lekukotzak ere jaso dituzte. Jose Luis Garcia psikologo eta sexologoaren arabera, gazteak geroz eta goizago hasten dira pornoa kontsumitzen; eta, porno hori geroz eta bortitzagoa bilakatzen ari da. Gainera, bi klik besterik ez dira behar indarkeriazko bideo horiek ikusteko. Hori izan da dokumentala sortzeko motibazioa.
Dokumentalaren aurkezpenean Marina Marroqui gizarte hezitzaileak azaldu zuen 12 eta 14 urte bitarteko gazteek dituzten sexu harremanak «erabat basatiak» direla eta sexu heziketa garaikide baten beharra nabarmendu zuen. Bestalde, Garcia psikologoak pronografia droga bat dela gehitu zuen.
FesTValeko aurkezpenaz gain, dokumentalaren aurrestreinaldia egin zuten atzo arratsaldean, Bilboko Azkuna zentroan.
ETB2k gazteleraz emitituko du dokumental saioa, hilaren 18tik aurrera, lau ataletan. TV3ek nagusiki katalanez emango du, hilaren 26tik aurrera, hiru saiotan.</t>
  </si>
  <si>
    <t xml:space="preserve">https://www.berria.eus/kirola/artolak-nagusitasunez-irabazi-dio-zabaleri_2124679_102.html</t>
  </si>
  <si>
    <t xml:space="preserve">Ez dago Iñaki Artola geratuko duenik. Profesional mailarako jauzia eman zuenetik, inoizko sasoirik onena bizitzen ari da Baikoko aurrelaria, eta emaitzek ez diote gezurrik. Binakako txapelketa ederra jokatu ondoren, banakakoan beste pauso bat eman du aurrera, eta egundoko erakustaldiak egiten ari da. Azkenekoa, gaur, Iruñeko Labrit pilotalekuan. Lehenbizi Joseba Ezkurdiari (22-10) eta ondoren Aitor Elordiri (22-8) irabazi ondoren, beste harri gogor bat zuen aurrean alegiarrak, eta ez du hutsik egin. Erakustaldia emanda gainditu du Javier Zabala: 22 eta 8. Hasi eta buka, lan biribila osatu du, eta azkenaldiko sentipenak berretsi ditu. Sasoiz eta konfiantzaz bikain agertu da, eta ez dio inolako aukerarik eman aurkariari. Hala, Artola multzoburu sailkatuko da finalerdietarako. Bigarren postua norentzat izango den, berriz, gaur erabakiko da. Garbi daude kontuak. Elordik Ezkurdiari irabazten badio, bizkaitarra bera izango da lau onenetan, baina galtzen badu, Zabalak lortuko du sailkapena. Hots, Ezkurdiak badu aukera txiki bat; horretarako 22 eta 3 baino emaitza hobearekin gainditu beharko luke Elordi.
Artola faborito zen Zabalaren aurkako partidan, baina lehen tantoek ez dute ezer garbirik azaldu. Bi pilotariak nor baino nor gehiago aritu dira hastapenean, eta aparteko tantoak jokatu dituzte. Hiruna berdin zihoazela, ehun pilotakada bazituzten joak. Lan duina osatzen ari ziren biak, eta bistakoa zen ahal fisikoak zeresana emango zuela. Bada, hortik aurrera, Artola izan da nagusi. Sakeari etekin bikaina aterata, jokoa bere esparrura eraman du, eta erabat defentsan jokatu beste erremediorik ez du izan Zabalak. Erakustaldia eskaini du alegiarrak. Oso luze ibili du pilota, eta erasoan jokatzeko garaian ere ez du birritan pentsatu. Ausart eta eraginkor aritu da. Lehen atsedenaldi luzera 12-3 iritsi da aurretik Baikoko pilotaria.
Bilbok du azken hitza
Atsedenetik bueltan, Zabala ahalegindu da erasoari ekiten, baina tantoa egin duenetan ere ez dio inolako etekinik atera sakeari. Batez ere, Artolaren erruz. Alegiarrak etengabe erakutsi du jokoz puntu bat goitik dagoela. Fresko ibili da, eta presioak ez dio txarrerako eragin. Kontrakoa. Tantoek aurrera joan ahala, gero eta hobeto sentitu da. Apartekoa izan da erakutsi duen jokoa. Labriteko zaleak ere inoiz baino isilago aritu dira, pilotariarengan miresmena zuten seinale. Azken hatsean, Zabalak bizpahiru tanto jarraian egin ditu, eta hil edo bizi jokatu du. Baina alferrik. Artolak gain hartu dio, eta finalerdietara konfiantzaz gainezka helduko da alegiarra.
Multzo horretan bigarren nor izango den bihar erabakiko da, Bilboko Bizkaia frontoian. Elordi izango da faborito, eta irabazten badu lortuko du helburua. Hori bai, Ezkurdiak ez dio barkatuko, duin amaitu nahiko baitu txapelketa. Zabala telebistari begira egongo da (18:00, ETB1).</t>
  </si>
  <si>
    <t xml:space="preserve">Artolak nagusitasunez irabazi dio Zabaleri. 22-8 gailendu da Alegiakoa, partida ikusgarria jokatuta. Hala, multzoburu sailkatuko da finalerdietara. Elordi bigarren izango da, bihar Ezkurdia menderatzen baldin badu.</t>
  </si>
  <si>
    <t xml:space="preserve">Iñaki Artolak erakustaldia emanda gainditu du Javier Zabala: 22 eta 8, gaur, Iruñeko Labrit pilotalekuan. Sasoiz eta konfiantzaz bikain agertu da, eta ez dio inolako aukerarik eman aurkariari. Hala, Artola multzoburu sailkatuko da banakako txapelketako finalerdietarako. Bigarren postua norentzat izango den, berriz, gaur erabakiko da Bilboko Bizkaia frontoian (18:00, ETB1). Elordik Ezkurdiari irabazten badio, bizkaitarra sailkatuko da, baina galtzen badu, Zabalak lortuko du sailkapena. Ezkurdiak ere badu aukera txiki bat 22 eta 3 baino emaitza hobearekin gainditzen badu Elordi.</t>
  </si>
  <si>
    <t xml:space="preserve">https://www.berria.eus/mundua/gutxienez-40-hildako-eta-dozenaka-zauritu-moskun-gertatutako-tiroketa-batean_2122731_102.html</t>
  </si>
  <si>
    <t xml:space="preserve">Tiroketa bat gertatu da gaur iluntzean Moskuren aldirietako antzoki batean, eta, Errusiako hedabideen arabera, gutxienez 40 lagun hil eta dozenaka zauritu dituzte; tartean, adingabeak. Kaleratutako informazioek diotenez, armatuta zihoazen hiru erasotzaile gutxienez tiro egiten hasi dira kontzertu bat hasi aurretik, eta lehergai batzuk ere zartarazi dituzte. Errusiako Segurtasun Zerbitzu Federalak adierazi du «beharrezko neurriak» hartu dituela, eta gertakaria «eraso terrorista» gisa ari direla ikertzen. Erasotzaileen bila ari dira. Ukrainako Gobernuak nabarmendu du ez duela loturarik erasoarekin.
Sare sozialetan kaleratutako bideoetan ikus daiteke kontzertura joandakoak nola ahalegintzen diren antzokitik alde egiten, tiro hotsak entzuten diren bitartean. Lehergaiak lehertzearen ondorioz su hartu du antzokiko sabaiak, eta suhiltzaileak hori itzaltzeko ahaleginean aritu dira. Azkenean, erori egin da.
Lekukoen hitzak jasoz Errusiako hedabideek argitaratu dutenez, armatuta zihoazen gizon horiek kalean hasi dira tiroka, antzokiaren kanpoaldean, eta barruan jarraitu dute erasoarekin. Sare sozialetako bideo eta argazkietan gorpuak ikus daitezke bai barruan baita kanpoan ere. Antzokia hutsarazi dute, eta, erasoa pairatu dutenek azpimarratu dute «kaotikoa» izan dela hori. Haien esanetan, antzokiko zaindariek taser pistolak eta borrak zituzten.
Errusiako Gobernuak «krimen izugarritzat» jo du gertatutakoa, eta nazioarteari eskatu dio gaitzetsi dezala. John Kirby AEBen Segurtasun Nazionalerako Kontseiluko bozeramaileak hedabideei adierazi die ez dagoela zantzurik esateko Ukraina edo herritar ukrainarrak daudela erasoaren atzean. Gaineratu du Moskun eta Errusian badaudela Vladimir Putin presidentearen kontrakoak, baina ezin dela baieztatu erasoak «arrazoi politikoengatik» izan direnik. Mikhailo Podoliakek, Volodimir Zelenski Ukrainako presidentearen aholkulariak, X sare sozialean idatzitako mezu batean nabarmendu du Ukrainak ez duela «inolako» zerikusirik. «Ukrainak ez du sekula molde terrorista erabili. Ukrainak bi urte baino gehiago daramatza Errusiaren kontra borrokan, eta gerra hau gudu zelaian soilik erabakiko da».
AEBek Errusian duten enbaxadak atzo ohartarazi zuen, ohar baten bidez, «muturreko taldeak» prestatzen ari zirela Moskun jende asko biltzen dituzten ekitaldiei eraso egiteko, eta informazio hori zuela. Mendebaldeko herrialdeetako beste enbaxada batzuek ere antzeko mezuak plazaratu dituzte azken egunetan, baina Putinek horien kontra egin du, eta adierazi Errusiako gizartea «desoratzeko eta kikiltzeko saiakera bat» zirela. Gaurko erasoa gertatu ondoren, Kremlinek bertan behera utzi ditu asteburuan Moskun egitekoak ziren elkarretaratze eta ekitaldi handiak, eta aireportuetako kontrolak indartu ditu.</t>
  </si>
  <si>
    <t xml:space="preserve">Gutxienez 40 hildako eta dozenaka zauritu Moskun gertatutako tiroketa batean. Errusiako hiriburuaren aldirietako antzoki batean gertatu da. Gutxienez hiru erasotzaile tiroka hasi dira. Ukrainak esan du ez duela zerikusirik erasoarekin.</t>
  </si>
  <si>
    <t xml:space="preserve">Tiroketa bat gertatu da gaur iluntzean Moskuren aldirietako antzoki batean, eta, baliteke gutxienez 40 lagun hil eta dozenaka zauritu izana; tartean, adingabeak. Dirudienez, armatuta zihoazen gutxienez hiru erasotzailek tiro egin dute eta lehergai batzuk ere zartarazi dituzte kontzertu bat hasi aurretik. Leherketen ondorioz, su hartu du antzokiko sabaiak eta azkenean erori egin da. Sare sozialetan ikus daiteke kontzertura joandakoak antzokitik alde egiten, baina baita gorpuak ere.
Errusiako Segurtasun Zerbitzu Federalak beharrezko neurriak hartu ditu; gertakaria «eraso terrorista» gisa ikertzen ari da eta erasotzaileen bila ari dira. Errusiako Gobernuak «krimen izugarritzat» jo du gertatutakoa, eta nazioarteari eskatu dio gaitzetsi dezala. Erasoaren ondoren, bertan behera utzi ditu asteburuan Moskun egitekoak ziren elkarretaratze eta ekitaldi handiak, eta aireportuetako kontrolak indartu ditu.
Ukrainako Gobernuak nabarmendu du ez duela loturarik erasoarekin. AEBek uste du ez dagoela zantzurik esateko Ukraina dagoenik erasoaren atzean eta ezin dela baieztatu erasoak «arrazoi politikoengatik» izan direnik. hALA ERE, AEBek Errusian duten enbaxadak atzo ohartarazi zuen «muturreko taldeak» prestatzen ari zirela Moskun jende asko biltzen dituzten ekitaldiei eraso egiteko, nahiz eta Putinentzat Errusiako gizartea «desoratzeko eta kikiltzeko saiakera bat» zen.</t>
  </si>
  <si>
    <t xml:space="preserve">https://www.berria.eus/bizigiro/ohartu-behar-dugu-bizi-garen-jendartea-dominazioaren-kultura-batean-oinarritzen-dela_2121952_102.html</t>
  </si>
  <si>
    <t xml:space="preserve">Gizontasunaren azterketa, pedagogia feminista, talde gatazken ebazpenen inguruko ikerketak, esku hartzeak, diagnostikoak eta dokumental lanak egiten dituen kooperatiba bat da Hiruki Larroxa LGTBQI+. Egun, ikus-entzunezkoetan ere ari dira bertako kideak, dokumental bat sortzen ari baitira Hernaniko (Gipuzkoa) LGTBI historiari buruz. 2020. urte bukaeran sortu zuten kooperatiba, Hernanin, eta Egoitz Arbiol Albeniz (Hernani, 1988) izan zen sortzaileetako bat. Biltxoko elkartean antolatutako mintzaldi baten kari, Baionan izan zen asteazkenean. «Inportantea da gizonak ardura hartzea gai honetan eta hastea gu geure burua deseraikitzen eta geure inguruak errotik eraldatzen», adierazi zuen.
Gizonak eta herri mugimendu parekide(ago)ak tailerra eraman zenuen asteazkenean Baionara. Nolatan?
Egiten ditugun hitzaldi guziak bezala, dinamikoa eta parte hartzailea izan zen tailer hau ere. Guk uste dugu horrelako hitzaldi formatuek ez dutela eskatzen pertsonen inplikaziorik, baina, eraldaketa pertsonalak eta kolektiboak egiten direnean, ezinbestekoa da inplikatzea.
Zeintzuk dira helburuak?
Gure helburua da birpentsatzea zer harreman sortzen diren militantzia arloan, generoa kontuan hartuta; hau da, gizon eta emakumeen, edo gizon eta gizon ez direnen arteko botere harremanak zeintzuk diren irudikatzen hastea edo identifikatzea da helburua. Tresnen inguruan ere pentsa dezaten nahi dugu, eta haiek nola garatu zehazten hasi nahi dugu guzion artean. Hori guzia nahi dugu harreman orekatu eta simetrikoak lortzen saiatzeko.
Genero botereen (des)eraikitzea, gizonek parekidetasunerantz egin beharreko urratsak, militantziaren barneko ohiko indarkeria sinboloak...
Horretara heltzeko, inportantea da nondik gatozen jakitea; ohartu behar dugu bizi garen jendartea dominazioaren kultura batean oinarrituta dagoela, eta dominazio horrek gurutzatzen gaituela guziok: edozein genero, edozein pertsona arrazionalizatu... eta klaseak ere kontuan hartu behar dira. Hori ikusten saiatzen hasita, ohartzen gara dominazio kultura oinarritzen dela patriarkatuak sortzen dituen bi identitate edo nortasun nagusitan, eta haien artean badela harreman asimetria bat; alde horretatik, gizona da subjektu pribilegiatua. Hortaz, zer egin gizon gisa horrelako espazioak hartzen ditugunean? Zer egin gizon gisa herrigintzan aritzen garenean? Ziurrenik, ohartu beharko genuke gure genero eraikuntzaz. Beharbada, agerikoa den zerbait da, baina gizonok ere badugu genero bat, eta genero hori ikasia da; ikasi ditugu hainbat rol, hainbat jarrera, ikasi dugu gorpuzkera jakin batzuk hartzen... eta jakin behar dugu nola eraiki ditugun, horiek desegiten hasteko.
«Gizonek gizonei hitz egingo ez badiegu, nork hitz egingo die?»,erran zenuen elkarrizketa batean.
Badago elementu zentral bat gizontasunean: gizonen arteko anaidia. Adibidez, Olatz Gonzalez Abrisketak fratiarkatuaz hitz egiten du. Zer da fratiarkatua? Bada, gizonen artean izaten den boterekeria; hau da, gizonen artean ere erregulatzen gabiltza, behin eta berriro, boterezko harreman horietan. Eta, batez ere, ikerketa feminista askok esaten dute gizonak gizonekiko aritzen direla sozializatzen denbora guzian; adibidez, nerabezaroan oso argia da nola ligoteoak hasten direnean gizonak gizonekiko dabiltzan ligatzen emakumeekin, heterosexualitateari dagokionez. Orduan, inportantea da gizonak gizonei hastea solasean, ziurrenik badaukagulako intragenero begirada bat; eta nik hitz egiten badiot gizon bati gizonen arteko dinamikaz edo pribilegioez, jakingo du zertaz ari naizen.
Eta emazteei dagokienez?
Emakume batek aipatzen diolarik gizon bati eraldaketa, adibidez, beti dago erresistentzia bat; eta hori oso injustua da, baina hala da, egituraz horrelakoa baita jendartea. Badago ardura kontu bat ere: ikusten dut emakumeak ari zaretela feminismoan, jendartearen eraldaketa sustatzen eta patriarkatua amaitzen saiatzen, eta gu inguruetan ibili gara beste gauza batzuk egiten eta beste gauza batzuetan pentsatzen. Uste dut inportantea dela gizonek ardura hartzea gai honetan eta hastea gu geure buruak deseraikitzen eta gu geure inguruak errotik eraldatzen.
Gizontasunari begira, nola ikusten duzu Euskal Herria?
Interesgarria da Euskal Herrian zer gertatzen ari den gizontasunaren kontuarekin; ezker mugimenduko gizonezkoak deseroso dira gai horren inguruan, eta hori oso interesgarria da. Horrek esan nahi du horri, behintzat, buelta bat eman diotela. Baina uste dut badagoela kezka bat gai horren inguruan, eta interesgarriena izango litzateke kezka utzi eta ekiten hastea. Ez geratzea kezka teoriko, emozional eta sentimentaletan, baizik eta ekitea.
LOTSABAKO</t>
  </si>
  <si>
    <t xml:space="preserve">«Ohartu behar dugu bizi garen jendartea dominazioaren kultura batean oinarritzen dela». Hiruki Larroxako kide Egoitz Arbiol Albenizek 'Gizonak eta herri mugimendu parekide(ago)ak' hitzaldia eman zuen asteazkenean Baionako Biltxoko elkartean. Genero eraikuntza, parekidetasuna, eraldaketa tresnak eta abar izan zituen hizpide.</t>
  </si>
  <si>
    <t xml:space="preserve">Hiruki Larroxa LGTBQI+ gizontasunaren azterketa, pedagogia feminista, talde gatazken ebazpenen inguruko ikerketak, esku hartzeak, diagnostikoak eta dokumental lanak egiten dituen kooperatiba bat da. Egun, dokumental bat sortzen ari baitira Hernaniko (Gipuzkoa) LGTBI historiari buruz. 
Egoitz Arbiol Albeniz (Hernani, 1988), Hiruki Larroxa LGTBQI+, Baionan izan zen asteazkenean mintzaldi dinamiko eta partehartzaile batean. Mintzaldiaren helburua zen birpentsatzea zer harreman sortzen diren militantzia arloan, generoa kontuan hartuta. Arbiolen arabera, jendartea patriarkatuak sortzen dituen bi identitate edo nortasun nagusitan oinarritutako kultura batean oinarritzen da eta horretan gizona subjektu probilegiatua da. Ondorioz, gizonek beren generoa nola eraiki duten ikasi behar dute, hori desegiteko.
Gizonen arteko anaidia gizontasunaren elementu zentrala denez, inportantea da gizonak gizonei hastea solasean ziurrenik badaukatelako intragenero begirada konpartitu bat. Hala ere, Euskal Herrian ezker mugimenduko gizonezkoak deseroso dira gai horren inguruan. Badago kezka bat, baina nteresgarriena izango litzateke kezka utzi eta ekiten hastea, Arbiolen arabera.</t>
  </si>
  <si>
    <t xml:space="preserve">https://www.berria.eus/ekonomia/energiaren-euskal-erakundea-energia-konpainien-zergaren-aurka_234607_102.html</t>
  </si>
  <si>
    <t xml:space="preserve">Repsoleko eta Petronorreko presidenteek esandakoak «erabat» babestu ditu Iñigo Ansolak EEE Energiaren Euskal Erakundeko zuzendariak: Espainiako Gobernuak energia konpainiei ezarritako zerga berezia kritikatu du, eta azpimarratu enpresek erregulazio edo arau esparru egonkor bat behar dutela. «Enpresentzat egonkortasuna beharrezkoa da inbertsioak egiteko. Hainbat urte daramatzagu erregulazioa aldatzen, eta ezin dugu horrela jokatu».
Ansolak ohartarazi du Repsol eta Petronor enpresek nekez inbertituko dutela deskarbonizazioan egonkortasunik ez badago. «Ez gara ari 100.000 euroz, ezta 200.000 euroz ere, ehunka milioi euroz ari gara». Radio Euskadin egindako elkarrizketa batean, EEEko burua kezkatuta agertu da, Bizkaian egin asmo dituzten zenbait inbertsio eteteko asmoa agertu duelako Petronorrek.
Ansolaren arabera, «asko dago jokoan»; gogorarazi du Petronorrek Bizkaian duela egoitza soziala —Repsolen filiala da Petronor—, eta foru ogasunak «milaka milioi euro» jasotzen dituela horregatik. «Diru sarrera horiei esker, ditugun kalitatezko zerbitzuak ditugu». EEEko zuzendariaren esanetan, «pozgarria» da enpresak batek irabaziak izatea, «horrek esan nahi duelako inbertsio berriak egiteko gai izango dela eta aberastasuna eta lanpostu asko sortzeko gaitasuna izango duela».
Espainiako Gobernuak energia konpainiei zerga berezia ezarri zien iaz, behin-behinean, Ukrainako gerraren eraginez izaten ari diren ezohiko irabaziak ikusita, eta inflazio handiari aurre egiteko neurriak finantzatzeko. Pedro Sanchezen inbestidurari begira, PSOEk eta Sumarrek eginiko gobernu akordioan zerga horrekin jarraitzeko konpromisoa agertu dute.
Ansolaren iritzian, EAJk Sanchezen gobernua babestea «baldintzatu» beharko luke. Zerga ezarri zenean, jeltzaleak abstenitu egin ziren; inbestidurarako aldeko botoa beharko luke Sanchezek.
EEEko buruaren ustez, halaber, egoera ekonomikoa ere aldatu da. «Aztertu beharko litzateke aparteko mozkinen aldian gauden ala ez, eta nolako zergak ezarri nahi dizkiegun sektore batzuei. Galdera hau egiten diot neure buruari: zergatik bankuei eta energia konpainiei, eta ez irabaziak izaten ari diren beste sektore batzuei?».
«Mehatxua», LABentzat
LABek «mehatxutzat» jo ditu energia enpresa handietako buruzagien adierazpenak, eta Eusko Jaurlaritzaren jarrera kritikatu du, haien alde agertu delako. «[Ekonomiaren Garapenerako sailburu] Arantxa Tapia buru, Iñigo Urkulluren gobernuaren eta patronalaren arteko aliantza bat dago; biek langileen aurkako estrategia berari erantzuten diote».
Sindikatuaren ustez, azken egunotan esandakoek erakusten dute Jaurlaritzaren trantsizio energetikorako estrategiak porrot egin duela. Azpimarratu du hori «lobby fosilak» nahi duen bezala jokatzera mugatzen dela, enpresa handiek nahi dituzten baldintza legal eta fiskalak sortuz eta haien proiektuetan diru publikoa inbertituz.
LABen iritzian, «sakoneko erreforma fiskal bat» behar da, «modu progresiboan inoizko etekin handienak izan dituzten kapitalek inoiz baino ekarpen handiagoa egin dezaten eta aberastasuna modu orekatuagoan banatu dadin».</t>
  </si>
  <si>
    <t xml:space="preserve">Energiaren Euskal Erakundea, energia konpainien zergaren aurka. Iñigo Ansola zuzendariaren ustez, EAJk Sanchezen gobernua babestea «baldintzatu» beharko luke. LABek dio Jaurlaritza enpresen alde jokatzen ari dela.</t>
  </si>
  <si>
    <t xml:space="preserve">Iñigo Ansola EEE Energiaren Euskal Erakundeko zuzendariak Espainiako Gobernuak energia konpainiei ezarritako zerga berezia kritikatu du, eta azpimarratu enpresek erregulazio edo arau esparru egonkor bat behar dutela. Halaber, ohartarazi du Repsol eta Petronor enpresek nekez inbertituko dutela deskarbonizazioan egonkortasunik ez badago. Izan ere, Bizkaian egin asmo dituzten zenbait inbertsio eteteko asmoa agertu duelako Petronorrek. Gogorarazi du, gainera, Petronorrek Bizkaian duela egoitza soziala, eta foru ogasunak «milaka milioi euro» jasotzen dituela horregatik.
Espainiako Gobernuak energia konpainiei zerga berezia ezarri zien iaz, eta, Pedro Sanchezen inbestidurari begira, PSOEk eta Sumarrek eginiko gobernu akordioan zerga horrekin jarraitzeko konpromisoa agertu dute. Ansolaren iritzian, EAJk Sanchezen gobernua babestea «baldintzatu» beharko luke. Bere ustez, halaber, egoera ekonomikoa ere aldatu da.
LABek «mehatxutzat» jo ditu Repsol eta Petronorreko buruzagien adierazpenak, eta Eusko Jaurlaritzaren jarrera kritikatu du, haien alde agertu delako. Sindikatuaren ustez, azken egunotan esandakoek erakusten dute Jaurlaritzaren trantsizio energetikorako estrategiak porrot egin duela, enpresa handiek nahi dituzten baldintza legal eta fiskalak sortzen eta haien proiektuetan diru publikoa inbertitzen baitute. Era berean, sakoneko erreforma fiskal bat eskatu dute.</t>
  </si>
  <si>
    <t xml:space="preserve">https://www.berria.eus/kultura/benat-arrutik-irabazi-du-donostia-kultura-vii-poesia-lehiaketa_2122642_102.html</t>
  </si>
  <si>
    <t xml:space="preserve">Beñat Arruti Irigoienek irabazi du idazle gazteentzako Donostia Kultura poesia lehiaketa, Arkeologia haragitan lanarekin. Horrenbestez, 1.000 euroko saria eta Imanol Larrinagaren margolan bat jasoko ditu, eta Balea Zuria argitaletxeak poema liburua kaleratuko du ekainean.
Eli Tolaretxipik, Itxaro Bordak eta Aritz Gorrotxategik osatutako epaimahaiak adierazi duenez, «aipuz eta irakurketaz ondo hornitua dator» poema bilduma, eta «trebeki uztartzen ditu gogoeta eta hizkuntzaren distira». Eta gaineratu du: «Berezko erritmoa eta musika darie poemei, aisa irristatzen dira irakurlearen belarrietan, eta lan handia dago doitze horren atzetik. Lan orekatua eta koherentea da oro har, estilo eta tonu aldetik batasun handikoa».
Epaimahaikideek zehaztu dutenez, ezleku kontzeptua lantzen du hainbat poematan Arruti Irigoienek, gainbehera eta maitasuna, poesiari eta hizkuntzari buruzko kezkak. «Askotariko paisaia eta giroak uztartuz doa, barnekoak zein kanpokoak, naturaren ingurukoak zein urbanoak. Hizkera hanpaturik gabe egiten du aurrera, leun baina zorrotz, argitasunez, eta, aldi berean, alde ilunen arrakalak bilatuz».
Halaber, aurtengo lehiaketan maila «oso altua» egon dela azaldu du epaimahaiak: «Lan irabazle bat aukeratu da, baina oso gertu egon dira beste bi lan hauek: Ahizpa beltza eta Hiria, diglosia, bakardadea».
Euskal Herriko Unibertsitatean egin zituen Psikologia ikasketak Arruti Irigoienek, eta Ikerketa eta Esku Hartze Psikosozialeko Masterra egitera joan zen Bartzelonara gero. Egun, adimen urritasuna dutenekin ari da lanean, Zarauzko eguneko zentro batean (Gipuzkoa). Hauxe izango da argitaratzen duen lehen literatura lana.</t>
  </si>
  <si>
    <t xml:space="preserve">Beñat Arrutik irabazi du VII. Donostia Kultura poesia lehiaketa. 'Arkeologia haragitan' obra aurkeztu du lehiaketara, eta Balea Zuria argitaletxeak kaleratuko du, ekainean.</t>
  </si>
  <si>
    <t xml:space="preserve">Beñat Arruti Irigoienek irabazi du idazle gazteentzako Donostia Kultura poesia lehiaketa, Arkeologia haragitan lanarekin. Arruti Irigoienek ezleku kontzeptua lantzen du, baita gainbehera eta maitasuna, eta poesiari eta hizkuntzari buruzko kezkak. Hauxe izango da argitaratzen duen lehen literatura lana.
Epaimahaiaren esanetan, lan irabazlea lan orekatua eta koherentea da oro har eta azaldu du aurtengo lehiaketan maila «oso altua» egon dela. Hain zuzen ere, "Ahizpa beltza" eta "Hiria, diglosia, bakardadea" lanak irabaztetik oso gertu geratu dira.</t>
  </si>
  <si>
    <t xml:space="preserve">https://www.berria.eus/mundua/aleksei-navalni-hil-da_2120844_102.html</t>
  </si>
  <si>
    <t xml:space="preserve">Aleksei Navalni Errusiako oposizioko kidea eta aktibista hil da, gaur, Yamalo-Nenets barrutiko kartzela batean (Errusia), zirkulu polar artikotik hirurogei bat kilometrora. Hala jakinarazi dute Errusiako iturri ofizialek. Hainbat delitu egotzita, —besteak beste «estremismoa eta iruzurra»—, 30 urteko kartzela zigorra betetzen ari zen, eta espetxe horretan zegoen abendutik. Kremlineko bozeramaile Dmitri Peskovek adierazi du ez dakitela zerk eragin duen haren heriotza, eta gertatu dena ikertzen hasi direla. 47 urte zituen 2021eko Sakharov saridunak, eta Vladimir Putin Errusiako presidentearen aurkako ekintzaile nagusia zen.
Navalniren senideek heriotzaren inguruko susmoak plazaratu dituzte. «Ez dakit albiste izugarri hau sinetsi behar ote genukeen...Ezin diegu sinetsi Putini eta haren gobernuari, une oro gezurretan ari baitira», adierazi du Yulia emazteak, Municheko Segurtasun Konferentzian. Iturri ofizialek adierazi dute, ohar batean, Navalnik paseo bat eman duela gaur goizean kartzelan, eta gero, «gaizki» sentitu ondoren, kordea galdu duela. «Suspertze ahaleginek ez dute emaitzarik eman», gehitu dute oharrean. Navalniren emaztearentzat, Kremlineko burua da, «pertsonalki», Errusiari egindako «gauza izugarri guztien erantzulea».
Mendebaldeko potentzientzat ere, oro har, Navalni hil egin dute. Volodimir Zelenski Ukrainako presidentearentzat «argi» dago hil egin dutela. «Bere posizioari eusten dion bitartean, [Putini] berdin zaio nor hiltzen den». AEBen ustez, gertatu denaren «erantzulea» da Errusia. «Errusiako Gobernuak eta Putinek Navalni, epaitu, pozoitu eta kartzelatu dute azken hamarkadan, eta orain haren heriotza iragarri dute», nabarmendu du Antony Blinken Estatu idazkariak.
Joan den abendura arte, Moskutik 200 kilometro ingurura dagoen espetxe batean zegoen Navalni. Baina kanpaina bat hasia zuen eskatuz Putinen alde ez bozkatzeko Errusian martxoaren 17an egitekoak diren presidentetzarako bozetan —«Vladimir, pozoitzailea», deitzen zion— eta agintariek erabaki zuten lekuz aldatzea. AEBek, EB Europako Batasunak eta Amnesty Internationalek, besteak beste, kezka agertu zuten.
Errusiako presidentearen kritiko nagusietako bat izan da Navalni azken urteotan. 2011n eta 2012an Putinen aurka egindako protesten sustatzaileetako bat izan zen, eta presidenteari egotzi zion hauteskundeetan iruzurra egitea eta gobernuan ustelkeria sustatzea. Navalnik egindako salaketa bideoak milioika errusiarrek ikusi zituzten.
Pozoitu egin zuten
Urtebete geroago, Moskuko alkatetzarako hauteskundeetan, botoen %27 jaso zituen, nahiz eta Putinekin kritiko agertu zirenek salatu zuten bozak orduan ere ez zirela askeak izan eta iruzurra egon zela. Hurrengo urteetan, Navalnik jarraitu zuen Kremlinen kontra egiten. Esaterako, kaleratu zuen Putinek agindu zuela berentzako jauregi bat eraikitzeko Itsaso Beltzean, eta Dmitri Medvedev presidente izandakoa ere jopuntuan jarri zuen, jakinarazi baitzuen hainbat jauregi eta yate zituela.
2020an koman egon zen, Errusiako espioiek novitxok gasarekin pozoitu zutelako ustez. Alemanian tratamendua jaso zuen, osatu zen, eta 2021eko urtarrilean Errusiara itzuli zen. Atxilotu egin zuten, ordea, baldintzapeko askatasuna urratzea leporatuta. Orduz geroztik espetxeratuta egon da, eta hainbat zigor ezarri dizkiote auzitegiek.</t>
  </si>
  <si>
    <t xml:space="preserve">Aleksei Navalni hil da, Putinen kontrako ekintzailea. Errusiako oposizioko kidea kartzelatuta zegoen, zirkulu polar artikotik hirurogei bat kilometrora dagoen espetxe batean. Nazioarteak eta senideek Kremlin egin dute heriotzaren erantzule.</t>
  </si>
  <si>
    <t xml:space="preserve">Aleksei Navalni Errusiako oposizioko kidea eta aktibista hil da, gaur, 47 urterekin, Yamalo-Nenets barrutiko kartzela batean (Errusia), Errusiako iturri ofizialen arabera. Kremlineko bozeramaile Dmitri Peskovek adierazi du ez dakitela zerk eragin duen haren heriotza, eta gertatu dena ikertzen hasi direla. Iturri ofizialek adierazi dutenez Navalnik paseo bat eman du gaur goizean kartzelan, eta gero, «gaizki» sentitu ondoren, kordea galdu duela. Suspertze ahaleginek ez dutela emaitzarik eman gehitu dute. Navalniren senideek, ordea, heriotzaren inguruko susmoak plazaratu dituzte eta mendebaldeko potentzientzat ere, oro har, Navalni hil egin dute.</t>
  </si>
  <si>
    <t xml:space="preserve">The text you've shared is in Basque and appears to be a political news article about the recent Catalan elections. Would you like me to provide a summary or translation of the text? I can help you with either in Basque, Spanish, or English.
The article seems to discuss:
- Pere Aragonès (ERC president) stepping back from front-line politics
- Election results and their implications
- Potential government formation strategies
- Reactions from different political parties
- Clara Ponsati leaving front-line politics
Would you like me to elaborate on any specific aspect of the text?</t>
  </si>
  <si>
    <t xml:space="preserve">Testuaren eduki garrantzitsuena hau da:
Pere Aragonesek (ERC) dimisioa aurkeztu du Kataluniako hauteskundeetako emaitza txarren ondorioz, eta jarduneko presidente gisa jarraituko du. Hauteskundeen emaitzak aztertuz, hauek dira garrantzitsuenak:
1. ERCk 178.000 boto galdu ditu 2021eko hauteskundeekin alderatuta.
2. Katalunian «gehiengo independentista» galdu egin da.
3. PSC (sozialisten alderdia) da indar politiko nagusia 42 eserlekurekin.
4. Junts per Catalunya bigarren indarra da 35 eserlekurekin.
5. Carles Puigdemont Juntseko hautagaia inbestidurara aurkeztuko da.
Laburpena:
Kataluniako hauteskundeek aldaketa politiko bat erakusten dute, non independentismoaren indarra ahuldu egin den eta PSC alderdi sozialistak indar handiena lortu duen. Pere Aragonesek dimisioa aurkeztu du, baina jardunean jarraituko du, eta azpimarratu du herritarren erabakia onartzen duela. Etorkizuneko gobernua osatzeko negoziaketak hasiak dira, eta alderdiek elkarrizketarako prest agertu dira, nahiz eta oraindik ez den argi zein izango den gobernu-formularik egokiena.</t>
  </si>
  <si>
    <t xml:space="preserve">Jarraian, 5W1H metodoa erabiliz testuko informazio nagusia aztertuko dut:
## 5W1H Analisia
### Zer (What):
Kataluniako hauteskundeen ondorengo politika-egoera, non:
- Pere Aragonesek ERC alderditik dimisioa aurkeztu du
- Hauteskundeen emaitzak aztertu dira
- Gobernu berria osatzeko negoziaketak hasi dira
### Nork (Who):
- Pere Aragones (ERC presidente ohia)
- Nuria Parlon (PSC bozeramailea)
- Carles Puigdemont (Junts hautagaia)
- Jessica Albiach eta David Cid (Comuns Sumar)
- Clara Ponsati (Alhora alderdiko kidea)
### Noiz (When):
- 2024ko hauteskundeen ondorengo egunean
- Hauteskunde-egunaren biharamunean
### Non (Where):
- Katalunia
- Kataluniako Parlamentua
- Komunikabideen aurrean
### Zergatik (Why):
- Hauteskunde-emaitzak aztertzeko
- Gobernu berria osatzeko aukerak aztertzeko
- Independentismo katalanaren egoera politikoa baloratzeko
### Nola (How):
- Prentsaurrekoetan
- Alderdien barne-bileretan
- Komunikabideetan adierazpenak eginez
- Negoziazio politikoak hasiz
- Emaitzen balorazio kritikoa eginez
Laburbilduz, testuan Kataluniako hauteskundeen ondorengo politika-egoera azaltzen da, non alderdiek emaitzak aztertu eta etorkizuneko gobernua osatzeko estrategiak marrazten dituzten.</t>
  </si>
  <si>
    <t xml:space="preserve">Here's a summary of the key points from the Catalan election news article:
1. Pere Aragonés, the current president of the Generalitat, has announced his departure from the first line of politics after ERC's poor election results.
2. Aragonés acknowledged losing 13 parliamentary seats, with 178,000 fewer votes compared to 2021 and 508,000 fewer than in 2017. He blamed the decline partly on the "continuous blockade" by PSC and Junts.
3. Nuria Parlon from PSC stated that socialists should lead Catalonia's future. They plan to initiate negotiations with all parties except those promoting "hate discourse".
4. Carles Puigdemont (Junts) confirmed he will present himself for investiture, believing they can form a "coherent majority" that includes the PP.
5. The election results show:
- PSC: 42 seats (first place)
- Junts: 35 seats (second place)
- ERC: 20 seats
- Sovereign parties combined have 55 seats
6. Comuns Sumar is open to forming a left-wing government with PSC and ERC.
7. PP's Alejandro Fernández stated he won't support a PSC government and opposes any political operation that gives separatists a key role.
8. Clara Ponsati announced she's leaving frontline politics, stating the independence project is in a major crisis.
9. Basque leaders like Andoni Ortuzar and Eneko Andueza have commented on the results, with Ortuzar praising the complexity of Catalan politics and Andueza congratulating Catalan socialists on their "historic result".
The article highlights the complex political landscape in Catalonia following these elections, with negotiations and potential government formations still uncertain.</t>
  </si>
  <si>
    <t xml:space="preserve">Testuak Espainiako Koparen final-zortzirenei buruzko xehetasunak azaltzen ditu, eta ondoko derbi garrantzitsuak nabarmentzen ditu:
1. Osasunak eta Realak elkarren aurka jokatuko dute Sadarren. Honek baditu berezitasunak:
- Osasunak aurretik Bartzelonaren aurka Superkopako finalaurrekoa jokatuko du Saudi Arabian
- Partidaren data aldatu daiteke Osasunak final-laurdenetara pasatuz gero
2. Athleticek eta Alavesek derbia jokatuko dute San Mamesen:
- Athletic-Alaves partida urtarrilaren 16an izango da, 21:00etan
- Hau izango da Athletic-entzat hirugarren derbia jarraian
- Alavesek aurretik Sevillaren aurka jokatuko du eta gero Cadiz hartuko du etxean
Zozketak bi derbi interesgarri ekarri ditu, non talde guztiak Lehen Mailakoak dira, eta kanporaketa esanguratsuak espero dira. Bi taldeek partida gogoangarriak izango dituzte hilabete honetan.</t>
  </si>
  <si>
    <t xml:space="preserve">Testuaren edukirik garrantzitsuena honako hau da:
Espainiako Koparen final-zortzirenetan derbi interesgarriak izango dira: Osasuna-Real Sociedad Sadarren eta Athletic-Alaves San Mamesen. Partiden data zehazteko ordutegian malgutasuna egongo da, Osasunak Superkopako finalaurrekoan Bartzelonaren aurka jokatuko duelako. Talde guztiek egoera konplexua dute, etxetik kanpoko partida eta derbi segidakoak izango baitituzte.
Laburpena:
Espainiako Koparen final-zortzirenetan bi derbi izango dira: Osasuna-Real Sociedad eta Athletic-Alaves. Partiden ordutegia Osasunak Superkopan duen jardunaren araberakoa izango da. Talde guztiek egutegiaren aldetik egoera zailean daude, etxetik kanpoko eta derbi jarraituak jokatuko baitituzte.</t>
  </si>
  <si>
    <t xml:space="preserve">Hona hemen testua 5W1H metodoa erabiliz aztertuta:
## ZER (What):
Espainiako Koparen final-zortzireneko bi derbi bikoitz: Osasuna-Real Sociedad eta Athletic-Alaves
## NORK (Who):
- Osasuna
- Real Sociedad
- Athletic Club
- Alaves
## NOIZ (When):
- Athletic-Alaves: Urtarrilaren 16an, 21:00etan
- Osasuna-Reala: 
  * 17an, 21:00etan (Superkopako finalaurrekoa galduz gero)
  * 18an, 19:30etan (Finalera pasatuz gero)
## NON (Where):
- Athletic-Alaves: San Mames
- Osasuna-Reala: Sadar estadioa
## ZERGATIK (Why):
- Espainiako Koparen final-zortzireneko kanporaketa
- Derbi interesgarriak
- Talde bakoitzaren liga eta kopa helburuak
## NOLA (How):
- Zozketa bidez erabakitako norgehiagokak
- Talde bakoitzaren egoera eta baldintzak kontuan hartuta
- Aurretiko partida eta txapelketen eragina kontuan izanik (Superkopa, liga)</t>
  </si>
  <si>
    <t xml:space="preserve">Here's a summary (TLDR) of the text in Spanish:
TLDR:
La Copa del Rey presenta dos derbis emocionantes:
- Osasuna vs Real Sociedad en Sadar
- Athletic vs Alavés en San Mamés
Fechas clave:
- Athletic-Alavés: 16 de enero a las 21:00
- Osasuna-Real (depende del resultado en Supercopa): 17 de enero a las 21:00 o 18 de enero a las 19:30
Puntos destacados:
- Osasuna jugará contra la Real después de su partido de Supercopa contra el Barcelona
- Athletic disputará su tercer derbi consecutivo
- Pocas sorpresas hasta ahora en la Copa, con la mayoría de equipos de Primera División
- Alavés llega al partido con partidos previos contra Sevilla y próximamente contra Cádiz</t>
  </si>
  <si>
    <t xml:space="preserve">This text is in Basque, and it appears to be a sports article about an upcoming soccer match between Osasuna and Rayo Vallecano. Here's a summary of the key points:
1. Osasuna's Performance:
- The team has had a difficult season, especially at home
- They've only won one home game this season (2-0 against Granada)
- In their last six home games, they've lost six and drawn two
- They're struggling both at home and away, having not won in six consecutive matches
2. Team Challenges:
- The team has conceded 26 goals, making them one of the most vulnerable defenses
- In the last six matches, they've conceded 12 goals
- Key player Budimir has scored 8 goals and provided 2 assists, accounting for 55% of the team's goals
3. Opponent - Rayo Vallecano:
- They have 20 points, four more than Osasuna
- Haven't won in seven matches
- Struggling with goal scoring, only scoring 16 goals this season
- Strong away performance with 3 wins and only 2 losses in away games
4. Match Details:
- Location: Sadar Stadium
- Time: 21:00
- Expected attendance: 23,516
- Broadcast: LaLiga on Movistar
The article suggests that both teams are looking to improve their current form and are in need of a victory.</t>
  </si>
  <si>
    <t xml:space="preserve">Testua Osasunaren azken denboraldiko egoera futbolean aztertzen du. Hona hemen testuaren eduki garrantzitsuena:
Laburpena:
Osasuna sasoi txarrean dago futbolean. Etxean zein kanpoan emaitza txarrak izaten ari da, sei jardunaldi jarraian garaipenik lortu gabe. Taldeak joko irregularra du eta defendatzeko arazoak ditu: 26 gol jaso ditu, eta azken sei partidetan hamabi aldiz zulatu diote atea. 
Budimir da taldeko jokalari garrantzitsuena, Osasunak sartu dituen golen %55 bere ekarpenari zor zaizkio. Gaur Rayo Vallecano taldea hartuko dute Sadarren (21:00), eta partida garrantzitsua izango da egoerari buelta emateko. Rayok ere momentu txarrean dago, baina kanpoan hobeto moldatzen da.
Teknikariak hamaikakoan aldaketak egin ditzake, Ruben Peña eta Catena berreskuratu baititu. Helburua da etxean irabaziz denboraldiari bultzada ematea.</t>
  </si>
  <si>
    <t xml:space="preserve">Hona hemen testua 5W1H metodoa erabiliz aztertuta:
## WH (What) - Zer?
Osasuna eta Rayo Vallecano futbol taldeen arteko LaLiga ligako partida, etxean jokatuko dena, non Osasunak garaipen beharra duen bere etxeko emaitza txarrak gainditzeko.
## WHO (Who) - Nork?
- Osasuna: Jagoba Arrasateren zuzendaritzapean
- Rayo Vallecano: txarto dabilen taldea, baina kanpoan ondo ibiltzen dena
- Protagonista nagusiak: 
  * Budimir (Osasunak golegile bakarra)
  * Sergio Herrera (atezaina)
  * Alvaro Garcia (Rayoren golegile nagusia)
## WHEN (When) - Noiz?
- Gaur gauean, 21:00etan
- Gabonak iritsi eta urtea bukatu aurretik
- Denboraldi honen erdialdera
## WHERE (Where) - Non?
- Sadar estadioan, Iruñean
- 23.516 ikusleren aurrean
## WHY (Why) - Zergatik?
- Osasuna:
  * Etxeko porroten segida eteteko
  * Jaisteko postuak saihesteko
  * Denboraldiko lehen etxeko garaipena lortzeko
- Rayo Vallecano:
  * Bere bolada txarra hobetzeko
  * Sailkapenean sendo mantentzeko
## HOW (How) - Nola?
- Osasuna:
  * Defentsa sendotu beharko du (26 gol jasoak)
  * Budimirren ekarpenean oinarrituta
  * Aurrelari berriek lagunduta
- Teknikoki:
  * Joko aldaketak
  * Lesionatuak eta zigortutakoak berreskuratuta (Ruben Peña, Catena)
  * Aurrealdean zehaztasun handiagoarekin</t>
  </si>
  <si>
    <t xml:space="preserve">Here's a summary of the text in Spanish:
Osasuna está atravesando un momento complicado en la temporada. A pesar de algunos logros en la Copa del Rey y la clasificación para Europa, el equipo está sufriendo en casa. Solo ha ganado un partido en El Sadar en la presente temporada (2-0 contra Granada), y de los ocho partidos jugados en casa, ha perdido seis y empatado dos.
La situación es preocupante tanto en casa como fuera. No ganan desde hace seis jornadas y están a seis puntos de los puestos de descenso. El rendimiento del equipo es irregular, con problemas defensivos significativos: han encajado 26 goles, siendo uno de los equipos más vulnerables de la liga.
El delantero Budimir ha sido clave, siendo responsable del 55% de los goles del equipo (8 goles y 2 asistencias), pero necesita apoyo del resto del equipo.
El Rayo Vallecano también llega en un momento delicado, con 20 puntos en la clasificación. No gana desde hace siete jornadas y tiene problemas para marcar goles, con solo 16 tantos en lo que va de temporada.
Para el partido de hoy, Osasuna recupera a Ruben Peña y Catena, lo que podría dar un impulso al equipo. El encuentro se jugará en El Sadar con 23.516 espectadores a las 21:00 horas.
El objetivo de Osasuna es clara: ganar para dejar de ser un equipo "extraño" en su propio estadio y alejarse de los puestos de descenso.</t>
  </si>
  <si>
    <t xml:space="preserve">The text is in Basque and appears to be an article about a documentary series called "Generación porno" that explores the impact of pornography on young people. Here's a summary of the key points:
The documentary was produced collaboratively by ETB, TV3, and Shine Iberia, focusing on the growing concern about children's early exposure to pornography. Key highlights include:
1. Psychological and Social Concerns:
- Jose Luis Garcia, a psychologist and sexologist, expresses alarm that children as young as 6 are accessing pornography.
- The content is becoming increasingly violent, and children can easily access these videos with just two clicks.
2. Documentary Details:
- Based on interviews with four families
- Includes testimonies from singers, porn industry actors, and experts
- Will be broadcast on ETB2 (Spanish) and TV3 (Catalan) in multiple episodes
3. Key Observations:
- Marina Marroqui, a social educator, describes sexual relationships among 12-14-year-olds as "completely savage"
- She highlighted a case of a 12-year-old child who touched his sister inappropriately, having lost all understanding of boundaries due to pornography
4. Recommendations:
- Emphasize the need for contemporary sex education
- Create healthy and safe home environments for discussing sexuality
- Recognize pornography as a "drug of the 21st century" that doesn't simply disappear by not consuming it
The documentary aims to raise awareness about a widespread issue occurring "in every home" and promote understanding of the complex challenges surrounding youth and pornography.</t>
  </si>
  <si>
    <t xml:space="preserve">Testua laburtuko dut, edukirik garrantzitsuena erabiliz:
Generación porno dokumentalak pornografiaren eragin kaltegarriei buruz ohartarazten du, batez ere gazteengan. Dokumentalak azpimarratzen du 12-14 urteko gazteek gero eta goizago eta bortitzago ikusten dutela pornografia, eta horrek sexu-harremanetan eta portaeran ondorio larriak dituela. Jose Luis Garcia psikologoak pornografia "XXI. mendeko kokaina" gisa definitu du, eta Marina Marroqui gizarte-hezitzaileak sexu-heziketa garaikidera eta etxeko komunikazio irekira dei egin du.
Dokumentalaren giltzarriak dira:
1. Gazteek gero eta goizago hasten dira pornografia kontsumitzen
2. Kontsumitzen duten edukia gero eta bortitzagoa da
3. Horrek eragin kaltegarriak ditu haien sexu-ulermenean eta -portaeran
4. Sexu-heziketa eta etxeko komunikazioa dira funtsezko irtenbideak
ETB2k eta TV3k ekoitzi dute lan hau, lau familiari egindako elkarrizketak oinarri hartuta.</t>
  </si>
  <si>
    <t xml:space="preserve">Hemen da testua 5W1H metodoa erabiliz aztertuta:
## Zer (What):
Generación porno dokumental saila, gazte eta adingabeek pornografia kontsumoari buruzko dokumentala. Bertan pornografiaren eraginak, sexu heziketaren garrantzia eta gazte gazteen sexu harremanetan dituen ondorioak aztertzen dira.
## Nork (Who):
- Jose Luis Garcia (psikologo eta sexologoa)
- Marina Marroqui (gizarte hezitzailea)
- ETB eta TV3 (telebista kateak)
- Shine Iberia (ekoiztetxea)
- Dokumentalean parte hartzen duten ama-seme familiak
## Noiz (When):
- Dokumentalaren aurkezpena: FesTVal jaialdian
- ETB2n emitituko da: hilaren 18tik aurrera (lau ataletan)
- TV3n emitituko da: hilaren 26tik aurrera (hiru saiotan)
## Non (Where):
- Gasteizko Europa Biltzar Jauregia (aurkezpena)
- Bilboko Azkuna zentroa (aurrestreinaldia)
- ETB2 eta TV3 telebista kateetan
## Zergatik (Why):
- Gazteek gero eta goizago hasten direlako pornografia kontsumitzen
- Kontsumitzen den pornografia gero eta bortitzagoa delako
- Adingabeek sexu harremanetan dituzten jarrera kaltegarriak azaleratzeko
- Sexu heziketa garaikidearen beharra erakusteko
## Nola (How):
- Lau familiari egindako elkarrizketak oinarri hartuta
- Abeslariak, pornoaren industriako aktoreak eta adituak parte hartuz
- Sexu heziketa, teknologia, indarkeria eta ezjakintasuna aztertuz
- Etxe guztietan gertatzen den errealitate bat erakutsiz</t>
  </si>
  <si>
    <t xml:space="preserve">I'll provide a concise summary of the article in the language of the original text (Basque):
Generación porno dokumentala aurkeztu da, pornografiaren eraginari buruzko ikerketa sozial bat. Dokumentalak lau familia aztertzen ditu, eta sexu-hezkuntzaren, teknologiaren eta pornografia goiztiarraren inpaktuari buruz dihardu.
Gako nagusiak:
- 12-14 urteko gazteak geroz eta goizago hasten dira pornografia kontsumitzen
- Pornografia kontsumoa geroz eta bortitzagoa da
- Sexu-heziketa egoki baten beharra nabarmendu da
- Jose Luis Garcia psikologoak pornografia "droga" gisa definitu du
- Dokumentala ETB2k eta TV3k ekoitzi dute, Shine Iberia-rekin elkarlanean
Marina Marroqui gizarte hezitzaileak azpimarratu du gazteen sexu-harremanak "guztiz basatiak" direla, eta pornografiaren eragin kaltegarriak nabarmendu ditu. Dokumentalaren helburua da gai hau "etxe guztietan" gertatzen den errealitate gisa erakustea.</t>
  </si>
  <si>
    <t xml:space="preserve">This text is in Basque, and it appears to be a sports article about a pelota (handball) match involving Iñaki Artola. Here's a summary of the key points:
The article discusses Iñaki Artola's outstanding performance in a pelota tournament. Highlights include:
1. Artola is experiencing his best form as a professional player.
2. In the match at Labrit pilotalekua in Iruña (Pamplona), he defeated:
   - Joseba Ezkurdia 22-10
   - Aitor Elordi 22-8
   - Javier Zabala 22-8
3. The match against Zabala was particularly impressive. Artola dominated after a close start, taking a 12-3 lead at the first long break.
4. Artola showed exceptional play, demonstrating superior technique, physical fitness, and confidence. He was particularly strong in serving and attacking.
5. Artola has secured a spot in the semi-finals as the top-ranked player in his group.
6. The second qualifying spot will be decided in the next match between Elordi and Ezkurdia.
7. If Elordi wins, he will qualify for the semi-finals. If he loses, Zabala will take the second spot.
The article portrays Artola as in top form, praising his skill, strategy, and mental strength throughout the match.
Would you like me to elaborate on any part of this summary?</t>
  </si>
  <si>
    <t xml:space="preserve">Testu honen eduki garrantzitsuena Iñaki Artolaren binakako txapelketako bikain jokatzeari buruzkoa da, zehazkiago Javier Zabalaren aurka lortu duen garaipena.
Laburpena:
Iñaki Artolak, Baikoko aurrelariak, erakustaldi bikaina eskaini du Labrit pilotalekuan Javier Zabalaren aurka jokatutako norgehiagokan. Partida osoan zehar nagusitasun handia erakutsi du, batez ere lehenengo zatian, non 12-3ko aldearekin aurrea hartu zuen. Artolak oso erraz eraman du jokoa bere erara, sakeari etekin handia ateraz eta pilotari luze eta eraginkor jokatuz. Zabalak ezin izan dio aurre egin alegiarraren mailari, eta azken saiakerek ere ez zuten ezer aldatu. Emaitza 22-8 izan da Artolaren alde, eta honek bermatu du finalerdietarako sailkapena multzo burutzat.
Garrantzitsua da azpimarratzea bihar erabakiko dela norgehiagoka honetatik zein taldek lortuko duen bigarren postua, Bilboko Bizkaia frontoian Elordi eta Ezkurdiaren arteko norgehiagokan.</t>
  </si>
  <si>
    <t xml:space="preserve">Hona hemen testua 5W1H metodoa erabiliz aztertua:
## Zer (What):
Binakako pilota txapelketako partidua, non Iñaki Artolak Javier Zabala garaitu duen 22-8ko emaitzarekin. Artola finalerdietarako sailkatu da, eta multzo barruko bigarren postua gaur erabakiko da.
## Nork (Who):
- Protagonista nagusia: Iñaki Artola (Baikoko aurrelaria)
- Aurkaria: Javier Zabala
- Beste aipatutako pilotariak: Joseba Ezkurdia eta Aitor Elordi
## Noiz (When):
Testuan aipatzen den eguna gaur da, zehaztasun gehiagorik gabe. Partidua Iruñeko Labrit pilotalekuan jokatu da.
## Non (Where):
- Leku zehatza: Labrit pilotalekua (Iruñean)
- Hurrengo faserako erabakia: Bilboko Bizkaia frontoian erabakiko da
## Zergatik (Why):
- Txapelketako fasea aurrera egiteko
- Finalerdietarako sailkapena lortzeko
- Norberaren maila eta konfiantza erakusteko
## Nola (How):
- Artolak 22-8 irabazi dio Zabalari
- Oso partidu sendo eta kontrolatua
- Sakeari etekin handia ateraz
- Erasoan eta defentsan oso eraginkor
- Presioa ondo jasanez
- Konfiantza handiarekin jokatuz
Artolaren garaipenak erakusten du pilotari gisa une bikainean dagoela, eta finalerdietarako sailkapena lortu du.</t>
  </si>
  <si>
    <t xml:space="preserve">I'll provide a summary (TLDR) of this Basque-language text about a pelota (handball) match:
TLDR: Iñaki Artola delivered an exceptional performance in the Labrit pilotaleku (pelota court) in Pamplona, decisively defeating Javier Zabala 22-8. Artola's victory ensures he will top his group and qualify for the semifinals. He displayed outstanding form, demonstrating superior play, physical endurance, and confidence throughout the match. 
The article highlights Artola's dominance, particularly after the initial stages where both players were evenly matched. Artola's serve and offensive strategy were key to his victory, and he maintained control even as Zabala attempted a late comeback.
The second qualifying spot in the group will be decided in tomorrow's match in Bilbao, where Aitor Elordi is the favorite against Joseba Ezkurdia. Zabala will be watching the match on television.
Would you like me to elaborate on any part of the summary or provide more context about the pelota tournament?</t>
  </si>
  <si>
    <t xml:space="preserve">I'll help you by translating this Basque text to English. Here's the translation:
A shooting occurred this evening at a theater in the suburbs of Moscow, and according to Russian media, at least 40 people have been killed and dozens wounded, including minors. The released information states that at least three armed attackers began shooting before a concert started and also detonated some explosives. The Russian Federal Security Service has stated that it has taken "necessary measures" and is investigating the incident as a "terrorist attack". They are searching for the attackers. The Ukrainian Government has emphasized that it has no connection to the attack.
Videos released on social media show concert-goers trying to escape the theater while gunshots are being heard. The theater's ceiling caught fire due to the explosions, and firefighters have been attempting to extinguish it. Eventually, it collapsed.
According to Russian media, citing witness accounts, these armed men started shooting in the street outside the theater and continued their attack inside. Social media videos and photos show corpses both inside and outside. The theater has been evacuated, and those who suffered the attack emphasized that it was "chaotic". According to them, the theater's guards had taser guns and clubs.
The Russian Government has described the incident as a "terrible crime" and called on the international community to condemn it. John Kirby, spokesperson for the US National Security Council, told media that there are no indications that Ukraine or Ukrainian citizens are behind the attack. He added that there are opponents of President Vladimir Putin in Moscow and Russia, but it cannot be confirmed that the attack was for "political reasons". Mikhailo Podolyak, advisor to Ukrainian President Volodymyr Zelenskyy, emphasized in a message on the X social network that Ukraine has "no" involvement. "Ukraine has never used terrorist methods. Ukraine has been fighting against Russia for more than two years, and this war will only be decided on the battlefield."
The US Embassy in Russia had warned yesterday, through a notice, that "extreme groups" were preparing to attack events with large crowds in Moscow, and that they had this information. Other Western country embassies have also released similar messages in recent days, but Putin has spoken out against them, stating that they are attempts to "demoralize and intimidate" Russian society. After today's attack, the Kremlin has canceled rallies and major events scheduled in Moscow this weekend and has intensified airport controls.</t>
  </si>
  <si>
    <t xml:space="preserve">Laburpena:
Moskuko antzoki batean gertatu den tiroketa erasoan gutxienez 40 lagun hil dira eta dozenaka lagun zauritu. Hiru erasotzaile armatuk tiroketa eta lehergailuak erabili zituzten kontzertu bat hasi aurretik, antzokiaren barruan eta kanpoan. Errusiako Segurtasun Zerbitzu Federalak gertakaria "eraso terrorista" gisa ari da ikertzen. 
Ukrainako Gobernuak eta presidentearen aholkulariak erabat baztertu dute erasoaren edozein zerikusi, eta AEBetako segurtasun agintariek ere ez dute Ukrainarekin loturarik ikusten. AEBen enbaxadak aurretik ohartarazi zuen muturreko taldeen erasoen arriskuaz Moskun. 
Gertakariaren ondorioz, Kremlinek bertan behera utzi ditu asteburuko ekitaldiak eta aireportuetako kontrolak indartu ditu.</t>
  </si>
  <si>
    <t xml:space="preserve">Hona hemen testua 5W1H metodoa erabiliz aztertuta:
## ZER (What):
Tiroketa bat gertatu da Moskuko aldirietako antzoki batean. Erasoaren ondorioz, gutxienez 40 lagun hil dira eta dozenaka lagun zauritu dituzte, adingabeak ere tartean. Hiru erasotzaile armatuk tiroak egin eta lehergaiak zartarazi dituzte kontzertu bat hasi aurretik.
## NORK (Who):
- Erasotzaileak: Hiru gizon armatuk eraso zuten
- Biktimak: Gutxienez 40 hildako eta dozenaka zauritu
- Erakundeen erantzuna: 
  * Errusiako Segurtasun Zerbitzu Federala ikerketa egiten ari da
  * Errusiako Gobernuak "krimen izugarritzat" jo du
## NOIZ (When):
Gaur iluntzean gertatu da erasoa, kontzertu bat hasi aurretik.
## NON (Where):
Moskuko aldirietako antzoki batean, bai kanpoan eta barruan zehar gauzatu da erasoa.
## ZERGATIK (Why):
Arrazoi zehatzak ez dira oraindik argiak. Posible da:
- Motibo politikoak
- Barne gatazkak
- Terrorismo-ekintza bat
## NOLA (How):
- Erasotzaileek kalean hasi ziren tiroka
- Antzokiaren kanpoaldean eta barruan jarraitu zuten erasoan
- Lehergaiak zartarazi zituzten
- Antzokiko sabaia su hartu eta erori egin da
- Lekukoen arabera, erasoa "kaotikoa" izan zen
Ohar garrantzitsuak:
- Ukrainak eraso honen gain ardurarik ez duela azpimarratu du
- AEB eta beste enbaxadek aurretik abisu bat eman zuten eraso posibleei buruz
- Kremlinek asteburuko ekitaldi handiak bertan behera utzi ditu</t>
  </si>
  <si>
    <t xml:space="preserve">TLDR: Moskuko aldirietako antzoki batean eraso terrorista larria gertatu da, gutxienez 40 lagun hil eta dozenaka zauritu dituzte. Hiru erasotzaile armatuk tiro egin dute eta lehergaiak jarri dituzte, antzokiko sabaia sutan eta erortzera behartuz. Ukrainako Gobernuak eta AEBek zehaztu dute ez dutela zerikusirik erasoarekin. Errusiak gertakaria «krimen izugarri» gisa kalifikatu du eta nazioarteari erantzuna eskatu dio. Kremlin-ek ekitaldiak bertan behera utzi ditu eta kontrolak indartu.</t>
  </si>
  <si>
    <t xml:space="preserve">"This appears to be an interview in Basque with Egoitz Arbiol Albeniz from Hiruki Larroxa, a cooperative working on gender studies, feminist pedagogy, conflict resolution, and LGBTQI+ issues. Here's a summary of the key points:
1. Hiruki Larroxa is a cooperative founded in late 2020 in Hernani, Gipuzkoa, focusing on gender-related research and interventions.
2. Egoitz discusses the importance of men taking responsibility for deconstructing themselves and transforming their environment.
3. The cooperative's workshops aim to:
   - Rethink power relations in activism through a gender lens
   - Analyze relationships between men, women, and non-binary individuals
   - Develop tools for creating more balanced and symmetrical relationships
4. Key insights on masculinity:
   - Society is based on a culture of domination that intersects with gender, class, and other identities
   - Men are privileged subjects in patriarchal structures
   - Masculinity is learned, including roles, behaviors, and bodily expressions
5. He emphasizes the concept of ""fratriarchy"" - power dynamics between men themselves, particularly evident in socialization processes.
6. Regarding Basque Country, he notes that left-wing men are uncomfortable with this topic, which he sees as a positive sign of reflection, but urges moving from theoretical discomfort to concrete action.
7. He stresses the importance of men taking responsibility, particularly given the work women have done in feminism and social transformation.
The interview provides a thoughtful exploration of masculinity, gender relations, and the need for men to actively participate in dismantling patriarchal structures."</t>
  </si>
  <si>
    <t xml:space="preserve">Testua laburbilduz, hona hemen edukiaren funtsezko ideiak:
Hiruki Larroxa LGTBQI+ kooperatibak gizontasunaren azterketa egiten du, eta bere helburua da militantzia eremuan genero eta botere harremanak birpentsatzea. Egoitz Arbiol Albeniz, kooperatibako kide batek, azpimarratzen du garrantzitsua dela gizonek beren buruak deseraikitzea eta ingurunea eraldatzea.
Arbilolen arabera, gizartea dominazioaren kultura batean oinarrituta dago, non gizona subjektu pribilegiatua den. Bereziki azpimarratzen du "fratiarkatua" edo gizonen arteko boterezko harremanen garrantzia. Bere ustez, gizonek gizonei hitz egin behar diete eraldaketaz, eta ez geratzea kezka teorikoan, baizik eta ekitea.
Euskal Herriko ezker mugimenduko gizonei dagokienez, gaiari buruz gogoeta egiten ari direla dio, baina garrantzitsuena izango litzatekeela kezkak alde batera utzita ekintzara pasatzea.</t>
  </si>
  <si>
    <t xml:space="preserve">Hona hemen 5W1H metodoa erabiliz testu honen azterketa:
🔍 ZER (What):
Hiruki Larroxa LGTBQI+ kooperatiba, gizontasunaren azterketa, pedagogia feminista eta talde gatazken ebazpenean lan egiten duena. Baita dokumentalak sortzen ere, zehazki Hernaniko LGTBI historiari buruzkoa.
👥 NORK (Who):  
Egoitz Arbiol Albeniz (Hernani, 1988), kooperatibaren sortzaileetako bat. Baita kooperatibako beste kideak ere.
🕒 NOIZ (When):
- Kooperatiba 2020. urte bukaeran sortu zen
- Elkarrizketa momentuko jarduera: Baionan "Gizonak eta herri mugimendu parekide(ago)ak" tailerra
📍 NON (Where):
- Kooperatiba sortu zen tokia: Hernani (Gipuzkoa)
- Elkarrizketa edo tailerra: Baiona
❓ ZERGATIK (Why):
- Generoko botere harremanak aztertzeko
- Militantzia arloan harreman orekatu eta simetrikoak lortzeko
- Gizonei beren genero eraikuntzaz hausnarrarazteko
- Patriarkatuaren eta dominazio kulturaren aurkako lanketa
🔄 NOLA (How):
- Tailer dinamiko eta parte-hartzaileak
- Hausnarketa teorikoak
- Genero eraikuntzaren deseraikuntza
- Gizonek gizonei zuzendutako elkarrizketak
- Kontzientziazio eta eraldaketa prozesuak</t>
  </si>
  <si>
    <t xml:space="preserve">Here's a summary of the key points from the interview with Egoitz Arbiol Albeniz from Hiruki Larroxa, a cooperative focused on LGBTQI+ issues and gender studies:
1. Background:
- Hiruki Larroxa is a cooperative founded in late 2020 in Hernani, Gipuzkoa
- They work on gender analysis, feminist pedagogy, conflict resolution, and are currently creating a documentary about Hernani's LGBTI history
2. Workshop in Bayonne on Men and Social Movements:
- The workshop was interactive and participatory
- Main goals include:
  - Rethinking power relations in activism through a gender lens
  - Identifying power dynamics between men, women, and non-binary individuals
  - Developing tools for more balanced and symmetrical relationships
3. Key Perspectives on Masculinity:
- Emphasizes understanding the culture of domination that permeates society
- Recognizes men as privileged subjects in patriarchal structures
- Calls for men to deconstruct their gender construction and learned roles
- Highlights the importance of "fratriarchy" - power dynamics between men
4. Responsibility of Men:
- Argues that men need to take responsibility for social transformation
- Suggests men should start deconstructing themselves and their environments
- Believes men speaking to other men about gender issues is crucial
5. Observations about Masculinity in the Basque Country:
- Notes that left-wing men feel uncomfortable discussing masculinity
- Encourages moving beyond theoretical discomfort to actual action
- Sees potential for change in how men approach gender issues
The interview underscores the need for critical self-reflection and active participation in challenging patriarchal structures.</t>
  </si>
  <si>
    <t xml:space="preserve">"The text you've shared is in Basque (euskara). It appears to be a news article discussing statements made by Iñigo Ansola, the director of the Basque Energy Agency (EEE), regarding energy companies, taxation, and investment. Here's a summary of the key points:
1. Iñigo Ansola has fully supported the statements made by the presidents of Repsol and Petronor, criticizing the special tax imposed by the Spanish Government on energy companies.
2. Ansola emphasizes that companies need a stable regulatory framework to make investments. He warns that without stability, companies like Repsol and Petronor are unlikely to invest in decarbonization.
3. He highlights the economic importance of Petronor, which is based in Biscay and is a subsidiary of Repsol, noting that the regional treasury receives ""thousands of millions of euros"" from its presence.
4. The special tax was initially imposed by the Spanish Government last year due to extraordinary profits during the Ukraine war and to finance measures to combat high inflation.
5. Ansola suggests that the Basque Nationalist Party (EAJ) should condition its support for Pedro Sánchez's government based on this tax issue.
6. The labor union LAB criticizes the Basque Government's stance, calling the energy companies' statements a ""threat"" and arguing that the government's energy transition strategy has failed.
7. LAB calls for a ""profound fiscal reform"" to ensure that capital with unprecedented high profits contributes more equitably to wealth distribution.
Would you like me to provide a more detailed translation or analysis of any specific part of the text?"</t>
  </si>
  <si>
    <t xml:space="preserve">Testua laburtuko dut, edukirik garrantzitsuena erabiliz:
Iñigo Ansolak, EEE Energiaren Euskal Erakundeko zuzendariak, Espainiako Gobernuaren energia konpainiei ezarritako zerga berezia kritikatu du. Bere arabera, enpresek egonkortasun eta arau esparru egonkor bat behar dute inbertsioak egiteko. Ansolak ohartarazi du Repsol eta Petronor bezalako enpresek ezin izango dutela deskarbonizazioan inbertitu, baldin eta ziurtasun juridikorik ez badago.
Gakoak dira:
- Energia konpainiek zerga bereziari aurka egitea
- Inbertsio eta egonkortasun falta 
- Trantsizio energetikoaren zailtasunak
- Petronorrek Bizkaian inbertsioak eteteko asmoa
LAB sindikatuak, bestalde, energia handien adierazpenak "mehatxutzat" jo ditu eta Eusko Jaurlaritzaren estrategia kritikatu du, "lobby fosilaren" alde ari delakoan.
Ansolaren ustez, oraingo egoera ekonomikoak hausnartzea merezi du: ea benetan aparteko mozkinak dauden eta zergatik zerga horiek soilik energia eta banku sektoreei ezartzen zaizkien.</t>
  </si>
  <si>
    <t xml:space="preserve">Hemen da testua 5W1H metodoa erabiliz aztertuta:
## 5W1H Analisia
### Zer (What)?
Energia konpainiei ezarritako zerga bereziaren eta horren inguruko eztabaidaren berri ematen da. Testuan Repsol, Petronor eta EEEko (Energiaren Euskal Erakundea) zuzendariaren iritziak jasotzen dira, baita LABen ikuspuntua ere.
### Nork (Who)?
- Iñigo Ansola: EEEko zuzendaria
- Petronor eta Repsoleko presidenteak
- Pedro Sánchez: Espainiako Gobernuko presidentea
- Arantxa Tapia: Eusko Jaurlaritzako Ekonomiaren Garapenerako sailburua
- Iñigo Urkullu: Eusko Jaurlaritzako presidentea
- LAB sindikatua
### Noiz (When)?
- Iaz ezarri zen energia konpainiei zerga berezia
- Ukrainako gerraren testuinguruan
- Pedro Sanchezen inbestidura garaian
### Non (Where)?
- Espainia
- Euskadi (Bizkaian bereziki)
- Radio Euskadin egindako elkarrizketa bat
### Zergatik (Why)?
- Ukrainako gerraren ondoriozko ezohiko irabaziak direla eta
- Inflazio handiari aurre egiteko
- Energia konpainieek diru sarrera handiak izaten ari zirelako
### Nola (How)?
- Espainiako Gobernuak zerga berezia ezarriz
- PSOEk eta Sumarrek gobernu akordioan zerga horrekin jarraitzeko konpromisoa hartuz
- Energia konpainiek inbertsio eta deskarbonizazio proiektuak zalantzan jarriz
- LABek erreforma fiskal sakon bat proposatuz
## Ondorio nagusiak
Testuan energia sektoreko zerga bereziaren inguruko eztabaida bat islatzen da, non alde batetik energia konpainiek egonkortasun fiskala eskatzen duten, eta bestetik LAB bezalako sindikatuek zerga progresibo eta sakonagoak aldarrikatzen dituzten. Eztabaidaren muina da nola banatu aberastasuna eta nolako pizgarriak eman behar zaizkien energia konpainiei trantsizio energetikoan aurrera egiteko.</t>
  </si>
  <si>
    <t xml:space="preserve">Here's a summary (TLDR) of the text in Spanish:
Iñigo Ansola, director del Ente Vasco de la Energía (EEE), ha respaldado completamente las declaraciones de los presidentes de Repsol y Petronor, criticando el impuesto especial impuesto por el Gobierno español a las compañías energéticas. Ansola argumenta que las empresas necesitan estabilidad regulatoria para invertir, especialmente en descarbonización, y advierte que Petronor podría paralizar inversiones en Vizcaya.
Señala que Petronor, filial de Repsol, genera miles de millones en ingresos fiscales para Vizcaya y considera "positivo" que las empresas tengan beneficios. Considera que el impuesto debería reconsiderarse, cuestionando por qué solo se aplica a bancos y empresas energéticas.
Por su parte, LAB (sindicato) califica las declaraciones como "amenazas" y critica al Gobierno Vasco por aliarse con la patronal. Argumentan que la estrategia de transición energética ha fracasado, limitándose a crear condiciones legales y fiscales que benefician a las grandes empresas. Reclaman una reforma fiscal progresiva para una distribución más equitativa de la riqueza.</t>
  </si>
  <si>
    <t xml:space="preserve">Here's the translation of the text from Basque to English:
Beñat Arruti Irigoien has won the Donostia Kultura poetry competition for young writers with his work "Arkeologia haragitan" (Archaeology in the Flesh). As a result, he will receive a prize of 1,000 euros and a painting by Imanol Larrinaga, and Balea Zuria publishing house will release the poetry book in June.
According to the jury composed of Eli Tolaretxipi, Itxaro Borda, and Aritz Gorrotxategi, the poetry collection is "well-equipped with quotes and readings" and "skillfully combines reflection and the brilliance of language". They added: "The poems have an innate rhythm and music, easily sliding into the reader's ears, with a lot of work behind this fine-tuning. It is an overall balanced and coherent work, with great unity in terms of style and tone".
The jury members specified that Arruti Irigoien explores the concept of non-place in several poems, addressing decline, love, and concerns about poetry and language. "He moves through diverse landscapes and atmospheres, both internal and external, related to nature and urban settings. He advances without pompous language, smoothly but sharply, with clarity, and at the same time searching for the cracks of darker sides".
They also explained that the level of this year's competition was "very high": "A winning work has been chosen, but two other works, 'Ahizpa beltza' (Black Sister) and 'Hiria, diglosia, bakardadea' (City, Diglossia, Solitude), were very close".
Arruti Irigoien studied Psychology at the University of the Basque Country and later went to Barcelona to pursue a Master's in Psychosocial Research and Intervention. Currently, he works with people with intellectual disabilities at a day center in Zarautz, Gipuzkoa. This will be his first published literary work.</t>
  </si>
  <si>
    <t xml:space="preserve">Hona hemen testuaren laburpena, edukirik garrantzitsuenean oinarrituta:
Beñat Arruti Irigoienek irabazi du Donostia Kultura poesia lehiaketa bere "Arkeologia haragitan" lanarekin. Epaimahaiak nabarmendu du lan orekatua, koherentea eta poetikoki aberatsa dela, non ezleku kontzeptua, gainbehera, maitasuna eta hizkuntzari buruzko kezkak lantzen dituen. Sari gisa 1.000 euro eta Imanol Larrinagaren margolan bat jasoko ditu, eta Balea Zuria argitaletxeak poema liburua kaleraraziko du ekainean. Arruti Irigoien psikologian lizentziatua da eta gaur egun adimen urritasuna dutenekin lanean ari da Zarauzko eguneko zentro batean. Hau izango da bere lehen literatur lana.</t>
  </si>
  <si>
    <t xml:space="preserve">Hona hemen testua 5W1H metodoa erabiliz aztertuta:
**ZER**: Beñat Arruti Irigoienek "Arkeologia haragitan" poema liburua, zeinarekin Donostia Kultura poesia lehiaketa irabazi duen.
**NORK**: 
- Irabazlea: Beñat Arruti Irigoien
- Epaimahaia: Eli Tolaretxipi, Itxaro Borda eta Aritz Gorrotxategi
**NOIZ**: 
- Lehiaketa: Aurtengo edizioa
- Liburuaren argitalpena: Ekainean
**NON**: 
- Lehiaketa: Donostia Kultura
- Argitaletxea: Balea Zuria
- Lan gunea: Zarauzko eguneko zentro bat (Gipuzkoa)
**ZERGATIK**: 
- Poema liburuaren kalitate literarioa
- Epaimahaiaren arabera, lan orekatua, koherentea eta berezko erritmoa duena
- Ezleku kontzeptua lantzen duelako
- Gogoeta eta hizkuntzaren distira uztartzen dituelako
**NOLA**: 
- Leun baina zorrotz
- Hizkera hanpaturik gabe
- Barneko eta kanpoko paisaiak nahastuz
- Argitasunez eta alde ilunen arrakalak bilatuz
Beste xehetasun interesgarri bat: Arruti Irigoien psikologoa da, adimen urritasuna dutenekin lanean, eta hauxe izango da argitaratuko duen lehen literatura lana.</t>
  </si>
  <si>
    <t xml:space="preserve">Here's a TLDR of the text:
Beñat Arruti Irigoienek won the Donostia Kultura poetry competition for young writers with his work "Arkeologia haragitan". He will receive a €1,000 prize, an artwork by Imanol Larrinaga, and his poetry book will be published by Balea Zuria in June. 
The jury, composed of Eli Tolaretxipi, Itxaro Borda, and Aritz Gorrotxategi, praised the work for its rich references, thoughtful language, and unique rhythm. They highlighted the book's balanced style and its exploration of concepts like displacement, decline, love, and concerns about poetry and language.
Arruti Irigoien, who studied Psychology at the University of the Basque Country and has a Master's in Psychological Research and Intervention from Barcelona, currently works with people with intellectual disabilities in a day center in Zarautz, Gipuzkoa. This will be his first published literary work.
The jury noted the competition had a very high level of entries, with two other works, "Ahizpa beltza" and "Hiria, diglosia, bakardadea", being close contenders for the prize.</t>
  </si>
  <si>
    <t xml:space="preserve">A summary of the text in Spanish about the death of Alexei Navalny:
Alexei Navalny, un destacado político opositor ruso y activista de 47 años, ha muerto hoy en una prisión en el distrito de Yamalo-Nenets, ubicada a unos sesenta kilómetros del círculo polar ártico. Las autoridades rusas informaron que Navalny perdió el conocimiento después de sentirse mal durante un paseo matutino en la prisión, y los intentos de reanimación no tuvieron éxito.
Puntos clave:
1. Navalny estaba cumpliendo una sentencia de 30 años por cargos de "extremismo y fraude" y era considerado el principal crítico del presidente Vladimir Putin.
2. Su esposa Yulia expresó dudas sobre la versión oficial, declarando que no se puede confiar en Putin y su gobierno, quienes "mienten constantemente".
3. Líderes occidentales como el presidente ucraniano Volodimir Zelenski y el secretario de Estado estadounidense Antony Blinken sugieren que Rusia es directamente responsable de su muerte.
4. Navalny había sido un activista político prominente, organizando protestas contra Putin en 2011 y 2012, y exponiendo supuestos casos de corrupción gubernamental.
5. En 2020, ya había sido envenenado con el agente nervioso novichok, recuperándose en Alemania antes de regresar a Rusia en 2021, donde fue inmediatamente arrestado.
El texto destaca la importancia de Navalny como una figura de oposición significativa en Rusia y las sospechas generalizadas sobre las circunstancias de su muerte.</t>
  </si>
  <si>
    <t xml:space="preserve">Testuko edukirik garrantzitsuena honako hau da: Aleksei Navalni, 47 urteko Errusiako oposizioko kidea eta Vladimir Putinen kritikaria, hil egin da Yamalo-Nenets barrutiko kartzela batean. Haren heriotzaren inguruan susmoak daude, eta mendebaldeko agintariek, besteak beste Volodimir Zelenski ukrainarrak eta Antony Blinken AEBetako estatu idazkariak, Errusia eta Putin erantzule gisa salatzen dituzte.
Laburpena:
Aleksei Navalni, Errusiako oposizioko kidea eta Vladimir Putinen kritikari nagusia, hil da 47 urterekin Errusiako kartzela batean. Espetxean zegoen, «estremismoa eta iruzurra» leporatuta. Haren heriotzaren inguruan susmoak daude, eta haren emazteak eta mendebaldeko agintariek Errusia eta Putin erantzule gisa salatzen dituzte. Navalni ezaguna zen Putinen kontrako protestak eta salaketak egiteagatik, baita 2020an novitxok gasarekin pozoitua izateagatik ere. Haren heriotzak nazioartean oihartzun handia du, eta Errusiako agintariek ez dute argi azaldu zergatik hil den.</t>
  </si>
  <si>
    <t xml:space="preserve">Hona hemen 5W1H metodoa baliatuz testu horren analisia:
## ZER: 
Aleksei Navalni, Errusiako oposizioko kide eta aktibista ezagunaren heriotza, Yamalo-Nenets barrutiko kartzela batean.
## NORK: 
Aleksei Navalni, 47 urteko pertsona, Vladimir Putinen kritikoa eta Errusiako oposizioko nagusia.
## NOIZ: 
Egun berean, zehazteke dagoen unean. Gaur egun (testuaren arabera).
## NON: 
Yamalo-Nenets barrutiko kartzela, Zirkulu Polar Artikotik 60 kilometrora.
## ZERGATIK: 
Susmoak daude heriotza Kremlinaren esku egon daitekeela. Navalni Putin eta haren gobernuaren kritikaria zen, eta hainbat delitu leporatuta zegoen (estremismoa eta iruzurra).
## NOLA: 
Iturri ofizialek diote kartzelan zegoela, goizean paseo bat egin ondoren "gaizki" sentitu zela eta kordea galdu zuela. Senideek eta mendebaldeko agintariek heriotza intentzionatutzat jotzen dute, eta Putinen erantzukizuna salatzen dute.
Azpimarratzekoak dira:
- Navalniren heriotzak nazioartean eragin duen erreakzio gogorra
- AEB eta Ukrainako agintarien salaketak
- Aurretik ere pozoitua izandako aktibista politikoa izatea
- Putin eta haren gobernuaren kontrako kritikaria izatea</t>
  </si>
  <si>
    <t xml:space="preserve">Hona hemen laburpen bat (TLDR):
Aleksei Navalny, Errusiako oposizioko liderra eta Vladimir Putinen kritikari nagusia, gaur hil da Yamalo-Nenets barrutiko kartzela batean. 47 urteko politikaria 30 urteko espetxe zigorra betetzen ari zen, eta bere heriotzaren inguruan susmoak daude. 
Heriotza nagusiko gertakariak:
- Kremlineko iturriek diote kartzelan paseo bat eman ondoren, gaizki sentitu eta kordea galdu zuela
- Bere emazteak eta mendebaldeko agintariek zalantzan jartzen dute heriotzaren bertsioa
- AEBetako Estatu idazkariak Errusia heriotzaren erantzule dela dio
- Navalny 2020an jada pozoitu egin zuten novitxok gasarekin
- Putinen kritikaria zen, ustelkeria eta hauteskunde iruzurra salatuz
- Azken urteetan etengabe jazarria eta kartzelatua izan da
Nazioarteko erreakzioak oso gogorrak dira, eta soilik denborak argituko du zein izan zen benetako heriotza arrazoia.</t>
  </si>
  <si>
    <t xml:space="preserve">Euskal Herriko politikariek ere, Kataluniaren hauteskundeen emaitza eta alderdien arteko hainbat elkarbizitzak erakusten dituzten erantzunak egin dituzte.</t>
  </si>
  <si>
    <t xml:space="preserve">Ondo den edukirik garrantzitsuena:
"Kataluniako etorkizunaren buru izatea"
Nuria Parlon (PSC)k adierazi duen hitz hauek garrantzitsua dira, bere alderdiak Kataluniako etorkizunaren eragile garrantzitsua izatea uste duen arren. Horretan, sozialistek alderdi guztiekin elkarrizketak abiatzen dute, baina "gorro diskurtsoak sustatzen dituztenekin" izan ezik.
Ondo laburtua:
"Gauza bat argi dago: ezin dugu [independentismoaren] borroka hau atzean utzi"
Clara Ponsatik (Alhora)k egin duen adierazpen honek independentismoaren borroka jarraitu behar dela uste duen argi adierazi du. Horretan, proiektu independentista krisi handi batean dagoela eta Alhoran ideiak aldatu behar direla uste du.</t>
  </si>
  <si>
    <t xml:space="preserve">Zer: Kataluniako legebiltzaren lehen lerroari agur erran diote Pere Aragonesek, Generalitateko presidentea.
Nork: Pere Aragones, Generalitateko presidentea, eta alderdien zuzendaritza batzuk, halaber, bozeramaileak eta hautagaiak.
Noiz: Bozek, 2024ko azaroaren 27an.
Non: Kataluniako Parlamentuan, eta telebista publikoan (TV3) eta X sare sozialetan (Twitter) ere.
Zergatik: Kataluniako politikaren lehen lerroari agur erran dute, eta alderdien arteko erabilera eta emaitzak aztertzen dute.
Nola: Bozek, alderdien zuzendaritzak eta bozeramaileak adierazpenak egin dute, eta telebista publikoan eta X sare sozialetan elkarrizketa eta adierazpenak egin dira.</t>
  </si>
  <si>
    <t xml:space="preserve">TL;DR: Pere Aragonès, the President of the Catalan Government, has announced his resignation from the front line of politics. His party, ERC, has acknowledged the poor results in the elections, and Aragonès will not take up his seat as a member of the Catalan Parliament. The party leadership met this morning, and Aragonès has announced his decision to continue as acting president, citing his responsibility to the party and the people.
He has taken on the responsibility of finding a replacement for 13 lawmakers: in the 2021 elections, ERC lost 178,000 votes, and in 2017, they lost 508,000. However, he has also blamed the "eternal blockade" of the PSC and Junts. He has acknowledged that the pro-independence majority has been lost and that Catalonia has moved to the right.
Nuria Parlon, the spokesperson for the PSC leadership, has also made statements, saying that the socialists must take the lead in Catalonia's future. She has announced that they will begin talks with all parties, not just those who promote "exclusionary discourses."
Aragonès has stated that the best way forward for Catalonia is an agreement between the progressive parties, but he is not ruling out governing with a minority; he has always considered agreements first. He has described a constructive approach: "We will not defend Puigdemont if Madrid's governance changes," he said.
Indeed, Carles Puigdemont, the Junt's candidate, has confirmed today that he will be put forward for investiture. He has called for a "coherent majority" to be formed, not an absolute one, broader than Salvador Illa's. The Junt's candidates have the second-largest number of seats - 35 - just behind the PSC's 42. The right-wing parties have a total of 55 seats - Junt's 35, and ERC's 20 - and could form an agreement with another party. The socialists, however, need ERC, either between them or with Comuns Sumar's seats, to reach the 68 seats needed for an absolute majority.
Aragonès has confirmed that they are already in talks with ERC and that no agreement has been made with the socialists: "We are still far [from ERC] from establishing a negotiation framework, although there are options for that." However, he has said that the socialists and Junt's have improved their results and should be in government. "We have decided to accept the citizens' decision: we are in the opposition. The PSC and Junt's should understand each other, and manage this situation."
When asked about the impact of Catalan agreements on the Spanish Government, Puigdemont has clarified that the support of JxC Junts per Catalunya for the next prime minister will depend on what is offered by the Spanish Government. He has said that if the PSC "embraces" the PP, the JxC-PSOE agreement in Madrid will be "unconditionally" broken. "I cannot imagine the PSC applying certain known agreements with the support of the PP." In his words, the PP is "so bad" that Pedro Sánchez, the current Prime Minister of Spain, should continue governing.
Meanwhile, Comuns Sumar is ready to form a left-wing government with the PSC and ERC. This was stated yesterday by Jessica Albiach, the Comuns Sumar candidate, and confirmed today by David Cid, the party's spokesperson. In an interview on TV3, he specified that they expected the results they achieved - they gained six seats, two less than in 2021 - and that they need to make a critical analysis of their results.
He specified that his party has been working to make a left-wing government a reality and that, after yesterday's results, he sees three possible options: an agreement between the PSC, ERC, and Comuns Sumar; an agreement between the PSC and Junts; or new elections. He stated that there is currently no pro-independence majority in the Parliament and that they have the "courage" to negotiate an agreement.
Monica García, the Spanish Minister of Health, has also spoken about the elections, saying that they offer an opportunity to form a progressive government; Comuns Sumar will be "essential" in this, she said. Salvador Illa, the PSC leader, has congratulated her.
However, Alejandro Fernández, the PP candidate, has stated that he will not support a PSC government: "We will not participate in any political operation that brings the lock to separatism in Catalonia and the rest of Spain. We gave our votes to Illa so that Pedro Sánchez could continue [with Carles] Puigdemont; that will not happen."
In an interview on Spanish public television, Fernández expressed his satisfaction with the results obtained. They gained 75 seats, 12 more than in 2021. "Yesterday, 22,000 Catalan citizens gave their vote to Ciudadanos. We are sure that there is a way to rebuild a winning constitutionalist project, which was Ciudadanos and is now the PP in Catalonia," he specified. Indeed, the PP has gained from Ciudadanos' loss: they had six seats four years ago, and they have lost them all.
Clara Ponsatí and Jordi Graupera, the founders of the Alhora party, which was created to "revolutionize" Catalan politics, have also spoken. However, they have not gained a single seat, and Ponsatí has announced that she is stepping down from the political front line. Through social media - first on Twitter - she has made statements: "The independentist project is in a deep crisis, and we do not know if people believe in Alhora's ideas to change that."
She has specified that, after yesterday's results, she needs to "rethink" the future of the project and believes that her initial position is far removed from the current one. Therefore, she believes it is necessary to consider how to continue the "struggle": "One thing is clear: we cannot leave this struggle [for independence] behind."
Andoni Ortuzar, the president of the Basque Nationalist Party (PNV), has also reacted. Ortuzar has congratulated Junts and the PSC: "It is time to demonstrate the ability to reach agreements for politics, dialogue, and diversity." He has added that yesterday's results show the "complexity of Catalan politics."
Eneko Andueza, the leader of the PSE, has also congratulated his Catalan counterparts for achieving a "historic result." "Catalonia opens a new stage. Now it is time to govern for all Catalans."</t>
  </si>
  <si>
    <t xml:space="preserve">Laburtu hurrengo testua:
"Espainiako Kopako zerrenda interesgarria izango da, zozketetan Bigarren Mailako talde bat eta Lehen Federazio Mailako beste bat sartzen dira. Osasunak eta Realak, Espainiako Koparen final-zortzirenetan, derbi bikoitza ekarriko dute, eta horrelako partidak oso esperoagarriak izaten dira.
Osasunak, Superkopako finalaurrekoak badu, Realari aurre egiteko prestatuko da, eta horren ondorioz, Realak hirugarren partida izango du jarraian, etxetik kanpo. Athletic-Alavesko derbia ere garrantzitsua izango da, Athleticak aspaldiko partidaren eraginkortasun handia erakutsi zuen Alaveserri, eta hurrengo partidara abiatu ahal izateko prestatuko dira.
Realak, Bartzelonari aurre egiteko Saudi Arabian etxera joango da, eta horren ondorioz, Osasunak Superkopako kanporaketa ospatzen badu, Realari aurre egiteko aukera izango du. Horretan, Osasunak zertarako prestatuko dira, eta Realari aurre egiteko aukera handia izango du.
Athleticek, derbi betetako hilabetea izango du, eta horren ondorioz, hirugarren derbia izango du jarraian. Eibarren aurka jokatuko duten Kopako partida, eta ondoren, Realaren aurka Ligan, garrantzitsua izango da. Alavesen aurka jokatuko duten partida ere garrantzitsua izango da, babazorroak kanpoan jokatuko duten Sevillaren aurka, eta ondoren, Cadiz jasotzen dute etxean.
Espainiako Kopako final-zortzirenetan jokatuko diren partidak, zozketetan sartutako talde bakarra lortu duten zerrenda interesgarria, eta horren ondorioz, partidak garrantzitsua izango dira eta hainbat interesgarria erakusten dute."</t>
  </si>
  <si>
    <t xml:space="preserve">Ondo zein den hurrengo testuaren edukirik garrantzitsuena:
"Osasunarentzat berezia izango da oso Realaren aurkako partida. Etzi, Saudi Arabian jokatuko du Bartzelonaren aurka, Espainiako Superkoparen finalaurrekoa; txapelketa horretatik iritsi, eta lehenengo partida izango da Realaren aurkakoa."
Laburtu testua erabiliz:
"Osasuna eta Realak derbi bikoitza ekarri dute, eta zirrara handiko bi partida izango dira Espainiako Koparen final-zortzirenetan."
Hona hemen testu laburtua:
"Osasuna eta Realak derbi bikoitza ekarri dute, eta zirrara handiko bi partida izango dira Espainiako Koparen final-zortzirenetan. Osasunak eta Realak elkarren aurka jokatuko dute Sadarren, eta Athleticek eta Alavesek, San Mamesen."</t>
  </si>
  <si>
    <t xml:space="preserve">Zer?
Espainiako Koparen final-zortzirenetan jokaleko bi derbi berriak.
Nork?
Osasuna eta Realak Sadarren, eta Athleticek eta Alavesek San Mamesen elkarren aurka jokatuko dute.
Noiz?
Urtarrilaren 16an eta 17an izango dira lehenengo bi partida.
Non?
Osasuna eta Realak Sadarren, eta Athleticek eta Alavesek San Mamesen jokatuko dute.
Zergatik?
Espainiako Kopako final-zortzirenetan jokatuko dira, eta horren ondorioz, talde hauek lehenengo mailako kopako txapeldunak izateko aukera izango dute.
Nola?
Osasuna eta Realak, eta Athleticek eta Alavesek, zozketa derbi bikoitza ekarri dute, eta horregatik, hainbat partida garrantzitsua izango dute, baita talde hauek ere. Espainiako Superkoparen finalaurrekoa, derbietako lehenengo partida, kanporaketa, eta Ligako jokaleko hainbat partida.</t>
  </si>
  <si>
    <t xml:space="preserve">Zozketak derbi bikoitza ekarri dute Espainiako Kopako final-zortzirenetan, Osasuna eta Real San Sebastian, eta Athletic Bilbao eta Alaves jokatuko dute.
Osasuna eta Real San Sebastianko arteko partida Sadarren egingo da, eta Athletic Bilbao eta Alaves San Mamesen. Athletic-Alavesko partida urtarrilaren 16an izango da, eta Osasunak eta Real San Sebastian 17an jokatuko dute.
Espainiako Kopan orain arte ezuste gutxi izan dira, baina zozketan interesgarriak egokitu daitezkeela uste da.
Osasunak berezia izango du Real San Sebastianko aurkako partida, Saudi Arabian jokatuko du Bartzelonaren aurka Superkoparen finalaurrekoa.
Athleticek derbiz betetako hilabetea izango du, eta hirugarren derbia izango du jarraian. Alavesen aurka aspalditan ez jokatu zuten, baina irailaren 22an 0-2 irabazi zuten Mendizorrotzan.
Cadiz jokatuko dute etxean Koparen partidaren ondoren, eta Sevillaren aurka kanpoan jokatuko dute tartean.
TL;DR: Zozketak derbi bikoitza ekarri dute Espainiako Kopako final-zortzirenetan, eta Osasuna, Real San Sebastian, Athletic Bilbao eta Alavesko arteko partidak garrantzitsua izango dira.</t>
  </si>
  <si>
    <t xml:space="preserve"># Osasuna: A por la victoria en Sadar
El equipo navarro ha tenido un gran comienzo de temporada, y esta noche buscará seguir sumando puntos ante el Rayo Vallecano. Con una afición entregada, Osasuna ha logrado grandes resultados en casa, y quiere despedir el año con una victoria antes de las vacaciones de Navidad.
La temporada ha sido positiva hasta ahora para los rojillos, con seis victorias en total, incluyendo una impresionante racha de cuatro victorias consecutivas. El equipo ha demostrado su capacidad para competir en la parte alta de la tabla, y actualmente ocupa la sexta posición.
La clave del éxito de Osasuna ha sido su solidez defensiva y la efectividad de su ataque. El delantero Ante Budimir ha sido fundamental, aportando goles y asistencias. Su asociación con el resto del ataque ha sido letal, y ha llevado a Osasuna a ser uno de los equipos más peligrosos en ataque.
Sin embargo, el equipo ha tenido algunos altibajos en las últimas jornadas, perdiendo puntos valiosos. La defensa ha mostrado algunas grietas, y la falta de gol en algunos partidos ha sido evidente. Aún así, Osasuna sigue siendo un rival temible en su estadio.
Por su parte, el Rayo Vallecano llega a este encuentro con la intención de mantener su buena racha. El equipo madrileño ha logrado resultados positivos en las últimas semanas, y busca consolidarse en la zona media de la tabla. Con un ataque potente y una defensa sólida, el Rayo es un rival a tener en cuenta.
El técnico Jagoba Arrasate tendrá que tomar algunas decisiones importantes para este partido. La vuelta de Rubén Peña y Catena al once inicial podría ser clave para reforzar la defensa. Además, la elección de los delanteros será crucial, con la posible presencia de Chimy Avila y Rubén García junto a Budimir.
El partido promete ser emocionante, con dos equipos en buena forma y con ganas de demostrar su potencial. Osasuna buscará aprovechar el apoyo de su afición en Sadar, mientras que el Rayo intentará sorprender y llevarse un resultado positivo.
¡Que comience el espectáculo!</t>
  </si>
  <si>
    <t xml:space="preserve">Hemen duzu testu laburtua, ondo zein den edukirik garrantzitsuena erabiliz:
"Osasunak kezkatuta dago gaurko neurketara, eta garrantzitsua izango da Rayo Vallecanoren aurka irabazi. Talde gorritxoak, Sadarren abaroan gozatu handiak hartu ditu aurten, baina egoera horretan arrotz izateari utzi nahi diote urtea bukatu aurretik. Irabazi egin behar dute gaurko partida, eta horretarako Jagoba Arrasatek bueltan izango ditu bi jokalari garrantzitsu: Ruben Peña eta Catena.
Rayo ere kezkatuta iritsiko da, baina Osasunak airean dago, eta bolada txarrean diren aurrelarientzat aurkari egokia izaten da. Talde gorritxoak, lau partida irabazi ditu Rayoren aurka, eta bi berdindu. Horregatik, gaurko neurketan gailendu dute gailen berria."
Testu honetan, Osasunaren egoera eta gaurko partida garrantzitsua izatea erakusten dute, eta Ruben Peña eta Catenaren buelta garrantzitsua izango dela erakusten dute ere.</t>
  </si>
  <si>
    <t xml:space="preserve">Zer?
Osasuna eta Rayo Vallecano taldeak futbol partidu bat jokatuko dute.
Nork?
Osasunako taldeak, Jagoba Arrasatek teknikari gisa, Ruben Peña eta Catena jokalarien bueltan izatea espero du, baita Iker Muñozek ere aukera izatea. Rayo Vallecanoko taldeko jokalarien artean, Isi Palazonek, Alvaro Garciak eta De Tomasek izango dira garrantzitsuak.
Noiz?
Partidua gaur, 2024ko azaroak 28an, 21:00etan hasiko da.
Non?
Sadarreko estadioko partidu jokatuko da, Iruñean.
Zergatik?
Osasuna taldeak, jaisteko postuetan egotea nahi du, eta horretarako, gaurko neurketa irabaztea behar du. Rayo taldeak, sailkapenean lasai egoteko adina du, baina kezkatuta da, eta gaurko partidua garrantzitsua izango da.
Nola?
Osasuna taldeak, Sadarren ondo moldatutako jokalari batzuk bueltatzea espero du, eta horren bidez, gaurko partiduan geroagoa jolastzea lortu nahi du. Rayo taldeak, bere jokalari garrantzitsuak erabiliz, gol sartzeko eta irabazteko ahalegina egingo du.</t>
  </si>
  <si>
    <t xml:space="preserve">Osasuna, a team based in Pamplona, has had a mixed season so far. Despite some impressive wins, including a magical Copa del Rey performance against Sevilla and a victory over Girona in the last La Liga match, they have only won six out of fourteen games. Their only away win was against Granada in the third match of the season. With nine losses, two draws, and six wins, Osasuna currently sits in 16th place in the La Liga table. 
The team's performance has been inconsistent, with some bright spots and some worrying lows. They have failed to score in six of their last six matches, and their attack has been lacking. Only Almería, Granada, and Villarreal have scored fewer goals than Osasuna's 26. 
The reliance on Ante Budimir is a concern. The Croatian striker has scored eight goals and provided two assists in La Liga this season, contributing to over 55% of Osasuna's goals. While he is the most influential player in the team, he needs support. The team has struggled to find the back of the net consistently, especially against stronger opposition. 
Rayo Vallecano, Osasuna's opponents in this match, will arrive in Pamplona with a sense of caution. They have 24 points, four more than Osasuna, and are looking to secure their place in La Liga for another season. However, their form has dipped recently, with only one win in their last seven games. They have the sixth-worst attack in the league, with only 16 goals scored. Their top scorer, Álvaro García, has only four goals, with Isi Palazón and De Tomás contributing two each. 
Osasuna has a good record at the Sadar Stadium against Rayo Vallecano. The last time they met in Pamplona was in 2003, and since then, Osasuna has won four and drawn two. To continue this trend, Jagoba Arrasate will likely bring back two key players: Ruben Peña and Catena. Both have recovered from injuries and completed full training sessions. Peña's return could see him start ahead of Juan Cruz, Chimy Avila, or Ruben Garcia. Catena's return may see him take Unai Garcia's place. Iker Muñoz could also start from the beginning, as he performed well against Cádiz. 
TLDR: Osasuna, currently 16th in La Liga, will host Rayo Vallecano, who are four places and four points above them. Osasuna has a good home record against Rayo, but their inconsistent form and attack will need to improve to secure a win and end the year on a high.</t>
  </si>
  <si>
    <t xml:space="preserve">«6 urte edo gutxiagorekin hasten direnak ere badaude», hitz egin du Jose Luis Garcia psikologo eta sexologoak, hitza hartu bezain laster. Errealitate gordina, baina, errealitatea, finean. «Gazteak geroz eta goizago hasten dira pornoa kontsumitzen; eta, kezkagarriena da porno hori geroz eta bortitzagoa bilakatzen ari dela. Gainera, haurrek bi klik besterik ez dute eman behar indarkeriazko bideo horiek ikusteko».
Arazo horren aurrean, ETB eta TV3, Shine Iberia ekoiztetxearekin elkarlanean, «Generación porno» dokumental saila ekoitu dute. Saioa lau edo hiru ataletan banatuta dago, eta lau familiari egindako elkarrizketak oinarrizko baliabideak dira. Hala ere, abeslarien, porno industriako aktoreen eta adituen lekukotaz ere oinarritzen da dokumentala.
ETB2 gazteleraz emitituko du dokumental hori, hilaren 18tik aurrera, eta TV3ek katalanez, hilaren 26tik aurrera. FesTVal jaialdian, Gasteizko Europa Biltzar Jauregian, aurkezpena egin zuten, eta aurrerapen txiki bat eskainita, gai ezberdinei buruzko solasaldi interesgarriak hasi ziren.
Marina Marroqui gizarte hezitzaileak, 12 eta 14 urte bitarteko gazteek sexu harremanak «erabat basatiak» izan dituztela adierazi die, eta pornoa ikusten duten eraginkorra eta errepikatzeko joera hainbat haur eta gazte baliatzen duela uste du.
«Etxe guztietan» gertatzen den errealitate bat dela jakinarazi nahi dute ama-semeak, eta Garcia psikologoak pornografia «droga bat» dela uste du, «kokaina» bezala tratatu behar den arazoa dela adierazi du.
Dokumentalaren aurrestreinaldia Bilboko Azkuna zentroan egin zuten, eta horren bitartez, ikusleek errealitate hori gertatzen den moduan ikusi eta ulertu ahal izateko aukera izan dute.</t>
  </si>
  <si>
    <t xml:space="preserve">Ondo den edukirik garrantzitsuena:
"Gazteak geroz eta goizago hasten dira pornoa kontsumitzen; eta, kezkagarriena da porno hori geroz eta bortitzagoa bilakatzen ari dela. Gainera, haurrek bi klik besterik ez dute eman behar indarkeriazko bideo horiek ikusteko."
Laburtu testua:
"Pornografia, «droga bat»
Gaur egun, 12 eta 14 urte bitarteko gazteek dituzten sexu harremanak «erabat basatiak» direla azaldu zuen Marroquik, eta ikusten duten guztia errepikatzeko joera dutela: «12 urteko haur bat negarrez etorri zitzaidan behin, aitak salatu zuelako, arrebaren aurrean ukitzeagatik». Umeak gazki eta ondo dagoenaren arteko muga guztiz ezabatuta zeukan, «pornoaren erruz»."
Honek testuaren garrantzi nagusiak laburtzen ditu: gazteen porno kontsumo-edozein edozein indarkeriazko bideoa-ezagutza eta eraginkortasun handia, eta horren eraginkortasun negatiboa, muga-ezabalpena eta eraginkortasun erraza baliatzen duten errealitate bortitzan.</t>
  </si>
  <si>
    <t xml:space="preserve">Zer?
- Pornografiak gazteei buruzko errealitate berria sortzen duen arazoa aztertzen du "Generación Porno" dokumentala.
Nork?
- Jose Luis Garcia, psikologo eta sexologoa, dokumentalaren azalpena ematen du.
- Marina Marroqui, gizarte hezitzailea, gazteen sexu harremanei buruz hitz egiten du.
- Ama-seme batzuk ere parte hartzen dute dokumentalean, eta bere esperientziak eta ikuspegiak partekatzen dute.
Noiz?
- Dokumentala hilaren 18tik aurrera ETB2-n eta hilaren 26tik aurrera TV3-n erakutsiko da.
- FesTVal jaialdian aurkezpena egin zuten, eta atzo arratsaldean Bilboko Azkuna zentroan aurrestreinaldia egin zuten.
Non?
- Europa Biltzar Jauregian FesTVal jaialdian dokumentalaren aurkezpena egin zuten.
- ETB2-n eta TV3-n gazteleraz emitituko da dokumentala.
- Bilboko Azkuna zentroan aurrestreinaldia egin zuten.
Zergatik?
- Gazteek gaur egun pornoa erabilgarriak eta eraginkorrak izaten ari dira, eta horren eraginak aztertzen dituzte dokumentala.
- Pornografiak gazteen sexu harremanei eta ikuspegiari eragiten ari den muga-eragilea da, eta horren kontrako solasaldiak egin nahi dute.
- Sexu heziketa garaikide baten beharra nabarmendu nahi dute, eta gazteen kezkak eta galera hitzarmena bilatzen laguntzea da helburua.
Nola?
- Dokumentala lau edo hiru ataletan banatuta dago, eta horietan familiari, abeslari, aktore eta adituen lekukotzak jaso dira.
- Gai nagusiak sexu heziketa, teknologia, indarkeria eta gaiarekiko ezjakintasunak dira.
- Ama-semeek "etxe guztietan" gertatzen den errealitate bat adierazi nahi dute, eta pornoaren eraginkortasunak eta eraginkortasunak aztertzen dute.</t>
  </si>
  <si>
    <t xml:space="preserve">"There are children under six years old," said psychologist and sexologist Jose Luis Garcia, his words a stark reminder of the reality we face. This reality is brought to light in the documentary series "Generación Porno," a collaboration between ETB, TV3, and production company Shine Iberia. The series explores the impact of pornography on young people and the concerns raised by experts, industry professionals, and families.
ETB will air the documentary in Spanish, starting on December 18, divided into four episodes. TV3 will primarily broadcast it in Catalan, beginning on December 26, in three parts.
At the FesTVal festival in Vitoria-Gasteiz, the documentary was introduced by its producers, along with psychologist Garcia, social educator Marina Marroqui, and some of the families featured in the series. After a brief introduction, they delved into various topics related to the issues portrayed in the documentary, such as sex education, technology, violence, and lack of awareness.
Marroqui highlighted the intense and exclusive nature of the sexual relationships that today's 12- to 14-year-olds have, explaining that they tend to replicate everything they see: "A 12-year-old boy came home in tears because his father had told him about it in front of his friends." The children had no notion of boundaries between good and evil, "due to the influence of pornography."
However, Marroqui made it clear that she does not blame pornography alone. She emphasized the need for contemporary sex education to help young people understand and find solutions to their concerns. "It's not just about putting a condom on a banana," she said. The families stressed the importance of creating a healthy and secure environment at home to discuss sexuality. One mother, who participated in the documentary with her son, said she felt "open" before the recording began, but she was surprised and concerned by what she saw and heard. "I was shocked, appalled, and definitely worried."
Psychologist Garcia added that pornography is like a "drug," and its consumption can only be eliminated with abstinence: "In the meantime, it will continue to be the cocaine of the 21st century."
In addition to the FesTVal presentation, a preview of the documentary was held yesterday afternoon at the Azkuna Center in Bilbao.</t>
  </si>
  <si>
    <t xml:space="preserve">Iñaki Artola ez du inoizko sasoirik onena bizitzen ari, eta profesional mailako jauzia eman zuenetik, aurkariak ez diete gezurrik. Binakako txapelketa jokatze ondoren, banakakoan aurrera joan du, eta aurrerako erakustaldiak egiten ari da. Azkenekoa, gaur, Iruñeko Labrit pilotalekuan, hain zuzen ere, Joseba Ezkurdiari eta Aitor Elordiri irabazi ondoren, aurkari gogor baten aurrean alegiarrak jokatu egin du, eta ez du hutsik egin. Erakustaldia emanda gainditu du Javier Zabala, eta hasi eta buka, lan biribila osatu du.
Artola, Zabalaren aurkako partidan, lehen tantoekin ez du ezer garbirik azaldu, biak nor baino nor gehiago aritu dira hastapenean. Baina, hortik aurrera, Artola izan da nagusi, sakeari etekin bikaina ateratakoa, eta Zabalak ez du defentsan jokatu izan erremediorik. Erakustaldia eskaini du alegiarrak, ausart eta eraginkor aritu da, eta lehen atsedenaldi luzera 12-3 iritsi da aurretik.
Atsedenetik bueltan, Zabala erasoari ekiten saiatu da, baina Artolaren erruz ez du inolako etekinik atera. Alegiarrak etengabe erakutsi du jokoz puntu bat goitik dagoela, eta tantoek aurrera joan ahala, gero eta hobeto sentitu da. Azken hatsean, Zabalak bizpahiru tanto jarraian egin ditu, baina alferrik, Artolak gain hartu dio.
Bigarren postua norentzat izango den gaur, Bilboko Bizkaia frontoian erabakiko da, eta Elordi faboritoa da. Zabala telebistari begira egongo da, eta ETB1 kanalan 18:00etan banatuko da.</t>
  </si>
  <si>
    <t xml:space="preserve">Ondo pentsatu, testu honetan edukirik garrantzitsuena Iñaki Artola-ren jokoa eta erakustaldia da. Artola, Baikoko aurrelaria, profesional mailako jauzia eman ostean, erakustaldia handia egin du eta aurkari desberdinak gainditu ditu.
Testu laburtua, erakustaldiaren deskribapena eta Artola-ren joko handia nabarmendu du. Erakustaldia, zabaldu eta eraso handiak jokatzen dituen jokoa izan da, eta Artola-k zabaldu handia eta defentsa eraginkorra erakutsiz, aurkariari eraginkorra izan da.
"Hasi eta buka, lan biribila osatu du, eta azkenaldiko sentipenak berretsi ditu. Sasoiz eta konfiantzaz bikain agertu da, eta ez dio inolako aukerarik eman aurkariari."
Honek, Artola-ren jokoa eta erakustaldia deskribatzen ditu, eta nola eraginkorra eta konfiantza handia izan duela nabarmendu du.
"Erakustaldia emanda gainditu du Javier Zabala: 22 eta 8. Hasi eta buka, lan biribila osatu du..."
Honek ere, Zabala-ren aurkako joko handia eta erakustaldia nabarmendu du, eta nola Artola-k jokoa gainditu duela eta erakustaldia emanda gainditu duela deskribatzen du.
Baino lehen, testu honetan Artola-ren jokoa eta erakustaldia erakutsiz, testuaren edukirik garrantzitsuena da. Erakustaldia, jokoaren eta pilotaren eraginkortasunaren testigantza da, eta nola Artola-k joko handia jokatu duela eta aurkariari eraginkorra izan duela nabarmentzen du.
Testu laburtua, baina erakustaldiaren eta Artola-ren jokoaren garrantzia nabarmendu eta deskribatu du, eta horregatik, testu honetan edukirik garrantzitsuena da.</t>
  </si>
  <si>
    <t xml:space="preserve">**Zer:** Iñaki Artola eta Javier Zabala arteko pilota jokoa.
**Nork:** Iñaki Artola eta Javier Zabala, baita ere, Joseba Ezkurdi eta Aitor Elordi.
**Noiz:** Gaur, 2024ko azaroaren 28an.
**Non:** Iruñeko Labrit pilotalekuan.
**Zergatik:** Artola, Zabala aurka joko luze baten amaiera ematea eta finalerdietara joatea lortu du.
**Nola:** Artola, sakeari etekin bikaina ateratuta, zabaldu du jokoa eta erabat defentsan jokatu du. Zabala, beste aldizan bezala, erasoari ekiten saiatu da, baina Artolaren erruz ez da inolako etekinik atera. Erakustaldia eskaini duen Artola, fresko eta konfiantza handiarekin, zabaldu du jokoa eta hil edo bizi jokatu du.
**Denbora:** Lehen atsedenaldi luzera 12-3 iritsi da aurretik Baikoko pilotaria.</t>
  </si>
  <si>
    <t xml:space="preserve">Iñaki Artola izan du onena, eta aurkariari ez dio inolako aukerarik eman. Zabala, alegiarrak, erakustaldia emanda gainditu du, eta finalerdietara heldu da konfiantzaz. Elordi eta Ezkurdiari aurkaritza handia izango zaie, baina Zabala faborito izango da bigarren postua lortzeko.</t>
  </si>
  <si>
    <t xml:space="preserve">Hemen duzu laburtutako testua:
"Moskuren tiroketa gertatu da, eta gutxienez 40 lagun hil eta dozenaka zauritu dira. Erasotzaileak antzokiaren barruan eta kanpoaldean hasi dira tiro egiten, eta erori egin da. Errusiako Gobernuak gertatutakoa «krimen izugarritzat» jo du, eta nazioarteari gaitzetsi dezala eskatu du. AEBen Segurtasun Nazionalerako bozeramaileak ez dagoela zantzurik esaten du, eta Ukrainak ez duela erasoaren atzean. Mikhailo Podoliakek Ukrainako presidentearen aholkulariak idatzitako mezu batean nabarmendu du Ukrainak ez duela molde terrorista erabili.
AEBek eta beste herrialdeetako enbaxada batzuk «muturreko taldeak» prestatzen ari zirela eraso egiteko Moskun jende asko biltzen dituzten ekitaldiei, baina Putinek horien kontra egin du. Kremlinek Moskun egitekoak ziren elkarretaratzeak eta ekitaldi handiak bertan behera utzi ditu, eta aireportuetako kontrolak indartu ditu."</t>
  </si>
  <si>
    <t xml:space="preserve">Ondo zein den denboraren edukirik garrantzitsuena:
"Tiroketa bat gertatu da gaur iluntzean Moskuren aldirietako antzoki batean, eta, Errusiako hedabideen arabera, gutxienez 40 lagun hil eta dozenaka zauritu dituzte; tartean, adingabeak."
Laburtu testua:
"Gertakaria «eraso terrorista» gisa ari direla ikertzen."</t>
  </si>
  <si>
    <t xml:space="preserve">- Zer: Moskuren aldirietako antzoki batean tiroketa bat gertatu da, eta kontzertu bat hasi aurretik erasotzaileak tiro egiten hasi dira, hainbat lagun hil eta zauritu dituzte.
- Nork: Armatuta zihoazen hiru erasotzailek hasi dira tiro egiten, eta horietako batzuk adingabeak izan dira.
- Noiz: Gaur iluntzean, azken ekitaldien eta elkarretaratze handien ondoren.
- Non: Moskuren aldirietako antzoki batean, eta antzokiaren kanpoaldean ere, kalean.
- Zergatik: Errusiako Segurtasun Zerbitzuak "beharrezko neurriak" hartu dituela adierazi du, eta gertakaria "eraso terrorista" gisa ikertzen ari da.
- Nola: Erasotzaileak antzokira sartu dira, lehergai zartarazi dituzte, eta tiro egiten hasi dira kontzertua hasi aurretik. Lehergaiak su hartu dute, eta suhiltzaileak ahaleginak egin zituzten, baina erori egin da.
Gertakari honek Errusiako gizartean eragile handia izan da, eta gobean erantzukizunak sortu ditu. Errusiako Gobernuak gertatutakoa "krimen izugarritzat" jo du, eta nazioarteari gaitzetsi dezala eskatu du. AEBen eta Ukrainako erantzukizunak ere izan dira, eta erasoaren atzean Ukrainarrak ez dira, baina erasoak "arrazoi politikoengatik" izan zirenik ezin da baieztatu.
Gertakari honek Moskun eta Errusian estres eta segurtasun-krisia sortu du, eta Kremlinek elkarretaratze eta ekitaldi handien batzuetako kanpaina kanpatu du.</t>
  </si>
  <si>
    <t xml:space="preserve">Gertatutakoa:
Moskuren, Errusian, iluntzean, antzoki batean tiroketa bat gertatu da, eta gutxienez 40 lagun hil eta dozenaka zauritu dira. Erasotzaileak armatuta zihoazen eta kontzertu hasieratik tiro egiten hasi ziren. Lehergai batzuk zartarazi ziren eta Errusiako Segurtasun Zerbitzu Federalak adierazi du gertakaria «eraso terrorista» gisa ikertzen ari dela.
Sare sozialetan:
Bideoak ikus daitezke kontzertura joandakoak nola ahalegintzen diren antzokitik alde egiten, tiro hotsak entzuten bitartean. Lehergaiak su hartu dute eta suhiltzaileak itzaltzeko ahaleginean aritu dira. Antzokiaren kanpoaldean, armatuta zihoazen gizon horiek hasi dira tiroka eta barruan jarraitu dute erasoarekin. Antzokia hutsarazi dute eta erasoa pairatu dutenek azpimarratu dute «kaotikoa» izan dela.
Errusiako Gobernuaren erantzuna:
Gertatutakoa «krimen izugarritzat» jo du eta nazioarteari eskatu dio gaitzetsi dezala. John Kirby, AEBen Segurtasun Nazionalerako Kontseiluko bozeramaileak, adierazi die ez dagoela zantzurik esateko Ukraina edo herritar ukrainarrak daudela erasoaren atzean.
Ukrainako erantzuna:
Mikhailo Podoliak, Volodimir Zelenski Ukrainako presidentearen aholkulariak, idatzitako mezu batean nabarmendu du Ukrainak ez duela «inolako» zerikusirik eta ez duela molde terrorista erabili sekula.
Errusiako Kremlinek:
Atzo ohartarazi zuen, ohar baten bidez, «muturreko taldeak» prestatzen ari zirela Moskun jende asko biltzen dituzten ekitaldiei eraso egiteko. Asteburuan Moskun egitekoak ziren elkarretaratze eta ekitaldi handiak bertan behera utzi ditu eta aireportuetako kontrolak indartu ditu.
TL;DR:
Moskuren antzoki batean tiroketa bat gertatu da, 40 hil eta zaurituak sortu ditzaten. Errusiako Gobernuak eraso hori «krimen izugarritzat» jo du eta erasoaren atzean Ukrainak ez dela uste du.</t>
  </si>
  <si>
    <t xml:space="preserve">Euskal Herria gizontasunaren inguruan interesgarria eta garrantzitsua da, eta horretan, gizonen eta emakumeen arteko harremanak eta botere harremanak aztertzen dituzte. Hiruki Larroxa LGTBQI+ kooperatiba, pedagogia feminista eta gizonen gaintzari buruzko ikerketa egiten dituen, gizonen gaintza eta harreman orekatuak lortzeko jarduera bultzatu duen erakundea da.
Gizonen arteko anaidia eta boterekeria, gizonen artean erregulatzen gabiltza harremanak, garrantzitsua dira gizontasunaren azterketan. Olatz Gonzalez Abrisketaren hitziketa fratiarkatua adierazten du, gizonen arteko boterezko harremanetan izan behar den errespetu eta egalitasunaren garrantzia.
Gizonen gaintza eta emakumeen erresistentzia, gizonen artean izaten den ligoteo-dinamika, gizonen arteko dinamikak eta pribilegioak, gizonen arteko harremanetan izan behar den inplikazioa, garrantzitsuenak dira gizontasunaren inguruan aztergai. Gizonak gizonei hitz egin behar dute, eta gizonen arteko harremanak eraldatzea eta botere harremanak orekatzeko ardura hartzea garrantzitsua da.
Euskal Herria, gizonen gaintzari buruzko ikerketa eta jarduera egiten duten gizonezkoak, gai horretan deserosoak dira. Baina, gizonen arteko harremanak eta botere harremanak eraldatzeko, gizonen ardura hartzea eta gizonen gaintza aztertzea garrantzitsua da.
Hiruki Larroxa LGTBQI+ kooperatibak, gizonen gaintzari buruzko ikerketa eta jarduera egiten duten, gizonen arteko harreman orekatuak lortzeko inplikatzen dira. Gizonen arteko dinamikak eta pribilegioak aztertzen dituzte, eta gizonen arteko harremanetan inplikazioa eta errespetua lortzeko jarduera bultzatu dute.
Gizonen gaintzari buruzko ikerketa eta jarduera, gizonen arteko harremanak eraldatzeko eta gizonen gaintza aztertzeko, garrantzitsua da Euskal Herria. Gizonen ardura hartzea eta gizonen arteko harreman orekatuak lortzeko, gizonen gaintzari buruzko ikerketa eta jarduera garrantzitsua dira.</t>
  </si>
  <si>
    <t xml:space="preserve">Edukirik garrantzitsuena:
"Gizonak eta herri mugimendu parekide(ago)ak tailerra eraman zenuen asteazkenean Baionara. Nolatan? Egiten ditugun hitzaldi guziak bezala, dinamikoa eta parte hartzailea izan zen tailer hau ere. Guk uste dugu horrelako hitzaldi formatuek ez dutela eskatzen pertsonen inplikaziorik, baina, eraldaketa pertsonalak eta kolektiboak egiten direnean, ezinbestekoa da inplikatzea."
Laburtu testua:
"Gizonak gizonei hitz egingo ez badiegu, nork hitz egingo die?"</t>
  </si>
  <si>
    <t xml:space="preserve">Zer: Gizonen arteko harremanak eta genero botereak aztertzea da helburua.
Nork: Hiruki Larroxa LGTBQI+ kooperatibako kideak, Egoitz Arbiol Albeniz eta Baionako biltxoko elkarteko kideak, gizonak eta herri mugimendu parekide(ago)ak.
Noiz: 2020. urte bukaeran sortutako Hiruki Larroxa LGTBQI+ kooperatiba, asteazkenean Baionan izan den tailerra eta egun, dokumentala sortzen ari dena Hernanin.
Non: Baionan, Hernanin eta gizonen arteko harremanak eta genero botereak aztertu eta eraldatzen diren espazioetan.
Zergatik: Gizonen arteko botere harremanak eta genero botereak identifikatzeko eta birpentsatzeko, eta horien eraldaketa bidezko eraldaketa pertsonal eta kolektiboak lortzeko.
Nola: Dinamiko eta parte hartzaileko hitzaldi formatuekin, gizonak eta emakumeak bide-bidean, generoa kontuan hartuta, harreman orekatu eta simetrikoak lortzeko.
Helburuen arabera, tailerrak gizonen arteko harremanak eta genero botereak aztertzen ditu, eta nola eraldatzen duten ikuspegi berriak lortzeko inplikatzea eta eragile izatea uste dute gizonak. Gizonen arteko boterekeria eta fratiarkatua aztertzen dute, eta nola eraldatzen duten harreman asimetrikoak identifikatzen dute. Gizonen arteko dinamikak eta pribilegioak aztertzen dituzte, eta nola eraldatzen duten intragenero begirada batzuk lortzeko inplikatzea behar dute.
Emakumeen erantzunak ere aztertzen dira, eta nola eraldatzen duten erresistentziak eta ardurak identifikatzen dira. Gizonen ardura hartzea eta eraldaketa bidezko eragile izatea uste dute inportantea duen aspektu.
Euskal Herria gizontasunaren inguruan interesgarria da, eta ezker mugimenduko gizonezkoak gai horretan deseroso dira. Kezka bat da, baina ekintza berriak eta eraldaketa bidezko eragile izatea uste dute beharrezkoa.
Horrela, Hiruki Larroxa LGTBQI+ kooperatibak eta gizonen arteko harremanak aztertu eta eraldatzen dizkigun espazio berriak sortzen dituzte, gizonen eta emakumeen arteko botere harremanak birpentsatzen eta eraldatzen saiatzen dira.</t>
  </si>
  <si>
    <t xml:space="preserve">Euskal Herrian gizonen eta emakumeen arteko botere harremanak eta gizonen genero eraikuntza prozesua aztertu eta analizatzen dute Hiruki Larroxa LGTBQI+ kooperatibak. 2020an sortu zen kooperatibak, Hernanin, gizonen eta herri mugimendu parekide(ago)en arteko tailerrak antolatzen ditu, botere harremanak eta militantzia arloan generoa kontuan hartuta. Helburuak dira harreman simetrikoak lortzea, genero botereen (des)eraikitzea, eta gizonen arteko anaidia eta pribilegioak aztertzea. 
Gizonen arteko harreman asimetrikoak eta fratiarkatua, gizonen artean izaten den boterekeria, ikertzen dute, eta gizonen gizonei hastea eta intragenero begirada bat hartzea garrantzitsua da. Emakumeek gizonen eraldaketa eta erresistentziak ikusi dute, eta gizonen ardura hartzea garrantzitsua da jendartearen eraldaketa sustatzeko. 
Euskal Herria, gizontasunaren kontuan hartzean, ezker mugimenduko gizonezkoak deseroso dira, baina kezka bat daude gai horren inguruan. Kooperatibak, gizonen eta herri mugimendu parekide(ago)en arteko tailerrak antolatzeko ahalegina egin du, gizonen genero eraikuntza prozesua eta harreman simetrikoak lortzeko. 
TL;DR: Hiruki Larroxa LGTBQI+ kooperatibak gizonen eta emakumeen arteko botere harremanak eta gizonen genero eraikuntza prozesua aztertzen ditu, gizonen ardura hartzea garrantzitsua da. Euskal Herria, gizontasunaren kontuan hartzean, kezka bat daude, baina ekintzaileak dira.</t>
  </si>
  <si>
    <t xml:space="preserve">Euskara ondo ulertzen eta idatzi dezaketena ikusten da, halaber, bideratzen duzu zuen testu laburtu-komandoa. Oraingo honetan, euskaraz idatzi egin, baina beraien hizkuntza alderatuz, garrantzitsuenak dira:
"Repsol eta Petronor presidenteen esanetan, Iñigo Ansolak, EEEko zuzendariak, «erabat» babestuta daude: Espainiako Gobernuak energia konpainiei ezarritako zerga berezia kritikatu du, eta arau esparru egonkor bat beharrezkoa dela azpimarratu du.
Ansolak egin du Repsol eta Petronor enpresek nekez inbertituko dutela deskarbonizazioan adierazi, eta Petronorrek Bizkaian egin asmo dituzten inbertsioak etetea agertu dute. EEEko burua esan du: «Egonkortasuna beharrezkoa da inbertsioak egiteko. Ez dugu erregulazio aldatzen izan ahala jokatu ezin».
Ansolak kontuan hartu du enpresa horiek Bizkaian egoitza soziala duten eta foru ogasunak «milaka milioi euro» jasotzen dituelako. «Diru sarrera horiei esker, kalitatezko zerbitzuak ditugu», dio.
Espainiako Gobernuak zerga berezia ezarri zien iaz, gerraren eraginez izaten ari diren ezohiko irabaziak ikusita, eta inflazio handiari aurre egiteko. Pedro Sanchezen inbestidurari dagokionez, PSOEk eta Sumarrek zerga horrekin jarraitzeko konpromisoa agertu dute.
EAJk Sanchezen gobernua babestea «baldintzatu» beharko luke zerga ezarri zenean, eta abstenbidearen gainean jarraitzea erabaki duela uste da.
EEEko zuzendariak ekonomia aldatu da ere, eta galdera egin dio: «Zergatik bankuei eta energia konpainiei, eta ez beste sektoreei?».
LAB sindikatuak kritikatzen du Euskal Jaurlaritzaren jarrera, eta buruzagien adierazpenak «mehatxutzat» jo du. Euskal Jaurlaritzak langileen aurkako estrategia bat jarri duela adierazi, eta «patronalaren arteko aliantza» da Euskal Autonomia Erkidegoko Gobernuarekin.
LABek baliatzen du «sakoneko erreforma fiskal bat», aberastasunaren orekatzeko eta kapital handikoen ekarpen handiagoa lortzeko.
Testu honetan garrantzitsuenak dira enpresa horien inbertsio-planoak, zerga-politika ekonomikoak, eta sindikatuak espainiar guvernua eta enpresa handien arteko harremanak kontuan hartuz, deskarbonizazioa eta langileen erredia eraginkortasun ekonomiko handiagotzeko eskaintzen ari diren eraginkortasunak.</t>
  </si>
  <si>
    <t xml:space="preserve">Ondo egin! Hurrengo testuaren edukirik garrantzitsuena:
"Espainiako Gobernuak energia konpainiei zerga berezia ezarri zien iaz, behin-behinean, Ukrainako gerraren eraginez izaten ari diren ezohiko irabaziak ikusita, eta inflazio handiari aurre egiteko neurriak finantzatzeko. Pedro Sanchezen inbestidurari begira, PSOEk eta Sumarrek eginiko gobernu akordioan zerga horrekin jarraitzeko konpromisoa agertu dute."
Laburtu testua:
"LABek «mehatxutzat» jo ditu energia enpresa handietako buruzagien adierazpenak, eta Eusko Jaurlaritzaren jarrera kritikatu du, haien alde agertu delako."
Nahi baduzu, testu honen inguruko informazio gehiago eskain dezaket.</t>
  </si>
  <si>
    <t xml:space="preserve">Zer?
- Energia sektoreko enpresen zerga eta egoera ekonomikoa aztertu eta kritikatu.
Nork?
- Iñigo Ansola: EEE Energiaren Euskal Erakundeko zuzendaria.
- Pedro Sánchez: Espainiako Gobernu inbestidura.
- LAB: Sindikatuak enpresa handien buruzagien adierazpenak mehatxutzat jo du.
- Arantxa Tapia: Ekonomiaren Garapenerako sailburu.
- Iñigo Urkullu: Euskadi gobernu burua.
Noiz?
- Iaz: Espainiako Gobernuak energia konpainiei zerga berezia ezarri zien.
- Azken egunotan: LABek enpresa handien buruzagien adierazpenak mehatxutzat jo du eta Euskadi gobernuaren jarrera kritikatu du.
Non?
- Euskal Autonomia Erkidegoan (Euskadi): Iñigo Ansola eta Arantxa Tapia Euskadin dute erakunde eta sail buru postuak. Pedro Sánchez Espainiako Gobernu inbestidura da. LABek Euskadin ere sindikatu bezala lan egiten du.
Zergatik?
- Energia konpainiei zerga ezarri: Espainiako Gobernuak zerga horretan beharrezkoa izan zion Ukrainako gerraren eraginez izaten ari diren ezohiko irabaziak ikusita eta inflazio handiari aurre egiteko.
- Egoera ekonomikoa aldatu: Ansola uste du egoera ekonomikoa aldatu dela, eta zergak ezarri behar dira sektore batzuei.
- Buruzagien adierazpenak: LABek enpresa handien buruzagien adierazpenak mehatxutzat jo du, Euskadi gobernuaren jarrera kritikatu eta langileen aurkako estrategia berari erantzuten diote.
Nola?
- Iñigo Ansola: Espainiako Gobernuak ezarritako zerga berezia kritikatu du, eta enpresek erregulazio beharrezkoa dela inbertsio egiteko. Petronorrek egin asmo dituzten inbertsioak eteteko agertu duelako kezkatuta agertu da.
- LAB: Sindikatuak Euskadi gobernuaren jarrera kritikatu du, eta langileen aurkako estrategia berari erantzuten diote. "Sakoneko erreforma fiskal bat" beharrezkoa dela uste dute, aberastasunaren banaketa modu orekatuagoan ekarpen handiagoa egin dezaten.</t>
  </si>
  <si>
    <t xml:space="preserve">Iñigo Ansola, the director of the Basque Energy Agency (EEE), has criticized the Spanish government's decision to impose special charges on energy companies, stating that companies need regulatory stability to make investments. He expressed concern over the frequent changes in regulations, which make it difficult for companies like Repsoleko and Petronorreko to plan their investments. 
Ansola warned that without regulatory stability, these companies might not invest significantly in decarbonization. He highlighted the importance of stability for long-term investments, stating, "We are talking about hundreds of millions of euros, not 100,000 or 200,000." 
The EEE director also expressed his worry about Petronor's plans to make certain investments in Bizkaia, given the company's strong social presence in the region and the significant tax revenues it generates for the local authorities. He emphasized that these revenues enable the provision of quality services. 
The Spanish government's decision to impose special charges on energy companies was made in response to the ongoing war in Ukraine and the need to address high inflation. The charges were included in the agreement between the PSOE and Sumar parties, which form the current government led by Prime Minister Pedro Sánchez. 
Ansola believes that the EAJ-PNV, which abstained from voting on the special charges, should condition its support for Sánchez's government on this issue. He expects Sánchez to seek the EAJ-PNV's support for the investment-friendly measure in the future. 
The EEE director also highlighted the changing economic landscape, questioning whether we are in a period of high energy prices or if certain sectors are being targeted with specific charges. He asked, "Why are we targeting banks and energy companies and not other sectors that are also making profits?" 
The LAB union has criticized the statements made by the heads of major energy companies, calling them "unacceptable." They have also criticized the Basque Government for siding with these companies. In their view, there is an alliance between the government, led by Iñigo Urkullu, and the business owners' association, to which the energy companies belong. 
According to LAB, the recent statements show that the Basque Government's strategy for the energy transition has failed, as it is allowing the "fossil lobby" to dictate the terms of the transition by creating the desired legal and fiscal conditions for large companies and investing public money in their projects. 
LAB believes that a "bold fiscal reform" is needed, where capital with the highest profits, made in a progressive manner, makes a greater contribution and that wealth is distributed in a more equitable way. 
TL;DR: The Basque Energy Agency director has criticized the Spanish government's special charges on energy companies, calling for regulatory stability for investments. He also expressed concern over Petronor's plans for Bizkaia and highlighted the need for a fair distribution of wealth through fiscal reforms. The LAB union has criticized the energy companies and the Basque Government's stance, calling for a more equitable approach to the energy transition.</t>
  </si>
  <si>
    <t xml:space="preserve">Beñat Arruti Irigoienek irabazi du idazle gazteentzako Donostia Kultura poesia lehiaketa, eta horrenbestez, 1.000 euroko saria eta Imanol Larrinagaren margolan jasotzen ditu. Balea Zuria argitaletxeak, ekainean, poema liburua kaleratuko du, Arkeologia haragitan lanarekin.
Eli Tolaretxipik, Itxaro Bordak eta Aritz Gorrotxategik osatutako epaimahaiak, Arruti Irigoienen poema bildumari, «aipuz eta irakurketaz ondo hornitua» esan dute. «Trebeki uztartzen ditu gogoeta eta hizkuntzaren distira», eta «berezko erritmoa eta musika darie» dira poemei, «aisa irristatzen dira irakurlearen belarrietan». Epaimahaiak, «lan handia dago doitze horren atzetik» dio, eta «estilo eta tonu aldetik batasun handikoa» da lan orekatua eta koherentea.
Poema bildumak, ezleku kontzeptua lantzen du, gainbehera eta maitasunaren inguruan. «Askotariko paisaia eta giroak uztartuz» dira, «barnekoak zein kanpokoak, naturaren ingurukoak zein urbanoak». «Hizkera hanpaturik gabe egiten du aurrera, leun baina zorrotz, argitasunez», eta «alde ilunen arrakalak bilatuz».
Epaimahaiak, aurtengo lehiaketako maila «oso altua» delakoa azaldu dute, eta «oso gertu egon dira beste bi lan hauek». «Ahizpa beltza» eta «Hiria, diglosia, bakardadea» ere, «lan irabazle bat aukeratu da» bezala, «oso gertu» dira.
Arruti Irigoienek, Euskal Herriko Unibertsitatean egin zituen Psikologia ikasketak, eta Bartzelonara joan zen Ikerketa eta Esku Hartze Psikosozialeko Masterra egiteko. Egun, Zarauzko eguneko zentro batean, adimen urritasuna dutenekin ari da lanean. «Arkeologia» izango da argitaratzen duen lehen literatura lana.</t>
  </si>
  <si>
    <t xml:space="preserve">Ondo pentsatu dauden hurrengo testuaren edukirik garrantzitsuena:
"Ezleku kontzeptua lantzen du hainbat poematan Arruti Irigoienek, gainbehera eta maitasuna, poesiari eta hizkuntzari buruzko kezkak."
Eduki honek, irudikatzeko balio handia du, Beñat Arruti Irigoienek idazten duen poesiaren garrantzia. Ezleku kontzeptua, gainbehera eta maitasunaren bidez, poesiaren barruan mundu bat sortzen du, hizkuntzari buruzko kezkak eta poesiaren eragileak arteko harreman baliagarriak.
Laburtu testua erabiliz, laburtu daitezke hurrengo moduan:
"Arruti Irigoienek, poesiaren bidez, ezleku kontzeptu baten barruan sartzen da, gainbehera eta maitasunaren bidez mundu bat sortuz. Poesiari eta hizkuntzari buruzko kezkak, leun baina zorrotz, argitasunez adierazten ditu, eta horren bidez irakurleari esperientzia bat ematen die."
Honek, irudikatzen duen poesiaren garrantzia eta irudi zuhurtzuna mantentzen du, baita idazleak egin duen lan orekatua eta koherentea ere.</t>
  </si>
  <si>
    <t xml:space="preserve">**Zer:** Beñat Arruti Irigoienek irabazi du idazle gazteentzako Donostia Kultura poesia lehiaketa.
**Nork:** Arruti Irigoienek, psikologia ikasketak egiten dituen eta adimen urritasunari buruzko lan egiten duen idazle gaztea.
**Noiz:** Ez da noiz zehaztu, baina ekainan poema liburua kaleratzeko aukeratu da.
**Non:** Donostia Kultura poesia lehiaketa irabazi du, eta Balea Zuria argitaletxeak kaleratzeko aukeratu duena.
**Zergatik:** Arruti Irigoienek ezleku kontzeptua lantzen du hainbat poematan, gainbehera eta maitasunaren inguruan, eta hizkuntzari eta poesiari buruzko kezkak izan ditu. Epaimahaiek bere poema bildumari trebakiko gogoeta eta hizkuntzaren distira uste dute, eta bere erritmo eta musika darie hitz egiten dute.
**Nola:** Arruti Irigoienek psikologia eta adimen urritasunari buruzko ikasketak egin ditu, eta horren ondorioz, bere poemaetan barneko eta kanpoko giroak uztartzen ditu. Hizkera hanpaturik aurrera egiten du, eta bere estilo eta tonua batasun handikoa da. Epaimahaiek bere lanak koherente eta orekatua delako uste dute, eta bere erritmo eta musika darie aisa irristatzen dute irakurleei.</t>
  </si>
  <si>
    <t xml:space="preserve">Beñat Arruti Irigoienek idazle gazteentzako Donostia Kultura poesia lehiaketaren saria irabazi du Arkeologia haragitan lanarekin. Horrenbestez, 1.000 euroko saria eta Imanol Larrinagaren margolan jasotzen ditu, eta Balea Zuria argitaletxeak poema liburua kaleratuko du ekainean. Epaimahaiak poema bildumari aipuz eta irakurketa ondo hornitua dagoela, trebeki gogoeta eta hizkuntzaren distira uztartzen dituela esan dute. Estilo eta tonu aldetik batasun handikoa eta lan orekatua eta koherentea dela ere azpimarratu dute.
Arruti Irigoienek ezleku kontzeptua lantzen du hainbat poematan, gainbehera eta maitasunarekin lotuta, poesiari eta hizkuntzari buruzko kezkak ere bilatzen ditu. Askotariko paisai eta giroak uztartzen ditu, naturaren inguruan eta hizkera hanpaturik aurrera egiten du.
Aurtengo lehiaketaren maila «oso altua» izan dela azaldu dute epaimahaiak, eta beste bi lan irabazleekin gertu egon dela ere adierazi dute: Ahizpa beltza eta Hiria, diglosia, bakardadea.
Arruti Irigoienek Euskal Herriko Unibertsitatean Psikologia ikasketak egin zituen eta Ikerketa eta Esku Hartze Psikosozialeko Masterra Bartzelonara joan zen egitera. Orain, adimen urritasuna dutenekin lanean da Zarauzko eguneko zentro batean. Argitaratzen duen lehen literatura lana izango da horrelako poesia lanaren baliagarria.</t>
  </si>
  <si>
    <t xml:space="preserve">Epaiketa bat burutu da Navalni aurka, eta 2021eko uhartean, 30 urteko kartzela zigorra betetzen ari zen.</t>
  </si>
  <si>
    <t xml:space="preserve">Ondo den edukirik garrantzitsuena:
"Aleksei Navalni Errusiako oposizioko kidea eta aktibista hil da, gaur, Yamalo-Nenets barrutiko kartzela batean (Errusia), zirkulu polar artikotik hirurogei bat kilometrora."
Laburtu testua:
"Errusiako presidentearen kritiko nagusietako bat izan da Navalni azken urteotan. 2011n eta 2012an Putinen aurka egindako protesten sustatzaileetako bat izan zen, eta presidenteari egotzi zion hauteskundeetan iruzurra egitea eta gobernuan ustelkeria sustatzea."
Hau da, Navalni-ren heriotza eta bere Errusiako gertatu ziren ekintzaile eta kritikoa izatea erakusten duten testuak.</t>
  </si>
  <si>
    <t xml:space="preserve">**Zer?**
Aleksei Navalni Errusiako oposizioko kidea eta aktibista hil da.
**Nork?**
Navalni, 47 urteko Errusiako oposizio kidea eta aktibista, eta Vladimir Putin Errusiako presidentearen aurkako ekintzaile nagusia.
**Noiz?**
Heriotza gaur, 2024eko abenduaren 16an, gertatu da.
**Non?**
Yamalo-Nenets barrutiko kartzela batean, Errusiako zirkulu polar artikotik hirurogei bat kilometrora.
**Zergatik?**
Hainbat delitu egotzita, Navalni 30 urteko kartzela zigorra betetzen ari zen, eta espetxe horretan zegoen abendutik.
**Nola?**
Iruzurrak eta estremismoa salatuta, Navalni paseo bat eman duela gaur goizean kartzelan, eta gero, «gaizki» sentitu ondoren, kordea galdu duela adierazi dute iturri ofizialek.</t>
  </si>
  <si>
    <t xml:space="preserve">Aleksei Navalni, Errusiako oposizio kidea eta Putinren kritiko nagusia, hil da Yamalo-Nenets barrutiko kartzela batean. Iturri ofizialek adierazi dute heriotza «gaizki sentitu» ondoren gertatu dela. Navalniren senideek eta Errusiako gobernuak ez dute sinetsitako erantzukizuna aurkeztpenetan.
Errusiako gaurko iturri ofizialek Navalniren heriotza «gaizki sentitu» ondoren gertatu dela adierazi dute. Emaztea, Yulia, adierazi du ez dakiela zerk eragin duen haren heriotza, eta Kremlineko burua da, «pertsonalki», Errusiari egindako «gauza izugarri guztien erantzulea».
Errusiako gobernuak eta Putinren bozeramaileak ez dute adierazi zerk eragin duen Navalniren heriotza. Dmitri Peskovek adierazi du ez dakitela zerk eragin duen haren heriotza, eta gertatu dena ikertzen hasi direla.
Mendebaldeko potentzientzat ere, Volodimir Zelenski Ukrainako presidentearentzat «argi» dago hil egin dutela. AEBen ustez, gertatu denaren «erantzulea» da Errusia, eta Antony Blinken Estatu idazkariak adierazi du Errusiako Gobernuak eta Putinek Navalni, epaitu, pozoitu eta kartzelatu dute azken hamarkadan, eta orain haren heriotza iragarri dute.
Navalni azken urteotan Putinren kritiko nagusietako bat izan da. 2011 eta 2012an Putinen aurka egindako protesten sustatzaileetako bat izan zen, eta hauteskundeetan iruzurra eta ustelkeria sustatzea egitea adierazi zuen.
Pozoitu egin zuten 2020an, Errusiako espioiek novitxok gasarekin. Alemanian tratamendua jaso zuen, osatu zen, eta 2021eko urtarrilean Errusiara itzuli zen. Atxilotu egin zuten, baldintzapeko askatasuna urratzea leporatuta. Orduz geroztik espetxeratuta egon da, eta hainbat zigor ezarri dizkiote auzitegiek.
TL;DR: Aleksei Navalni, Errusiako oposizio kidea, hil da kartzelan. Errusiako gobernuak eta Putinren bozeramaileak ez dute adierazi zerk eragin duen heriotza, eta mendebaldeko potentzientzat ere, erantzukizuna aurkezten dute. Navalni azken urteotan Putinren kritiko nagusietako bat izan da, eta 2020an Errusiako espioiek novitxok gasarekin pozoitu zuten.</t>
  </si>
  <si>
    <t xml:space="preserve">Pere Aragonès Kataluniako Generalitateko presidenteak politika aktiboaren lehen lerrori agur esan dio, ERC alderdiak izandako emaitza txarrak aitortuz. Ez du Kataluniako Parlamentuko diputatu kargua hartuko, baina jarduneko presidente gisa jarraituko du. Alderdiak boto kopuru handia galdu du azken hauteskundeetan, eta Aragonèsek gainbehera horren ardura bere gain hartu du, nahiz eta PSCren eta Juntsen «blokeo etengabea» ere kritikatzen duen.
PSCren bozeramaile Nuria Parlonek adierazi du sozialistek Kataluniako etorkizunaren lidergoa hartuko dutela, eta progresisten arteko akordioa proposatu du gobernua osatzeko. Dena den, sozialistek gutxiengoan gobernatzeko aukera ere ez dute baztertzen.
Carles Puigdemont Juntseko liderrak inbestidurarako hautagaitza aurkeztu du, eta gehiengo independentista bat osatzeko aukera defendatu du. Hala ere, sozialistekin akordiorik ez duela egingo berretsi du. Junts eta ERCk oraindik ez dute adostasunik lortu, eta Aragonèsek oposizioan egoteko asmoa adierazi du, PSCk eta Juntsek gobernagarritasunaren erantzukizuna har dezaten.
Beste alde batetik, Comuns Sumar taldeak ezkerreko gobernu bat proposatu du PSC eta ERCrekin batera, nahiz eta hauteskundeak errepikatzeko aukera ere mahaigaineratu duen. PPk, berriz, ez du sozialistekin elkarlanik egingo, eta Ciudadanosen boto-emaileen babesa bereganatzeko apustua egin du.
Kataluniako eskenatoki politiko berria Madrilgo gobernuaren egonkortasunarekin lotu daitekeela ere aipatu da. Puigdemonten esanetan, PSCren eta PPren arteko akordiorik egongo balitz, PSOEk Madrilen duen babesak zentzua galduko luke.
Azkenik, Clara Ponsati eta Jordi Grauperaren Alhora alderdiak ez du eserlekurik lortu, eta Ponsatik politika aktibotik erretiratzea erabaki du. Euskal Herritik, Andoni Ortuzarrek eta Eneko Anduezak kataluniar alderdien emaitzak zoriondu dituzte, akordio eta elkarrizketa garaia dela azpimarratuz.</t>
  </si>
  <si>
    <t xml:space="preserve">### Laburpena
Kataluniako politika hauteskundeen emaitzek errotik astindu dute:
1. **ERC eta Pere Aragonèsen erabakia**: Pere Aragonèsek, ERCko buruak, politikaren lehen lerrotik erretiratzea erabaki du alderdiak hauteskundeetan izandako porrotaren ondorioz. Jarduneko presidente izaten jarraituko du, baina ardura onartu du boto galera handiagatik. Aragonèsek PSC eta Juntsen «blokeoa» kritikatu du eta gehiengo independentistaren galera nabarmendu du.
2. **PSCren eta Juntsen posizioak**:  
   - **PSC**: Sozialistek irabazi dute hauteskundeak (42 eserleku) eta «etorkizunaren buru» izateko asmoa agertu dute. Akordio progresista baten alde daude, ERC eta Comuns Sumarrekin elkarlanean, baina gutxiengoan gobernatzeko aukera ere ez dute baztertzen.  
   - **Junts**: Carles Puigdemont hautagaiak inbestidurarako asmoa berretsi du, PSCk PPrekin akordioak eginez gero, Madrilgo akordioak baliogabetzat joko dituela ohartaraziz.
3. **Beste alderdien ikuspegiak**:  
   - **Comuns Sumar**: Ezkerreko koalizio baten alde daude PSC eta ERCrekin.
   - **PP**: PSCren gobernua ez babesteko erabakia hartu dute, separatismoari aurka egiteko.
4. **Independentismoaren gainbehera eta Ponsatiren dimisioa**: Clara Ponsatik, Alhora alderdiaren sortzaileak, politika aktiboa utziko du hauteskundeetan eserlekurik ez lortu ostean. Independentismoak krisi sakonean dagoela onartu du.
5. **Euskal Herriko erreakzioak**: Andoni Ortuzarrek akordio eta elkarrizketarako aukera goraipatu du, eta Eneko Anduezak PSC zoriondu du «emaitza historikoagatik». 
Hauteskundeek Kataluniako politikaren norabidea aldatu dute, eta datozen asteetan akordio politikoak eta lidergo negoziazioak gako izango dira.</t>
  </si>
  <si>
    <t xml:space="preserve">### 5W1H metodoa erabiliz laburpena:
- **Zer?**  
Pere Aragonesek, ERCren emaitza txarrak onartuta, Kataluniako Parlamentuko diputatu akta ez hartzea erabaki du, baina jarduneko presidente izaten jarraituko du. Hauteskundeek Kataluniako mapa politikoa aldatu dute, independentismoaren gehiengoa galduz eta PSCk gorantz eginez.
- **Nork?**  
Pere Aragones (ERCko presidentea), Carles Puigdemont (Juntseko hautagaia), Nuria Parlon (PSCko bozeramailea), Alejandro Fernandez (PPko hautagaia), Jessica Albiach eta David Cid (Comuns Sumarreko ordezkariak), Clara Ponsati (Alhorako kidea), Andoni Ortuzar (EAJko lehendakaria).
- **Noiz?**  
Azken hauteskundeen ostean, gaur goizean (albistea argitaratu den egunean).
- **Non?**  
Katalunian.
- **Zergatik?**  
ERCk emaitza txarrak izan ditu, eta Aragonesek bere gain hartu du ardura. Independentismoak gehiengoa galdu du eta PSC indartu da, eskuinaren gorakadarekin batera. Egoera politiko berriak elkarrizketa eta akordio berriak eskatzen ditu.
- **Nola?**  
Aragonesek bere kargua uzteko eta jarduneko presidente izateko erabakia publiko egin du. Juntsek eta PSCk elkarrizketa estrategiak planteatu dituzte gobernu akordioak bilatzeko. Alhorak porrota onartu du, eta Comuns Sumarrek PSC eta ERCrekin gobernua osatzeko prestasuna adierazi dute. PPk eta Ciudadanosek boto-aldaketa nabarmena izan dute.</t>
  </si>
  <si>
    <t xml:space="preserve">Kataluniako Parlamenturako hauteskundeek politika-egoera korapilatsua utzi dute. Pere Aragonès ERCko presidenteak lehen lerrotik erretiratzea erabaki du alderdiaren emaitza txarren ondorioz, nahiz eta jarduneko presidente izaten jarraituko duen. ERCk oposizioan egoteko asmoa du, PSC eta Juntsen arteko gobernu-akordioa espero baitu.
PSCk, emaitza onak eskuratuta, lidergoa hartu nahi du, baina gutxiengoan gobernatzea edo progresisten arteko akordio bat egitea ere planteatzen du. Junts, bigarren indarra izanik, independentismoa berpizten saiatzeko asmoa du. Bestalde, PPk eta Ciudadanosek posizio konstituzionalistak indartu dituzte, eta Comuns Sumarrek gobernu progresista baten aldeko jarrera erakutsi du.
Espainiako Gobernuari dagokionez, Kataluniako akordioek eragin zuzena izan dezakete PSOEren eta Juntsen arteko harremanetan. Independentismoaren barnean, Clara Ponsatik dimisioa iragarri du Alhora alderdiaren emaitza txarren ondorioz. Euskal Herritik, Andoni Ortuzarrek elkarrizketaren eta akordioen beharra azpimarratu du.</t>
  </si>
  <si>
    <t xml:space="preserve">**Espainiako Kopa: Derbi bikoitza final-zortzirenetan**
Espainiako Koparen final-zortzirenetako zozketak zirrara handiko bi derbi ekarri ditu. Osasunak eta Realak elkarri aurre egingo diote Sadarren, eta Athleticek Alaves hartuko du San Mamesen. Partida hauek giro ikusgarria eta tentsio handia bermatzen dute.
**Datak eta ordutegiak**  
Athletic-Alaves derbia **urtarrilaren 16an, 21:00etan** izango da. Osasunak, aldiz, Superkopako finalaurrekoa galtzen badu, Realaren aurkakoa **urtarrilaren 17an, 21:00etan** jokatuko da; baina Superkopako finalera iritsiz gero, partida **urtarrilaren 18an, 19:30etan** izango litzateke.
**Zozketaren emaitzak eta ustekabeak**  
Orain arte, ezusteko gutxi izan dira Espainiako Kopan. Final-zortzirenetara iritsi diren talde gehienak Lehen Mailakoak dira, Tenerife (Bigarren Mailakoa) eta Unionistas (Lehen Federazio Mailakoa) salbu. Hortaz, norgehiagoka interesgarriak aurreikusten ziren, baina inor gutxik espero zuen bi derbi hain zuzen egokitzea.
**Osasuna eta Reala: erronka bikoitza**  
Osasunak final-zortzirenetako partida Realaren aurka jokatuko du, Superkopako txapelketa jokatu eta berehala. **Etzi, Bartzelonaren aurka arituko da Saudi Arabian**, eta horren emaitzak eragina izango du Realaren aurkako norgehiagokaren datan. Realak, bestalde, nekea pilatuta iritsiko da: Sadarrera joan aurretik, San Mamesen derbia jokatu du Athleticekin, eta Celtaren aurka izango du hurrengo hitzordua kanpoan.
**Athletic eta Alaves: giro beroa San Mamesen**  
Athleticek derbiz betetako hilabetea izango du. Lehenik, Eibarren aurka aritu zen Kopan, eta ondoren, Realaren aurkakoa jokatu zuen Ligan. Alavesen aurka, azkenekoz irailaren 22an jokatu zuen, Mendizorrotzan 0-2 irabazita. Babazorroak, tartean Sevillaren aurkako partida jokatuta, San Mamesera zertxobait larriago iritsiko dira. Gainera, Alavesek presio handiko egutegia izango du: Cadizen aurkako ligako partida Koparen ondoren jokatuko dute, bi edo hiru egun geroago, seguruenik.
Derbi hauek, ohiko lehiatik haratago, zaleen eta taldeen arteko pasioa piztuko dute, eta jokoak norgehiagoka bikainak ekartzeko aukera emango du.</t>
  </si>
  <si>
    <t xml:space="preserve">Espainiako Koparen final-zortzirenetako zozketak bi derbi zirraragarri ekarri ditu: Osasuna-Reala Sadarren eta Athletic-Alaves San Mamesen. Athleticek eta Alavesek urtarrilaren 16an jokatuko dute 21:00etan, eta Osasunak Superkopako finalaurrekoa galtzen badu, Realaren aurka 17an jokatuko du; bestela, partida 18an izango da. 
Osasunak Superkopan duen emaitzak eragina izango du Kopako datetan, eta partida horretan Bartzelonaren aurka jokatuko du. Realak hiru partida jarraian izango ditu etxetik kanpo, derbien artean Sadarrera joanez. Bestalde, Athleticentzat derbiz betetako hilabetea izango da, Alavesen aurkako partida aurretik eta ondoren beste erronka garrantzitsuak izan dituelako.</t>
  </si>
  <si>
    <t xml:space="preserve">Hona hemen testua laburtua **5W1H metodoa** erabiliz: 
### 1. **Zer?**  
Espainiako Koparen final-zortzirenetako zozketak derbi bikoitza ekarri du: Osasuna-Real Sociedad eta Athletic-Alaves, bi partida zirraragarri aurreikusten dira. 
### 2. **Nork?**  
- **Osasuna** eta **Real Sociedad**, bata bestearen aurka Sadarren.  
- **Athletic Club** eta **Alaves**, San Mamesen.  
- Beste parte-hartzaileak: Bigarren Mailako Tenerife eta Lehen Federazio Mailako Unionistas.
### 3. **Noiz?**  
- **Athletic-Alaves**: Urtarrilaren 16an, 21:00etan.  
- **Osasuna-Real Sociedad**:  
  - Osasunak Superkopako finalaurrekoa galtzen badu, urtarrilaren 17an, 21:00etan.  
  - Osasunak finalera iritsiz gero, urtarrilaren 18an, 19:30etan.  
### 4. **Non?**  
- **Sadar estadioan**, Osasuna eta Real Sociedad.  
- **San Mames estadioan**, Athletic eta Alaves.  
### 5. **Zergatik?**  
Espainiako Koparen zozketaren ondorioz, final-zortzirenetako kanporaketak derbi zirraragarriak ekarri ditu. Gainera, partida hauen emaitzek baldintzatuko dituzte talde bakoitzaren hurrengo urratsak lehiaketa ezberdinetan.  
### 6. **Nola?**  
- Osasunak Superkopan parte hartzen duelako, haren Kopako partidaren data aldatu egin daiteke emaitzen arabera.  
- Athletic eta Alaves derbietara aurreko norgehiagokek baldintzatuta iritsiko dira: Athletic-ek derbi gehiago jokatu ditu azkenaldian, eta Alavesek Sevillaren aurka arituko da partidaren aurretik.  
**Ondorioa:** Final-zortzirenetako fase honetan, emozioz beteriko derbiak espero dira, eta talde bakoitzaren egutegiak eta forma fisikoak eragina izan dezakete emaitzetan.</t>
  </si>
  <si>
    <t xml:space="preserve">Espainiako Koparen final-zortzirenetako zozketak bi euskal derbi ekarri ditu, zirrara handiko partidak izango direnak: **Osasuna-Real Sociedad** Sadarren eta **Athletic-Alaves** San Mamesen. 
- **Athletic-Alaves**: Urtarrilaren 16an, 21:00etan.  
- **Osasuna-Real Sociedad**: Osasunak Superkopako finalera iristen ez bada, urtarrilaren 17an, 21:00etan. Bestela, urtarrilaren 18an, 19:30etan.
Osasuna Realaren aurka jokatuko du Superkopatik itzuli berritan, eta zaleentzat berezia izango da. Reala, berriz, hirugarren partida izango du etxetik kanpo. Athleticentzat, hilabete derbiz beteta dago, eta Alaves larriago iritsiko da, Sevillaren aurkako partida tarteko.</t>
  </si>
  <si>
    <t xml:space="preserve">Sadarren babespean momentu garrantzitsuak bizi izan ditu Osasunak aurten. Kopako gau magikoak Sevilla eta Athleticen aurka, eta Europarako sailkapena Gironari Ligako azken jardunaldian irabazita, mugarri nabarmenak izan dira. Guztira, bederatzi garaipen lortu ditu etxean. Hala ere, horietako bakarra izan da denboraldi honetan: Granadari 2-0 irabaztea hamargarren jardunaldian. Beste zortzi partida jokatu ditu Sadarren sasoi honetan (Konferentzia Ligako atarikoa barne), eta horietatik sei galdu, eta bi berdindu ditu. Deserrotuta dago Osasuna Sadarren. Egoera hori iraultzeko asmoz, gaur Rayo Vallecano hartuko dute (21:00, Movistar LaLiga). Urtea amaitu aurretik etxean sendotasuna berreskuratu nahi dute, eta horretarako garaipena beharrezkoa da.
Osasunaren bolada txar hori ez da Sadarrera mugatzen. Kanpoan ere, garaipenik gabe ari dira, eta dagoeneko sei jardunaldi kateatu dituzte puntuak hirunaka batu gabe. Hala ere, puntu bat eskuratu dute Las Palmasen, Realaren eta Cadizen aurka, eta jaitsiera postuetatik sei puntura daude. Hala eta guztiz ere, taldearen jokoak kezka sortzen du. Batzuetan maila ona erakutsi dute, baina gorabehera handiak dituzte, eta sendotasun falta nabarmentzen da: 26 gol jaso dituzte, eta soilik Almeria, Granada eta Vila-realek dute defentsa ahulagoa. Azken sei partidetako hamabi gol jasota, ez da harritzekoa garaipenik ez lortzea. Sergio Herreraren geldiketa ikusgarriak ere ez dira nahiko izan.
Budimirrek eragin handia du taldean, baina haren ekarpena ez da nahikoa. Kroaziarrak zortzi gol eta bi asistentzia eman ditu Ligan, eta taldearen golen %55etan parte hartu du. Lehen Mailan ez dago jokalaririk taldean hainbesteko eragina duenik. Hala ere, Osasunak ate aurrean arazoak ditu, Cadizen aurkako partida argi geratu zen bezala: lehen zatian oso maila baxua erakutsi zuten, bigarren zatian erasoak pilatu zituzten arren, ezin izan zuten gol gehiago sartu penalti baten bidez banakoa lortu arte.
Rayo Vallecano ere krisian iritsiko da gaurko partidara. 20 puntu dituzte, Osasunak baino lau gehiago, baina azken zazpi jardunaldietan ez dute irabazi. Golak sartzeko arazoak dituzte: bakarrik 16 gol egin dituzte, eta taldeko golegile nagusia Alvaro Garcia da, lau golekin. Osasunak defentsan erakusten duen ahulezia ikusita, aukera ikusten dute Rayoko aurrelariek. Gainera, Rayo etxetik kanpo sendo dabil: hiru garaipen eta bi porrot besterik ez dituzte.
Hamaikakoari dagokionez, Jagoba Arrasatek Ruben Peña eta Catena izango ditu eskuragarri. Lesio batetik eta zigorra betetzetik itzuli dira, baina ikusteko dago hasierako hamaikakoan lekurik izango duten. Biek jokatuko balute, Juan Cruz, Chimy Avila edo Ruben Garciaren partaidetza zalantzan legoke. Bestalde, Iker Muñozek Torrok baino maila hobea erakutsi zuen Cadizen aurka, eta hasieratik aritzeko aukera izan dezake.
**OSASUNA-RAYO VALLECANO**
- **Osasuna**: Sergio Herrera; Areso, Catena, David Garcia, Juan Cruz; Muñoz, Aimar, Moi Gomez; Chimy Avila, Budimir eta Ruben Garcia.  
- **Rayo Vallecano**: Dimitrievski; Balliu, Lejeune, Mumin, Espino; Pathe Ciss, Valentin; Isi, Unai Lopez, Alvaro Garcia; eta De Tomas.  
**Lekua**: Sadar (23.516 ikusle).  
**Ordua**: 21:00 (LaLiga).</t>
  </si>
  <si>
    <t xml:space="preserve">**Laburpena:**
Osasuna bolada txarrean dago bai Sadarren (etxean partida bakarra irabazi du denboraldi honetan) bai kanpoan (sei jardunaldi garaipenik gabe). Taldearen jokoa gorabeheratsua da, eta defentsan ahultasuna erakutsi du (26 gol jaso ditu). Budimirren ekarpena nabarmena da (%55 golen parte-hartzea), baina taldeak laguntza gehiago behar du erasoan. Gaur Rayoren aurka jokatuko du, bolada txarrean dagoen arerio bat, baina etxetik kanpo emaitza onak lortu izan dituena. Osasunak Ruben Peña eta Catena berreskuratu ditu partida honetarako, eta haien parte-hartzea erabakigarria izan daiteke. Neurketa Sadarren izango da, 21:00etan.</t>
  </si>
  <si>
    <t xml:space="preserve">### 5W1H Metodoa
1. **Zer (What):**  
   Osasunak eta Rayo Vallecanok partida jokatuko dute Sadarren. Osasuna, etxean bolada kaskarra izaten ari den arren, irabazteko beharrean dago, eta Rayoren bolada ere ez da askoz hobea.
2. **Nork (Who):**  
   - **Osasuna:** Sergio Herrera, Areso, Catena, David Garcia, Juan Cruz, Muñoz, Aimar, Moi Gomez, Chimy Avila, Budimir eta Ruben Garcia hamaikakoarekin.  
   - **Rayo Vallecano:** Dimitrievski, Balliu, Lejeune, Mumin, Espino, Pathe Ciss, Valentin, Isi, Unai Lopez, Alvaro Garcia eta De Tomas hamaikakoarekin.
3. **Noiz (When):**  
   21:00etan jokatuko da partida, LaLigako jardunaldi batean, Gabonak iritsi aurretik.
4. **Non (Where):**  
   Sadarren, Iruñean, estadioa 23.516 ikuslek hartzeko gaitasuna du.
5. **Zergatik (Why):**  
   - **Osasuna:** Etxean emaitza onak lortzeko beharra dauka, azken bolada txarrari buelta emateko eta jaitsiera postuetatik urruntzeko.  
   - **Rayo:** Bolada txarrari amaiera eman nahi dio, sailkapenean posizio erosoa sendotuz.
6. **Nola (How):**  
   - Osasunak Ruben Peña eta Catena berreskuratu ditu; hamaikakoan izan daitezke.  
   - Budimirrek taldearen eragin handiena duen jokalaria izaten jarraitzen du.  
   - Sadarren, historikoki, Rayoren aurka emaitza onak lortu izan dituzte.  
   - Rayo gol falta eta aurrelari nagusien forma kaskarra jasaten ari da, baina defentsan sendotasuna erakutsi du zenbait partidatan.
Hau guztia kontuan hartuta, partida zail eta erabakigarria espero da bi taldeentzat.</t>
  </si>
  <si>
    <t xml:space="preserve">Osasuna bolada txarrean dago, bai etxean, bai kanpoan. Sadarren, aurten partida bakarra irabazi dute, eta azken sei jardunaldietan garaipenik gabe daude. Taldearen joko irregularrak eta defentsako ahuleziak kezkak sortu dituzte, 26 gol jaso baitituzte. Budimirrek ekarpen handia egiten duen arren, taldeak laguntza gehiago behar du erasoan. Rayok ere garaipenik ez du lortu azken zazpi jardunaldietan, eta golak sartzeko zailtasunak ditu, nahiz eta etxetik kanpo emaitza hobeak izan. Sadarren, Osasunak Rayoren aurkako bolada onari eutsi nahi dio gaurko partida erabakigarrian (21:00).</t>
  </si>
  <si>
    <t xml:space="preserve">**Laburpena:**
**Gazteen artean pornografia eta bere eragina aztertzen duen dokumental saila: "Generación porno"**
Jose Luis Garcia psikologo eta sexologoak adierazi duenez, gero eta gazteago hasten dira pornografia kontsumitzen, eta gainera, edukia gero eta bortitzagoa bihurtzen ari da. Bi klik nahikoa dira haurrek horrelako bideoak eskuratzeko. Egoera honetaz kezkatuta, **ETBk eta TV3ek, Shine Iberia ekoiztetxearekin lankidetzan, "Generación porno" dokumental saila** ekoitzi dute. Lau ataletan banatua egongo da, ETBn gaztelaniaz eta TV3en katalanez emitituko da. Dokumentalak lau familia elkarrizketatu ditu, baita abeslariak, porno industriako aktoreak eta adituak ere.
**FesTVal jaialdian aurkeztua**, dokumentalak sexu heziketaren, teknologia erabileraren eta gazteen arteko indarkeriaren inguruko eztabaidak eragin ditu. Marina Marroqui gizarte hezitzaileak azaldu duenez, gaur egungo gazteen sexu-harremanak sarritan "basatiak" dira, eta gazteek pornoan ikusitakoa errepikatzeko joera dute. Haren iritziz, sexu heziketa berritua behar da, gazteen kezkak ulertu eta gidatzeko.
Gainera, dokumentalaren parte hartu duten familiak adierazi dute gaiari buruzko hitz egiteko etxean giro segurua sortzea funtsezkoa dela. Ama batek aitortu du dokumentalak aurretik ezagutzen ez zituen errealitate gogorrak erakutsi dizkiola. Garcia psikologoak pornografia **"XXI. mendeko kokaina"** bezala deskribatu du, eta bere kontsumoa desagerrarazi behar dela nabarmendu du.
Dokumentalaren aurkezpen ofiziala Gasteizen egin zen FesTVal jaialdian, eta aurrestreinaldia Bilboko Azkuna Zentroan.</t>
  </si>
  <si>
    <t xml:space="preserve">**Laburpena:**
Gazteak gero eta goizago eta gero eta bortitzagoa den pornografia kontsumitzen hasi dira, eta horrek sexu heziketa garaikidearen beharra azaleratzen du. Jose Luis Garcia psikologoak eta Marina Marroqui gizarte hezitzaileak pornografia drogarentzako metafora erabiliz deskribatu dute, eta arazo honi aurre egiteko gurasoek etxean giro osasuntsu eta seguru bat sortzea proposatzen dute. Arazo hau aztertzeko, ETBk eta TV3ek *Generación Porno* dokumental saioa ekoitzi dute, familiek, abeslariek, pornoaren industriako aktoreek eta adituek gaiari buruz emandako testigantzak jasoz. Dokumentalaren aurkezpena FesTVal jaialdian eta Bilbon egin da, eta sexu heziketaren gabeziak eta teknologiarekiko arduragabekeria izan dira eztabaidaren ardatz nagusiak.</t>
  </si>
  <si>
    <t xml:space="preserve">Hona hemen testuaren laburpena 5W1H metodoa erabiliz:  
### **1. Zer?**  
Gazte eta haurrek gero eta gazteago pornografiaren kontsumoarekin duten arazoa aztertzen duen *Generación porno* dokumental saila. Dokumentalak gaiaren inguruko elkarrizketak eta lekukotzak eskaintzen ditu, eta sexu heziketaren eta teknologia erabileraren inguruko eztabaidak sustatzen ditu.
---
### **2. Nork?**  
- **Dokumentalaren ekoizleak:** ETB eta TV3 telebista kateak, Shine Iberia ekoiztetxearekin elkarlanean.  
- **Parte-hartzaileak:** Jose Luis Garcia psikologoa, Marina Marroqui gizarte hezitzailea, abeslariak, porno industriako aktoreak, adituak, eta lau familia.  
- **Aurkezpena egin zutenak:** FesTVal jaialdian eta Bilboko Azkuna zentroan parte hartu zutenak.
---
### **3. Noiz?**  
- Dokumentala:  
  - ETBn hilaren 18tik aurrera, lau ataletan.  
  - TV3n hilaren 26tik aurrera, hiru ataletan.  
- Aurkezpena: Gasteizko Europa Biltzar Jauregian, atzo.  
- Aurrestreinaldia: Atzo arratsaldean, Bilboko Azkuna zentroan.
---
### **4. Non?**  
- Aurkezpenak:  
  - Gasteizko Europa Biltzar Jauregian (FesTVal jaialdian).  
  - Bilboko Azkuna zentroan.  
- Emisioa:  
  - ETBn gaztelaniaz eta TV3n katalanez.
---
### **5. Zergatik?**  
Gazteen eta haurren artean pornografiaren kontsumo goiztiarra eta horrek dakarren eragina azaleratzeko, hala nola indarkeria normalizatzea eta sexu heziketa faltaren ondorioak nabarmentzeko. Horrez gain, etxeetan gaiari buruzko komunikazio osasuntsua sustatu nahi da.
---
### **6. Nola?**  
Dokumentalaren bidez:  
- Lau familiaren elkarrizketak.  
- Adituen eta industriako pertsonen lekukotzak.  
- Sexu heziketa eta teknologiarekin lotutako eztabaidak, publikoaren sentsibilizazioa bilatuz.  
Gainera, FesTVal eta aurrestreinaldian aurkezpenak eta eztabaidak egin ziren ikus-entzuleei errealitatea hurbiltzeko.</t>
  </si>
  <si>
    <t xml:space="preserve">"**Generación porno**" dokumental saioa ETBk eta TV3ek ekoitzi dute Shine Iberiarekin elkarlanean, pornografia eta gazteen artean duen eragin kezkagarria aztertzeko. Dokumentalean lau familiaren testigantzak eta aditu, abeslari eta porno-industriako aktoreen iritziak jasotzen dira. Haurrek gero eta gazteago ikusten dute pornografia, askotan bi klik eginez, eta geroz eta bortitzagoa den edukia kontsumitzen dute, ondorio negatiboak eraginez. 
Psikologoek eta gizarte hezitzaileek sexu heziketa sakonagoa eta egungo arazoei aurre egiteko beharrezkoa dela azpimarratu dute. Dokumentalak gai hauei buruz hausnartzeko espazio bat sortzea du helburu. ETB2k gazteleraz emango du hilaren 18tik aurrera, eta TV3ek katalanez hilaren 26tik aurrera.</t>
  </si>
  <si>
    <t xml:space="preserve">Ez dago Iñaki Artola geldituko duenik. Profesional mailara jauzia eman zuenetik, Baikoko aurrelaria inoizko sasoirik onenean dago, eta emaitzek hori berresten dute. Binakako txapelketa bikain baten ostean, banakakoan beste urrats bat egin du aurrera, eta erakustaldi ikusgarriak eskaintzen ari da. Azkena, gaur, Iruñeko Labrit pilotalekuan izan da. Lehenik Joseba Ezkurdiari (22-10) eta ondoren Aitor Elordiri (22-8) irabazi ondoren, Javier Zabala zuen aurrean. Alegiarrak ez du hutsik egin eta erakustaldi berri bat emanda 22-8 irabazi dio. Hasi eta buka lan biribila eginez, azkenaldiko sentsazio bikainak berretsi ditu: sasoiz eta konfiantzaz bikain dago, eta ez dio inolako aukerarik eman aurkariari. Ondorioz, Artola multzoburu sailkatuko da finalerdietarako. Bigarren postua, berriz, gaur erabakiko da. 
Kontuak argi daude: Elordik Ezkurdiari irabaziz gero, bizkaitarra bera sailkatuko da; galduz gero, Zabalak eskuratuko du postua. Ezkurdiak aukera txiki bat dauka: Elordi 22 eta 3 baino emaitza hobearekin gainditzea beharko du.
### Partidaren kronika
Artola faborito zen Zabalaren aurka, baina hasierako tantoek ez zuten ezer argitzen. Bi pilotariak gogotsu eta nor baino nor gehiago aritu ziren lehen tantoetan, eta aparteko jokoak eskaini zituzten. Hiruna berdinduta zeudenean, ehun pilotakada baino gehiago jotakoak zituzten. Lehen fase horretan, bien ahalegin fisikoa nabarmentzekoa izan zen. Hala ere, hortik aurrera, Artola nagusitzen hasi zen. Sakeari etekin handia aterata, jokoaren erritmoa bere esparrura eraman zuen, eta Zabalak defentsan aritu behar izan zuen ia une oro. Alegiarrak pilota oso luze bidaliz eta erasoko jokoa eraginkortasunez erabiliz, lehen atsedenaldi luzera 12-3 aurretik iritsi zen.
### Atsedenaren ondoren
Atsedenaren ostean, Zabalak erasotzen saiatu zen, baina egindako tantoetan ere ez zuen sakearen bidez abantailarik lortu. Horren zergatia Artolaren joko bikaina izan zen: indartsu, fresko eta presiorik gabe aritu zen. Tantoek aurrera egin ahala, gero eta hobeto jokatu zuen, eta zaleak isilik geratu ziren, haren jokoa miretsiz. Amaieran, Zabalak bizpahiru tanto jarraian egin eta azken ahalegina egin zuen, baina alferrik. Artolak bere nagusitasuna erakutsi zuen, eta finalerdietara konfiantza osoz helduko da.
### Multzoko bigarrenaren erabakia
Multzo horretako bigarren postua bihar jokatuko da, Bilboko Bizkaia frontoian. Elordi faborito da, eta irabaziz gero, finalerdietarako sailkatuko da. Hala ere, Ezkurdiak azken ahalegina egingo du, txapelketa duin amaitzeko asmoz. Bien bitartean, Zabala telebistaren aurrean egongo da (18:00, ETB1).</t>
  </si>
  <si>
    <t xml:space="preserve">Iñaki Artola sasoirik onenean dago eta Binakako zein Banakako txapelketetan emaitza bikainak lortu ditu, azkenik Javier Zabalari irabaziz (22-8) Iruñean. Partida borobil eta erakustaldizkoa egin zuen, nagusitasunez jokatuz eta aurkariari aukerarik eman gabe. Artola finalerdietarako multzoburu sailkatu da. Multzo bereko bigarren postua gaur erabakiko da Bilbon, non Elordi faborito den Ezkurdiaren aurka. Zabalak telebistaz jarraitu beharko du emaitza.</t>
  </si>
  <si>
    <t xml:space="preserve">Hona hemen testua 5W1H metodoarekin laburtuta:
### **1. Zer?**
Iñaki Artolak erakustaldi bikaina egin zuen pilota partidan, eta finalerdietarako sailkapena lortu zuen. Zabalari 22-8 irabazi zion.
### **2. Nork?**
Iñaki Artola, Baikoko aurrelaria.
### **3. Noiz?**
Gaurko egunean (testuaren testuingurua kontuan hartuta).
### **4. Non?**
Iruñeko Labrit pilotalekuan.
### **5. Zergatik?**
Artola bere sasoirik onenean dago, eta partidak irabaziz, finalerdietarako multzoburu sailkatu da. Jokoan duen forma fisiko bikainak eta konfiantzak bere arrakasta bultzatu dute.
### **6. Nola?**
Partida hasieran bi pilotariek parekatuta jokatu zuten, baina Artolak sakeari etekin handia atera zion eta joko ausart eta eraginkorra egin zuen. Zabalak defentsan aritu behar izan zuen gehienetan, eta ez zuen aukerarik izan Artolaren nagusitasunaren aurrean.
### **Beste xehetasunak:**
- **Bigarren postua**: Elordi eta Ezkurdiaren arteko partida Bilboko Bizkaia frontoian erabakiko da.
- **Zabalaren egoera**: Sailkapenaren emaitzak telebistaz jarraitu beharko ditu.</t>
  </si>
  <si>
    <t xml:space="preserve">Iñaki Artola bikain ari da Banakako Txapelketan, finalerdietarako multzoburu sailkatuz. Gaur Iruñeko Labriten erakustaldi aparta eskaini du, Javier Zabala 22-8 garaituta. Artolak fresko eta konfiantzaz gainezka jokatu du, aurkariari inolako aukerarik eman gabe. Orain, multzoko bigarren postua erabakitzeko, gaur Bilbon Elordi eta Ezkurdiaren arteko partida gakoa izango da. Elordik irabaziz gero, bera sailkatuko da; Ezkurdiak, berriz, emaitza oso zabal batekin irabazi beharko du sailkatzeko aukera izateko.</t>
  </si>
  <si>
    <t xml:space="preserve">Moskuko aldirietan gertatu den tiroketa tragikoa izugarri larria da, eta hainbat puntu azpimarragarri ditu: 
1. **Tiroketa eta leherketak**: Antzokian, gutxienez hiru erasotzaile armatuk tiro egin eta lehergailuak aktibatu dituzte. Horrek gutxienez 40 hildako eta dozenaka zauritu utzi ditu, horien artean adingabeak. 
2. **Segurtasun neurriak eta ikerketa**: Errusiako Segurtasun Zerbitzu Federalak gertatutakoa "eraso terrorista" gisa ari da ikertzen, eta erasotzaileak atzemateko lanetan ari dira. 
3. **Lekukoen eta sare sozialen testigantzak**: Gertakariaren gordintasuna ikus daiteke sare sozialetan zabaldu diren bideo eta argazkietan. Horietan ageri dira jendea antzokitik ihesean, tiro hotsak atzean entzuten diren bitartean. Leherketek antzokiko sabaia eroriarazi dute.
4. **Errusiako Gobernuaren erreakzioa**: Errusiako Gobernuak gertatutakoa "krimen izugarria" dela adierazi, eta nazioarteari gaitzespena eskatu dio. Kremlinek Moskun egitekoa zen asteburuko elkarretaratze handiak bertan behera utzi ditu eta segurtasun kontrolak gogortu ditu.
5. **Nazioarteko ikuspegia eta zalantzak**: 
   - AEBek jakinarazi dute ez dagoela Ukrainaren edo ukrainarren parte-hartzearen ebidentziarik. 
   - John Kirbyk eta Ukrainako Gobernuko ordezkariek nabarmendu dute erasoa ez dela Ukraina lotzeko modukoa.
   - Aldi berean, Mendebaldeko herrialdeetako hainbat enbaxadek aurretik ohartarazi zuten Moskuko ekitaldi handietan erasoak gertatzeko arriskua zegoela.
6. **Politika eta segurtasuna**: Gertakariak agerian utzi du Errusian dagoen tentsioa eta segurtasun egoera zaurgarria. Putinek Mendebaldearen ohartarazpenak "desoratzeko saiakeratzat" jo zituen, baina gertakari honek segurtasun mehatxuak benetakoak izan daitezkeela erakutsi du.
Gertakari honek oihartzun sakona izango du, bai Errusian bertan, bai nazioartean, egoera politikoa eta segurtasuna are gehiago korapilatuz.</t>
  </si>
  <si>
    <t xml:space="preserve">**Moskuko antzoki batean tiroketak: laburpena**  
Errusiako hedabideen arabera, Moskuko aldirietako antzoki batean egindako tiroketa eta leherketa batek gutxienez 40 hildako eta dozenaka zauritu utzi ditu, tartean adingabeak. Erasoan hiru erasotzailek parte hartu dute, eta hori "eraso terrorista" gisa ikertzen ari da Errusiako Segurtasun Zerbitzua. Antzokiko sabaia lehergailuek eragindako sute baten ondorioz erori da, eta ikus-entzunezkoetan kaos eta ihesaldiak ageri dira.  
Errusiako Gobernuak "krimen izugarritzat" jo du gertatutakoa eta nazioarteari gaitzespena eskatu dio. Ukrainako Gobernuak, berriz, erasoarekin inolako loturarik ez duela azpimarratu du, eta AEBetako iturriek adierazi dute ez dagoela Ukrainaren parte-hartzea adierazten duen frogarik.  
Tiroketa gertatu aurretik, Mendebaldeko enbaxadek muturreko taldeek ekitaldi handiak erasotzeko planak zituztela ohartarazi zuten. Kremlinek segurtasun neurriak indartu eta ekitaldi publikoak bertan behera utzi ditu.  </t>
  </si>
  <si>
    <t xml:space="preserve">### 5W1H Metodoa erabiliz laburpena:
#### **Zer?**
Moskuren aldirietako antzoki batean tiroketa bat gertatu da. Gutxienez 40 pertsona hil dira eta dozenaka zauritu, tartean adingabeak. Erasotzaileek tiro egin eta lehergailuak zartarazi dituzte.
#### **Nork?**
Gutxienez hiru armatutako erasotzailek eraso egin dute. Errusiako Gobernuak erasoa "krimen izugarritzat" jo du. AEBetako eta Ukrainako Gobernuek nabarmendu dute ez dutela erasoarekin zerikusirik.
#### **Noiz?**
Gaur iluntzean (data ez zehaztuta).
#### **Non?**
Moskuren aldirietako antzoki batean, bai barruan bai kanpoaldean.
#### **Zergatik?**
Errusiako Segurtasun Zerbitzu Federalak "eraso terrorista" gisa ikertzen ari da. Ukrainak eta AEBek adierazi dute ez dutela loturarik, baina errusiarren ustez helburua gizartea "desoratzea eta kikiltzea" izan daiteke.
#### **Nola?**
Erasotzaileek tiroka hasi dira antzokiaren kanpoan, eta barruan jarraitu dute. Lehergailuak ere zartarazi dituzte, eta sabaiak su hartu eta erori egin da. Antzokia hutsarazi eta zaurituak artatu dituzte. Errusiako Gobernuak kontrol neurriak areagotu ditu aireportuetan eta ekitaldi handiak bertan behera utzi ditu.</t>
  </si>
  <si>
    <t xml:space="preserve">Gaur iluntzean, Moskuko aldirietako antzoki batean tiroketa eta leherketak izan dira, gutxienez 40 hildako eta dozenaka zauritu eraginez, tartean adingabeak. Hiru erasotzaile armatuk antzokiaren kanpoaldean hasi dute erasoa eta barruan jarraitu dute. Lehergaiek sabaiaren gainbehera eragin dute. Errusiako Gobernuak gertatutakoa «eraso terrorista» gisa ikertzen du, eta erasotzaileen bila ari dira. Ukrainak eta AEBek erasoarekin loturarik ez dutela azpimarratu dute. Kremlinek segurtasun neurriak areagotu ditu eta ekitaldi handiak bertan behera utzi ditu.</t>
  </si>
  <si>
    <t xml:space="preserve">Hona hemen laburtuta:
**Hiruki Larroxa LGTBQI+: Kooperatiba Feminista eta Ikus-entzunezkoen Arloa**  
Hiruki Larroxa Hernanin 2020an sortutako kooperatiba da, gizontasunaren azterketan, pedagogia feministaren esku hartzeetan eta dokumental lanetan espezializatua. Egun, Hernaniko LGTBI historiari buruzko dokumental bat prestatzen ari dira. Kooperatibaren sortzaileetako bat, Egoitz Arbiol Albeniz, Baionan izan zen asteazkenean hitzaldi bat emateko.
**Tailerra Baionan: Helburuak eta Edukiak**  
"Gizonak eta herri mugimendu parekide(ago)ak" tailerraren helburua militantzia arloko botere harremanak aztertzea da, generoa kontuan hartuta. Parte-hartzaileek tresnak eta harreman orekatuagoak sortzeko moduak identifikatzen dituzte. Patriarkatuaren dominazioaren ondorioak ulertzea eta gizonen genero eraikuntzaz jabetzea ezinbestekoak dira norberaren deseraikuntza hasteko.
**Gizonen Arteko Elkarrizketa eta Ardura Hartzea**  
Arbiolen esanetan, gizonak elkarri hitz egitea eta intragenero dinamikak aztertzea garrantzitsua da, gizonen artean botere harremanak etengabe erregulatzen direlako. Gainera, emakumeek feminismoaren alde egiten duten lana aitortu eta gizonek ardura hartzeko garaia dela dio, norbere burua eta inguruak errotik eraldatzeko.
**Euskal Herriko Gizontasunaren Egoera**  
Arbiolentzat, Euskal Herriko ezker mugimenduan gizonen deseroso sentimendua gai hauen inguruan positiboa da, aldaketarako lehen urrats moduan. Baina teorizazioan geratu beharrean, ekintzan fokua jartzea ezinbestekoa dela azpimarratzen du.  
Laburpena: Gizontasuna, botere harremanak eta generoaren deseraikuntza aztergai, Hiruki Larroxak gizonen ardura sustatzen du eta harreman parekideagoak sortzen laguntzen du.</t>
  </si>
  <si>
    <t xml:space="preserve">Hiruki Larroxa LGTBQI+ kooperatibak gizontasunaren, pedagogia feministaren eta gatazken ebazpenen inguruan lan egiten du, Hernanin sortua 2020an. Egoitz Arbiol sortzaileetako bat da, eta kooperatibak tailerrak eta hitzaldi parte-hartzaileak antolatzen ditu, generoen arteko botere harremanak eta dominazio kulturaren eragina aztertzeko, harreman orekatu eta parekideak sustatuz. Gizonen ardura azpimarratzen dute, auto-deseraikuntzan eta inguruaren eraldaketan lagunduz. Euskal Herrian gaiari buruzko interesa dagoela diote, baina teorian gelditu beharrean ekintzara pasatzeko beharra nabarmentzen dute.</t>
  </si>
  <si>
    <t xml:space="preserve">Hona hemen testuaren analisia **5W1H metodoa** erabiliz:
---
### **1. Zer?**  
- Gizontasunaren azterketa, pedagogia feminista, talde gatazken ebazpenak, esku-hartzeak, diagnostikoak eta dokumental lanak egiten dituen kooperatiba da Hiruki Larroxa LGTBQI+.  
- Hernaniko LGTBI historiari buruzko dokumentala sortzen ari dira.  
- "Gizonak eta herri mugimendu parekideagoak" tailerra antolatu dute.  
---
### **2. Nork?**  
- Hiruki Larroxa kooperatibako kideek (sortzaileetako bat: Egoitz Arbiol Albeniz).  
- Biltxoko elkarteak mintzaldia antolatu du.  
---
### **3. Noiz?**  
- Kooperatiba 2020. urte bukaeran sortu zuten.  
- Tailerra asteazkenean izan zen Baionan.  
---
### **4. Non?**  
- Kooperatiba Hernanin sortu zuten.  
- Tailerra Baionan egin zen, Biltxoko elkartean.  
---
### **5. Zergatik?**  
- Gizonak ardura har dezaten eta beren buruak deseraiki ditzaten.  
- Genero botereak eta dominazio kultura ulertzeko eta desegiten hasteko.  
- Harreman orekatu eta simetrikoak sortzeko.  
---
### **6. Nola?**  
- Parte-hartzaile eta dinamikoak diren tailer eta hitzaldiak antolatuz.  
- Gizonen artean elkarrizketak sustatuz, "anaidia" ulertu eta botere dinamikak aztertzeko.  
- Feminismotik ateratako tresnak erabiliz eta militantzia eremuan eragiten saiatuz.  
---
Testua modu laburrean, baina zehaztasunez ulertzeko egitura eskaintzen du analisi honek. Zer gehiago behar duzu? 😊</t>
  </si>
  <si>
    <t xml:space="preserve">Hiruki Larroxa LGTBQI+ kooperatiba Hernanin sortu zen 2020an, Egoitz Arbiol Albeniz sortzaileetako bat izanik. Pedagogia feminista, gizontasunaren azterketa, eta talde gatazken ebazpenak lantzen dituzte, eta egun Hernaniko LGTBI historiari buruzko dokumental bat egiten ari dira. Arbiol asteazkenean Baionan izan zen "Gizonak eta herri mugimendu parekide(ago)ak" tailerra ematen. Helburua da militantziako botere harremanak eta genero desoreka aztertzea, gizonek ardura hartu eta eraldaketa pertsonal eta kolektiboak sustatzeko. Gizonen arteko boterekeria eta generoa deseraikitzea ere lantzen dituzte, gizonak gizonei zuzendu eta ardura gehiago har dezaten. Euskal Herrian gaiak interesa pizten du, baina ekintzan jartzea ezinbestekoa dela dio.</t>
  </si>
  <si>
    <t xml:space="preserve">Noski! Hona hemen testua laburtuta:  
Iñigo Ansola EEE Energiaren Euskal Erakundeko zuzendariak erabat babestu ditu Repsoleko eta Petronorreko presidenteen adierazpenak, Espainiako Gobernuak energia konpainiei ezarritako zerga berezia kritikatu eta egonkortasun araudia eskatu baitzuten. Ansolak adierazi du enpresen inbertsioak arriskuan daudela, eta gogorarazi du Petronorrek Bizkaian duen eragina ekonomikoa garrantzitsua dela. 
Espainiako Gobernuak iaz ezarri zuen zerga hori, energia enpresek Ukrainako gerraren testuinguruan izandako irabazi ezohikoak zergapetzeko eta inflazioaren aurkako neurriak finantzatzeko. PSOEren eta Sumar-en gobernu akordioak zerga mantentzeko konpromisoa hartu du. Ansolaren ustez, EAJk Sanchezen inbestidura babestea baldintzatu beharko luke. Gainera, galdetzen du zergatik bankuak eta energia konpainiak bakarrik zergapetzen diren, eta ez beste sektore batzuk. 
LAB sindikatuak gogor kritikatu ditu enpresen mehatxuak eta Eusko Jaurlaritzaren jarrera, trantsizio energetikorako estrategien porrota salatuz. Sindikatuaren arabera, beharrezkoa da erreforma fiskal sakon bat egitea, irabazi handiak dituzten kapitalek ekarpen handiagoa egin dezaten eta aberastasuna modu bidezkoagoan banatu dadin. </t>
  </si>
  <si>
    <t xml:space="preserve">Testuaren laburpena edukirik garrantzitsuena erabiliz:
EEEko zuzendari Iñigo Ansolak Repsol eta Petronorreko presidenteen kritika babestu du, Espainiako Gobernuak energia konpainiei ezarritako zerga berezia dela eta. Egonkortasun araudia beharrezkoa dela adierazi du, deskarbonizaziorako inbertsio handiak bermatzeko. Petronorrek Bizkaian duen eragina nabarmendu du, tokiko ogasunaren diru sarreretan duen garrantzia azpimarratuz. Espainiako Gobernuak zerga behin-behinean ezarri zuen irabazi ezohikoak zirela-eta, baina LAB sindikatuak mehatxutzat jo ditu enpresen adierazpenak eta fiskalitate erreforma progresibo baten beharra aldarrikatu du.</t>
  </si>
  <si>
    <t xml:space="preserve">### 5W1H Metodoaren Laburpena:
#### 1. **Zer?**  
- **Espainiako Gobernuak energia konpainiei ezarritako zerga bereziaren inguruko eztabaida.**  
- Iñigo Ansolak, EEE Energiaren Euskal Erakundeko zuzendariak, zerga horrek sortutako ondorioak kritikatu ditu, eta enpresentzako erregulazio egonkortasunaren beharra azpimarratu du.  
- LAB sindikatuak enpresa handien jarrera eta Eusko Jaurlaritzaren sostengua kritikatu ditu.
#### 2. **Nork?**  
- **Iñigo Ansola** (EEE Energiaren Euskal Erakundeko zuzendaria).  
- **Repsol eta Petronor** energia enpresak.  
- **Espainiako Gobernua** (Pedro Sanchezen gobernua eta PSOEk-Sumarrek egindako akordioa).  
- **LAB sindikatua** (energia enpresen jarrera eta Eusko Jaurlaritzaren sostengua kritikatu ditu).  
- Eusko Jaurlaritzako ordezkariak, hala nola Arantxa Tapia.
#### 3. **Noiz?**  
- Zerga berezia iaz ezarri zen, behin-behinean, Ukrainako gerraren eraginez.  
- Espainiako gobernu berria eratzeko akordioan zerga horri eusteko konpromisoa hartu da.
#### 4. **Non?**  
- Petronorrek Bizkaian du egoitza soziala, eta zerga bereziaren eragina bertako ekonomian nabarmena izan daiteke.  
- Espainiako Gobernuaren testuingurua eta Eusko Jaurlaritzaren eremu politiko eta soziala.
#### 5. **Zergatik?**  
- **Espainiako Gobernuak zerga berezia ezarri zuen** energia enpresek Ukrainako gerraren eraginez izandako irabazi apartekoei aurre egiteko eta inflazioari aurre egiteko neurriak finantzatzeko.  
- Iñigo Ansolaren ustez, egonkortasunik eza inbertsioak egiteko oztopo da eta aberastasun eta lanpostu ugari sortzeari kalte egiten dio.  
- LAB sindikatuaren arabera, Jaurlaritzak enpresa handien alde egitea langileen interesen kontrakoa da eta trantsizio energetikorako estrategia egokia behar da.
#### 6. **Nola?**  
- Ansolak Radio Euskadin egindako elkarrizketa batean azaldu du bere iritzia, eta Petronorrek inbertsioak eteteko asmoa agertu duela ohartarazi.  
- LABek Eusko Jaurlaritzaren eta enpresa handien arteko "aliantza" salatu du, eta erreforma fiskal sakon baten beharra aldarrikatu du.  
- Gobernu akordioak zerga mantentzea aurreikusten du, EAJren babesa baldintzatzeko proposamenak agertzen diren bitartean.</t>
  </si>
  <si>
    <t xml:space="preserve">Iñigo Ansola EEE Energiaren Euskal Erakundeko zuzendariak Repsol eta Petronorreko presidenteek energia konpainiei ezarritako zerga bereziaren aurka egin dituzten kritikak babestu ditu. Ansolak enpresentzako egonkortasun arautzailearen garrantzia azpimarratu du, deskarbonizaziorako inbertsio handiak arriskuan daudela ohartaraziz. Petronorrek Bizkaian egin asmo dituen inbertsioak eteteko mehatxua ere aipatu du, horrek ekonomiari eta lanpostuei kalte egin diezaiekeela ohartaraziz. 
Espainiako Gobernuak energia konpainiei ezarritako zerga bereziari dagokionez, Ansolak uste du egoera ekonomikoa berriro aztertu behar dela eta galdegin du zergatik ez diren beste sektore batzuei zerga bereziak ezartzen. 
LAB sindikatuak, berriz, energia konpainien jarrera "mehatxutzat" jo du eta Eusko Jaurlaritza kritikatu du, lobby fosilen alde egiten duela iritzita. Sindikatuak erreforma fiskal sakona eskatu du aberastasunaren banaketa orekatuagoa lortzeko.</t>
  </si>
  <si>
    <t xml:space="preserve">Beñat Arruti Irigoienek irabazi du idazle gazteentzako Donostia Kultura poesia lehiaketa *Arkeologia haragitan* lanarekin. 1.000 euroko saria eta Imanol Larrinagaren margolan bat jasoko ditu saridunak, eta Balea Zuria argitaletxeak poema liburua kaleratuko du ekainean. 
Epaimahaia Eli Tolaretxipik, Itxaro Bordak eta Aritz Gorrotxategik osatu dute, eta adierazi dutenez, «aipuz eta irakurketaz ondo hornitua dator» bilduma, «gogoeta eta hizkuntzaren distira trebeki uztartuz». Gaineratu dutenez, poemek «berezko erritmoa eta musika» dute, irakurlearen belarrietan aisa irristatzen direnak. «Lan handia dago doitze horren atzean, eta bilduma oro har orekatua eta koherentea da, estilo eta tonu aldetik batasun handikoa».
Epaimahaikideen esanetan, ezleku kontzeptua landu du Arruti Irigoienek hainbat poematan, gainbehera, maitasuna eta poesiari nahiz hizkuntzari buruzko kezkak jorratuz. «Askotariko paisaia eta giroak uztartzen ditu, barnekoak zein kanpokoak, naturaren ingurukoak zein urbanoak. Hizkera hanpaturik gabe, leun baina zorrotz egiten du aurrera, argitasunez eta aldi berean alde ilunen arrakalak bilatuz».
Halaber, aurtengo lehiaketan maila «oso altua» izan dela nabarmendu du epaimahaiak: «Lan irabazle bat aukeratu da, baina oso gertu egon dira beste bi: *Ahizpa beltza* eta *Hiria, diglosia, bakardadea*».
Beñat Arruti Irigoienek Psikologia ikasketak Euskal Herriko Unibertsitatean egin zituen, eta Bartzelonan Ikerketa eta Esku Hartze Psikosozialeko Masterra burutu zuen. Gaur egun, adimen urritasuna dutenekin ari da lanean Zarauzko eguneko zentro batean (Gipuzkoa). Hau izango da argitaratzen duen lehen literatura lana.</t>
  </si>
  <si>
    <t xml:space="preserve">Beñat Arruti Irigoienek irabazi du Donostia Kultura poesia lehiaketa, *Arkeologia haragitan* lanarekin, eta 1.000 euroko saria, Imanol Larrinagaren margolana eta Balea Zuria argitaletxean poema liburu bat argitaratzea jasoko ditu. Epaimahaiak nabarmendu du poema bilduma «trebeziaz uztartzen» dituela gogoeta eta hizkuntzaren distira, estilo eta tonu koherentearekin. Lanak ezleku kontzeptua, gainbehera, maitasuna eta hizkuntzari buruzko kezkak lantzen ditu, hizkera argi eta zorrotzarekin. Lehiaketaren maila «oso altua» izan dela adierazi dute, eta oso gertu geratu dira *Ahizpa beltza* eta *Hiria, diglosia, bakardadea* lanak. Arrutik Psikologia ikasketak egin zituen eta hau da bere lehen literatura lana.</t>
  </si>
  <si>
    <t xml:space="preserve">### **5W1H analisia**
#### **Zer?**
Beñat Arruti Irigoienek irabazi du idazle gazteentzako Donostia Kultura poesia lehiaketa, **"Arkeologia haragitan"** lanarekin. 1.000 euroko saria, Imanol Larrinagaren margolana eta Balea Zuria argitaletxean poema liburuaren argitalpena jasoko ditu.
#### **Nork?**
- **Irabazlea:** Beñat Arruti Irigoien.
- **Epaimahaia:** Eli Tolaretxipi, Itxaro Borda eta Aritz Gorrotxategi.
#### **Noiz?**
2024an, Donostia Kultura poesia lehiaketa egin den urtean. Liburua **ekainean** argitaratuko da.
#### **Non?**
- **Lehiaketa:** Donostian.
- **Lana argitaratuko duen argitaletxea:** Balea Zuria.
- **Arrutiren egungo lana:** Zarauzko eguneko zentro batean (Gipuzkoa).
#### **Zergatik?**
- **Irabazteko arrazoiak:** Poema bilduma "aipuz eta irakurketaz ondo hornitua" dagoelako eta gogoeta eta hizkuntzaren distira trebeki uztartzen dituelako. Gainera, poemek erritmoa eta musika berezkoak dituzte eta estilo orekatua eta koherentea erakusten dute.
- **Epaimahaiaren iritzia:** Ezleku kontzeptua, gainbehera, maitasuna, eta poesiari eta hizkuntzari buruzko kezkak modu originalean lantzen ditu.
#### **Nola?**
- Poemak **leuntasunez baina zorrotz** idatzi dira, argitasuna eta iluntasunaren arrakalak uztartuz. Paisaia eta giro desberdinak, barnekoak eta kanpokoak, modu orekatuz jorratzen dira. Hizkera hanpaturik gabe, baina ikuspegi sakon eta xehetasunez osatuak dira. 
---
Hauxe da 5W1H metodoaren arabera egindako laburpena. Klarifikazio edo beste atal bat behar izanez gero, esan!</t>
  </si>
  <si>
    <t xml:space="preserve">Beñat Arruti Irigoienek irabazi du Donostia Kulturaren idazle gazteentzako poesia lehiaketa *Arkeologia haragitan* lanarekin. 1.000 euroko saria, Imanol Larrinagaren margolan bat eta Balea Zuria argitaletxeak argitaratuko duen poema liburua jasoko ditu. Epaimahaiak, Eli Tolaretxipi, Itxaro Borda eta Aritz Gorrotxategik osatua, bildumaren «gogoeta eta hizkuntzaren distira» nabarmendu du. Poemek erritmo eta musika berezia dute, eta ezleku, gainbehera eta maitasun gaiak jorratzen dituzte, tonu eta estilo koherentziarekin. Arruti Irigoien psikologoa da eta adimen urritasuna dutenekin egiten du lan Zarautzen. Hau izango da bere lehen literatura lana.</t>
  </si>
  <si>
    <t xml:space="preserve">Aleksei Navalni Errusiako oposizioko kidea eta aktibista gaur hil dela jakinarazi dute Yamalo-Nenets barrutiko kartzela batean, zirkulu polar artikotik 60 kilometrora. Navalni 30 urteko kartzela zigorra betetzen ari zen hainbat deliturengatik —besteak beste, «estremismoa eta iruzurra»—, eta espetxe horretara abenduan eraman zuten. Dmitri Peskov Kremlineko bozeramaileak esan du heriotzaren arrazoiak ez daudela argi eta ikerketa abiatu dutela. Navalnik 47 urte zituen eta 2021eko Sakharov saria jasoa zuen; Vladimir Putin Errusiako presidentearen aurkako ekintzaile nagusia zen. 
### Heriotzaren inguruko susmoak
Navalniren senideek heriotza susmagarritzat jo dute. Yulia emazteak, Municheko Segurtasun Konferentzian, hauxe adierazi du: «Ez dakit albiste hau sinetsi behar ote dugun... ezin diegu Putini eta haren gobernuari sinetsi, etengabe gezurretan ari baitira». Iturri ofizialek azaldu dutenez, Navalnik gaur goizean paseo bat eman zuen kartzelan, baina gaizki sentitu eta kordea galdu zuen. «Suspertze ahaleginek ez dute emaitzarik izan», gehitu dute. Yuliak Kremlineko buruzagia, «pertsonalki», gertatutakoaren arduraduntzat jo du.
### Mendebaldeko erreakzioak
Mendebaldeko potentzia nagusiek Navalniren heriotza hilketa gisa ulertu dute. Ukrainako presidentearen, Volodimir Zelenskiren, esanetan, «argi dago hil egin dutela». Zelenskik gehitu du Putini «berdin zaiola nor hiltzen den» bere posizioa mantentzeko. Antony Blinken AEBetako Estatu idazkariak nabarmendu duenez, «Errusiako Gobernuak eta Putinek Navalni epaitu, pozoitu eta kartzelatu dute azken hamarkadan, eta orain haren heriotza iragarri dute». 
### Espetxealdia eta oposizio jarduna
Navalni joan den abendura arte Moskutik 200 kilometrora dagoen espetxe batean zegoen, baina handik lekualdatu zuten Putinen aurkako kanpaina hasi zuelako. Martxoaren 17an Errusian egingo diren presidentetzarako hauteskundeetan Putini botoa ez emateko deia egin zuen, eta «Vladimir, pozoitzailea» deitu zion publikoki. Navalniren aldekoek gogor salatu zuten lekualdaketa. AEBek, Europako Batasunak eta Amnesty Internationalek kezka agertu zuten garai hartan.
### Putin eta Navalniren arteko gatazka
Azken urteetan, Navalni Putinen aurkako kritikaria nagusia izan da. 2011n eta 2012an egindako protestak gidatu zituen, hauteskundeetan iruzurra salatuz eta ustelkeriaren aurkako mezua zabalduz. Bere salaketek ospea eman zioten, batez ere Putini Itsaso Beltzean jauregi bat eraikitzea egotzi zionean eta Dmitri Medvedev presidente ohiaren luxuzko ondasunak publiko egin zituenean.
2020an, Navalni koman egon zen, novitxok izeneko gasarekin pozoitua izan ondoren, ustez Errusiako espioien eskutik. Alemanian artatu ondoren, osatu eta 2021ean Errusiara itzuli zen, baina berehala atxilotu zuten, baldintzapeko askatasuna urratzea egotzita. Harrezkero, kartzelan egon da eta hainbat zigor ezarri dizkiote auzitegiek. 
Navalniren heriotzak oihartzun handia izan du nazioartean, eta Errusiako Gobernuaren aurkako presioa areagotu du.</t>
  </si>
  <si>
    <t xml:space="preserve">Aleksei Navalni, Errusiako oposizioko liderra eta Vladimir Putinen aurkako ekintzaile nagusia, hil da Errusiako kartzela batean 47 urterekin. Navalnik 30 urteko espetxe zigorra betetzen zuen, «estremismoa eta iruzurra» leporatuta. Errusiako iturri ofizialek heriotzaren kausak ikertzen ari direla diote, baina bere senideek eta Mendebaldeko potentziek susmoa dute hil egin dutela. Navalni Putinen aurkako protesta eta salaketen ikur bilakatu zen, ustelkeria salatu eta 2020an novitxok gasarekin pozoitu zutenean ere bizirik irten baitzen. Bere heriotzak nazioarteko gaitzespena eta kezka piztu ditu.</t>
  </si>
  <si>
    <t xml:space="preserve">**5W1H metodoa erabiliz (zer, nork, noiz, non, zergatik, nola):**
### **Zer?**
Aleksei Navalni, Errusiako oposizioko liderra eta aktibista, hil egin da espetxean. 
### **Nork?**
Heriotza ofizialki Errusiako iturri ofizialek jakinarazi dute. Vladimir Putinen eta Errusiako Gobernuaren aurkako salaketak daude, baita Mendebaldeko potentzien susmoak ere.
### **Noiz?**
Gaur hil da Navalni, espetxean, Yamalo-Nenets barrutian.
### **Non?**
Errusiako Yamalo-Nenets barrutiko kartzela batean, zirkulu polar artikotik 60 kilometrora.
### **Zergatik?**
Ofizialki, heriotzaren arrazoia ez da argitu, baina ikerketa bat abiatu dela adierazi dute. Navalniren senideek eta Mendebaldeko potentziek hilketa salatu dute, Putinen oposizioarekiko jarrera errepresiboaren testuinguruan kokatuz.
### **Nola?**
Errusiako iturrien arabera, Navalnik paseo bat egin zuen goizean eta gero "gaizki" sentitu ondoren kordea galdu zuen. Suspertze ahaleginek huts egin zuten. Beste alde batetik, Mendebaldeak eta Navalniren senideek susmoak dituzte heriotza "ustezko" hilketa izan dela.</t>
  </si>
  <si>
    <t xml:space="preserve">Aleksei Navalni, Errusiako oposizioko kidea eta aktibista, hil da Yamalo-Nenets barrutiko kartzela batean, zirkulu polar artikotik gertu. 47 urte zituen eta 30 urteko kartzela-zigorra betetzen ari zen «estremismoa eta iruzurra» egotzita. Errusiako iturri ofizialek jakinarazi dute paseoan ondoren gaizki sentitu eta hil dela, baina bere senideek eta Mendebaldeko herrialdeek susmoak dituzte. Antony Blinkenek eta Volodimir Zelenskik Navalniren heriotzaren erantzuletzat jo dute Errusiako Gobernua eta Vladimir Putin. Navalni oposizioaren aurpegi nagusia izan da azken urteotan, eta 2020an novitxok gasarekin pozoitu zutela salatu zen. Bere emazteak Kremlinaren gezurrak salatu ditu heriotzaren harira.</t>
  </si>
  <si>
    <t xml:space="preserve"> Pere Aragones, Kataluniako Generalitateko presidenteak, bere alderdiaren, ERCren, emaitza txarrak onartu eta ez duela Kataluniako Parlamentuko diputatu akta hartuko adierazi du. Alderdiaren zuzendaritzak bilera egin du eta Aragonesek jarduneko presidente gisa jarraituko duela zehaztu du, alderdiarekiko eta herriarekiko duen ardura dela eta. Hamahiru legebiltzarkide galdu ditu eta PSCren eta Juntsen blokeoari egotzi dio galdera hori. Kataluniak eskuinerantz egin duela eta gehiengo independentista galdu duela uste du.
Nuria Parlon, PSCko zuzendaritzako bozeramaileak, sozialistei Kataluniako etorkizunaren buru izateko deia egin die eta alderdi guztiekin elkarrizketak abiatuko dituztela iragarri du, gorroto diskurtsoak sustatzen dituztenekin izan ezik. Katalunian agintzeko modu hoberena alderdi progresisten arteko akordioa dela uste du, baina gutxiengoan agintzea ere aukeratzeko prest daude, aldian aldiko akordioak kontuan izanda.
Carles Puigdemont, Juntsko hautagaiak, inbestidurara aurkeztuko dela baieztatu du eta gehiengo koherente bat bildu dezaketela uste du, PSCren aukerek PP hartzen dutela barne. Sozialistek eta Juntsk emaitzak hobetu dituztela esan du eta haiei dagokiela gobernuan egotea. Puigdemontek Espainiako Gobernuan zer eragin izango duten Katalunian egindako akordioek galdetuta, JxC Junts per Catalunyak Espainiako Gobernuari eskainiko dion babesa baldintzatuko duela inbestidura saioan gertatzen denak adierazi du.
Comuns Sumarrekoak prest daude ezkerreko gobernua osatzeko PSCrekin eta ERCrekin. David Cid taldeko bozeramaileak hiru aukera posible ikusten ditu: PSC, ERC eta Comuns Sumarren arteko akordioa; PSC eta Juntsen artekoa; edo hauteskundeak berriz ere egitea. PPko Alejandro Fernandezek ez du PSCren gobernua babestuko eta proiektu konstituzionalista irabazle bat berreraikitzeko deia egin du.
Clara Ponsati, Alhora alderdiaren sortzaileetako bat, ez du eserleku bat ere lortu eta lehen lerro politikotik erretiratuko dela iragarri du. Andoni Ortuzar, EBBko lehendakariak, Junts eta PSC zoriondu ditu eta politikaren, elkarrizketaren eta desberdinen arteko akordioak lortzeko gaitasunaren garaia dela esan du. Eneko Andueza, PSEko buruak, Kataluniak aldi berri bat irekitzen duela adierazi du.</t>
  </si>
  <si>
    <t xml:space="preserve"> **Edukirik Garrantzitsuena: Kataluniako hauteskundeetako emaitzak eta ondorio politikoak**
- **ERCk eta PSCk emaitza txarrak izan dituzte**, eta ERCk ez du Kataluniako Parlamentuko diputatu akta hartuko.
- **Pere Aragonesek**, Generalitateko presidenteak, jarduneko presidente gisa jarraituko du, baina alderdiarekiko eta herriarekiko ardura dela eta.
- **Nuria Parlon PSCko zuzendaritzakoak** Kataluniako etorkizunaren buru izateko eskatu du, eta alderdi guztiekin elkarrizketak abiatuko ditu.
- **Carles Puigdemontek** inbestidurara aurkeztuko dela iragarri du, baina akordio bat behar dela adierazi du.
- **Comuns Sumarrekoak** ezkerreko gobernua osatzeko prest daude PSCrekin eta ERCrekin.
- **PPk** ez du PSCren gobernua babestuko eta bere gorakada nabarmendu du.
- **Clara Ponsatik** Alhora alderdiaren lehen lerro politikotik alde egin du, emaitza txarrak ikusita.
**Laburpena:**
Kataluniako hauteskundeetan, ERC eta PSCk emaitza txarrak lortu dituzte, eta independentismoaren indarrak banatu egin dira. Honek gobernu berri baten osaketa konplexuagoa egiten du, eta alderdi desberdinek elkarrizketak eta akordioak bilatzen ari dira etorkizuneko gobernuaren inguruan. Euskal Herriko alderdi batzuek ere babesa adierazi diote Kataluniako prozesuari.
</t>
  </si>
  <si>
    <t xml:space="preserve"> **Zer:** Kataluniako hauteskundeetan, ERCk emaitza txarrak izan ditu eta ez du Kataluniako Parlamentuko diputatu akta hartuko. Pere Aragonesek, Generalitateko presidenteak, erabaki hau onartu eta jarduneko presidente gisa jarraituko du. Alderdi subiranistek 55 eserleku dituzte, baina gehiengo osoa lortzeko beste talde baten laguntza behar dute. PSCk eta Juntsk emaitzak hobetu dituzte, eta haiek izango lirateke gobernuan egoteko aukeratsuak. Comuns Sumarrek prest daude ezkerreko gobernua osatzeko PSCrekin eta ERCrekin. PPk ez du PSCren gobernua babestuko. Clara Ponsatik utzi egin du Alhora alderdiaren lehen lerro politikoa. Euskal Herriko alderdiak, hala nola PNV eta PSE, Kataluniako alderdiak zoriondu dituzte eta elkarrizketa eta akordioen garrantzia azpimarratu dute.
**Nork:** Pere Aragones (Kataluniako Generalitateko presidente), ERCko zuzendaritza, PSCko zuzendaritza, Junts per Catalunyako hautagaiak (Carles Puigdemont), Comuns Sumarreko bozeramaileak (David Cid), Espainiako Gobernuko Osasun ministroa (Monica Garcia), PPko hautagaiak (Alejandro Fernandez), Clara Ponsati (Alhora alderdiko kidea), Andoni Ortuzar (EBBko lehendakaria), Eneko Andueza (PSEko burua).
**Noiz:** Hauteskundeak egun batzuk lehenago izan ziren, baina laburpen hau gaur egiten da.
**Non:** Katalunia, Espainia.
**Zergatik:** ERCk emaitza txarrak izan ditu hauteskundeetan, eta horrek eragin du ez dutela Kataluniako Parlamentuko diputatu akta hartuko. Alderdi subiranistek gehiengo osoa lortzeko zailtasunak dituzte, eta gobernuaren osaketa negoziatzen ari dira. PSCk eta Juntsk emaitzak hobetu dituzte, eta haiek izango lirateke gobernuan egoteko aukeratsuak. PPk ez du PSCren gobernua babestuko, eta Clara Ponsatik utzi egin du Alhora alderdiaren lehen lerro politikoa.
**Nola:** Hauteskundeetako emaitzen ondoren, alderdi politikoek negoziazioak hasi dituzte gobernu berri bat osatzeko. ERCk erabaki du ez hartzea diputatu akta, eta Pere Aragonesek jarduneko presidente gisa jarraituko du. Comuns Sumarrek prest daude ezkerreko gobernua osatzeko beste alderdiekin. PPk ez du PSCren gobernua babestuko, eta Clara Ponsatik utzi egin du bere alderdiaren lehen lerro politikoa. Euskal Herriko alderdiak Kataluniako alderdiak zoriondu dituzte eta elkarrizketa eta akordioen garrantzia azpimarratu dute.</t>
  </si>
  <si>
    <t xml:space="preserve"> Kataluniako hauteskundeetan, ERCk emaitza txarrak izan ditu eta ez du legebiltzarkide akta hartuko. Aragonesek jarduneko presidente gisa jarraituko du. PSCk eta Juntsen arteko blokeoa nabarmendu du, eta eskuinaren igoera aipatu. Nuria Parlon PSCkoak Kataluniako etorkizuna zuzentzeko bere alderdiaren rola azpimarratu du. Carles Puigdemontek inbestidurara aurkeztuko dela iragarri du, baina akordio zabalago bat behar dela adierazi du. Comuns Sumarrekoak ezkerreko gobernua osatzeko prestutasuna agertu du. PPk ez du PSCren gobernua babestuko. Clara Ponsatik utzi egin du lehen lerro politikoa. Euskal Herriko alderdiek ere emaitzak onartu eta elkarrizketaren eta akordioen garrantzia azpimarratu dute.</t>
  </si>
  <si>
    <t xml:space="preserve"> Espainiako Koparen final-zortzirenetan derbi bi izango dira: Osasuna-Real eta Athletic-Alaves. Athletic-Alaves urtarrilaren 16an jokatuko da, Osasunak Realaren aurka 17an edo 18an, finalera pasatzen bada. Zozketak sorpresa gutxi ekarri ditu, baina Osasunarentzat eta Athleticek derbi ugari izango dituzte hilabete honetan, beste txapelketetako partidak kontuan hartuta. Osasunak Superkopan Bartzelonaren aurka jokatu behar du aurretik, eta Athleticek Sevillaren eta Cadizen aurka jokatuko du.
</t>
  </si>
  <si>
    <t xml:space="preserve"> **Edukirik garrantzitsuena:**
Osasunak eta Realak derbi bikoitza jokatuko dute, lehenik eta behin Espainiako Koparen final-zortzirenetan Sadarren, eta gero Espainiako Superkopako finalaurrekoan edo Kopako hurrengo fasean, Osasunak Bartzelonaren aurkako emaitzaren arabera. Athleticek eta Alavesek ere derbi bat jokatuko dute San Mamesen. Partidak zirrara handia sortuko dute eta taldeek hainbat partida garrantzitsu dituzte aurretik eta ondoren.
**Laburpena:**
Osasuna eta Realak derbi bikoitza jokatuko dute Kopan eta, agian, Superkopan, Osasunaren Bartzelonaren aurkako emaitzaren arabera. Athletic eta Alaves ere derbi bat izango dute. Talde guztiek hainbat partida garrantzitsu dituzte aurretik eta ondoren, zirrara handia sortuz.
</t>
  </si>
  <si>
    <t xml:space="preserve"> **Zer:** Espainiako Koparen final-zortzirenen zozketa egin da, eta bi derbi garrantzitsu iragarri dira: Osasuna vs. Real eta Athletic vs. Alaves.
**Nork:** Osasuna, Real, Athletic eta Alaves futbol taldeek parte hartzen dute.
**Noiz:** 
- Athletic-Alaves: urtarrilaren 16an, 21:00etan.
- Osasuna-Real: urtarrilaren 17an, 21:00etan (Osasunak Superkopako finalaurrekoa galtzen badu).
- Kopako kanporaketa Athletic-Alavesen ondoren: urtarrilaren 18an, 19:30etan.
**Non:** 
- Osasuna-Real: Sadar estadioan.
- Athletic-Alaves: San Mames estadioan.
**Zergatik:** Zozketak derbiak ekarri ditu, eta taldeek partidak antolatu behar dituzte haien egutegiaren arabera, beste txapelketetako partidak kontuan hartuta.
**Nola:** Zozketa eginda, taldeek beren aurkariak eta jokatzeko datuak ezagutu dituzte. Osasunak eta Athletic-ek derbiak jokatuko dituzte, eta haien egutegiak antolatu behar dute beste txapelketetako partiden artean.
</t>
  </si>
  <si>
    <t xml:space="preserve"> Osasuna eta Real Madrid derbi bikoitza jokatuko dute Espainiako Koparen final-zortzirenetan, Sadarren eta San Mamesen. Athletic Club eta Alaves ere elkarren aurka arituko dira urtarrilaren 16an eta 18an. Osasunak Superkopako finalaurrekoa du aurretik, eta horrek eragina izan dezake bere egutegian. Athleticek ere derbi ugari izango ditu hilabete honetan.
</t>
  </si>
  <si>
    <t xml:space="preserve"> Osasunak Kopan eta Ligan arrakasta izan du, baina etxean, batez ere azken jardunaldietan, porrot ugari jasan ditu. Gaur Rayo Vallecano hartuko dute eta irabazi behar dute urtea ondo amaitzeko eta jaisteko arriskua murrizteko. Taldearen jokoa ez da konstantea eta defentsan ahulak dira. Budimir da taldearen goleatzaile nagusia, baina laguntza gehiago behar du. Rayo ere ez da egoera onean, baina etxetik kanpo ondo jokatzen du. Arrasatek bi jokalari garrantzitsu itzuliko ditu, baina hamaikakoan aldaketak egin beharko ditu. Partida garrantzitsua da bi taldeentzat.
</t>
  </si>
  <si>
    <t xml:space="preserve"> **Edukirik garrantzitsuena:**
Osasunak denboraldi honetan etxean (Sadarren) emaitza txarrak lortu ditu, batez ere azken sei jardunaldietan sei porrot eta bi berdinketa izan dituelarik. Gaur Rayo Vallecano hartuko dute, eta irabazi behar dute urtea hobeto amaitzeko eta jaisteko arriskua murrizteko. Taldearen jokoa eta defentsa ahulak kezka iturri dira, eta Budimirren ekarpena da ia bakarra. Rayo ere bolada txarrean dago, baina etxetik kanpo ondo jokatzen du.
**Laburpena:**
Osasunak etxean emaitza txarrak lortu ditu denboraldi honetan, eta gaur Rayo Vallecano aurrean irabazi behar du urtea hobeto amaitzeko eta jaisteko arriskua murrizteko. Taldearen defentsa ahula da eta Budimirren ekarpena da garrantzitsuenetakoa. Rayo ere bolada txarrean dago, baina etxetik kanpo ondo jokatzen du.
</t>
  </si>
  <si>
    <t xml:space="preserve"> **Zer:** Osasuna eta Rayo Vallecano taldeek elkarren aurka jokatuko dute futbol partida bat.
**Nork:** Osasuna eta Rayo Vallecano taldeak.
**Noiz:** Gaur, 21:00etan.
**Non:** Sadar estadioan, Iruñean.
**Zergatik:** Partida hau LaLiga ligako txapelketaren barruan jokatzen da, eta bi taldeen sailkapeneko egoera hobetzeko aukera ematen du.
**Nola:** Partida futbol arauetara jarraituz jokatuko da, eta irabazleak puntuak lortuko ditu sailkapenean. Osasunak etxean jokatzen du, eta bere egoera hobetzeko beharra du, azken partidetan emaitza txarrak lortu baititu. Rayo Vallecano aldiz, kanpoan jokatzen du eta sailkapenean lasaiago dago, baina bere eraso taldea ahula dela dirudi.
</t>
  </si>
  <si>
    <t xml:space="preserve"> Osasuna denboraldi honetan etxean emaitza txarrak lortu ditu, baina gaur Rayo Vallecano kontra irabazi nahi du Gabonak iritsi aurretik. Taldeak gorabehera handiak ditu eta defentsan ahulak dira. Budimir da taldearen goleatzaile nagusia, baina laguntza gehiago behar du. Rayo ere ez da egoera onean, baina etxetik kanpo ondo jokatzen du. Arrasatek bi jokalari garrantzitsu itzuliko ditu, baina hamaikakoan aldaketak egin beharko ditu. Partida garrantzitsua da bi talderentzat.
</t>
  </si>
  <si>
    <t xml:space="preserve"> Jose Luis Garcia psikologo eta sexologoak kezka adierazi du gazteek, 6 urte edo gutxiagorekin, pornoa kontsumitzen hasten direlako eta horrek indarkeria handiagoa dakarrelako. ETBk eta TV3k, Shine Iberia ekoiztetxearekin elkarlanean, "Generación porno" dokumental saila ekoitzi dute, lau familiaren elkarrizketak eta adituen lekukotzak barne hartzen dituena. Dokumentala ETB2n eta TV3n emitituko da, hurrenez hurren, lau eta hiru ataletan. Aurkezpenean, sexu heziketa, teknologia eta indarkeriari buruzko solasaldi luzea izan zen. Marroqui gizarte hezitzaileak azpimarratu du gazteek sexu harreman "basatiak" dituztela eta sexu heziketa eguneratua behar dela. Garcia psikologoak pornografia "droga" gisa deskribatu du, eta soilik kontsumoa uzteak ekarriko du desagerpena. Dokumentalaren aurrestreinaldia Bilboko Azkuna zentroan egin zen.</t>
  </si>
  <si>
    <t xml:space="preserve"> **Edukirik Garrantzitsuena:**
Generación porno dokumentalak 6 urtetik beherako haurrek ere pornoa kontsumitzen dutela eta horrek indarkeria handiagoa eta sexu heziketa falta eragiten duela aztertzen du. ETBk eta TV3ek ekoitzitako saioak lau familiaren elkarrizketak eta adituen lekukotzak jasotzen ditu, eta sexu heziketa eguneratuaren beharra azpimarratzen du.
**Laburpena:**
Generación porno dokumentalak haurren arteko porno kontsumo goiztiarra eta horrek eragiten dituen ondorioak jorratzen ditu, hala nola indarkeria irudikapenaren ohikotasuna eta sexu heziketa ezegokia. Ekoizleek, psikologoek eta gizarte hezitzaileek parte hartzen dute, eta sexu heziketa eguneratuaren eta teknologia erabilera arduratsuen beharra aldarrikatzen dute.
</t>
  </si>
  <si>
    <t xml:space="preserve"> **Zer:** "Generación porno" dokumental saila, gazteen arteko pornografia kontsumoaren inguruko kezka aztertzen duena.
**Nork:** ETB eta TV3 telebistak, Shine Iberia ekoiztetxearekin elkarlanean, sortu dute dokumentala.
**Noiz:** ETB2k abuztuaren 18tik aurrera emitituko du gazteleraz, lau ataletan banatuta. TV3k, aldiz, abuztuaren 26tik aurrera katalanez emango du, hiru saiotan.
**Non:** Dokumentalaren aurkezpena Gasteizko Europa Biltzar Jauregian egin zen, FesTVal jaialdian. Aurrestreinaldia Bilboko Azkuna zentroan izan zen.
**Zergatik:** Gazteen arteko pornografia kontsumoaren igoerak eta horrek eragiten dituen ondorioek kezka piztu dute, batez ere sexu heziketa eta teknologiaren erabilera inguruan.
**Nola:** Dokumentalak lau familiaren elkarrizketak, abeslarien, porno aktoreen eta adituen lekukotzak bildu ditu, gazteen portaera eta kontsumo ohiturak aztertzeko.
</t>
  </si>
  <si>
    <t xml:space="preserve"> Jose Luis Garcia psikologo eta sexologoak kezka adierazi du 6 urte edo gutxiagoko haurrek ere pornoa kontsumitzen dutelako eta horrek indarkeria handiagoa erakusten duela. ETBk eta TV3k "Generación porno" dokumental saila ekoiztu dute, lau familiaren elkarrizketak eta adituen lekukotzak barne hartuz. Dokumentala lau ataletan emitiko du ETB2k eta hiru saiotan TV3k. Sexu heziketa garaikidearen beharra azpimarratu da, gazteen kezkak eta beharrak ulertzeko eta irtenbideak bilatzeko. Dokumentalak errealitate bat islatzen duela adierazi dute parte-hartzaileek, etxe guztietan gertatzen dena, eta pornografia "droga bat" bezala deskribatu du Garcia psikologoak.
</t>
  </si>
  <si>
    <t xml:space="preserve"> Iñaki Artola aurrera jarraituko du txapelketan, azken partidan Javier Zabalari 22-8 irabaziz. Lehenengo bi partiduetan ere garaile izan zen, eta orain finalerdietarako sailkatuta dago. Bigarren postua lortzeko lehia gogorra izango da: Aitor Elordik Joseba Ezkurdiari irabazten badio, Elordi sailkatuko da; bestela, Zabalak lortuko du lekua. Bihar erabakiko da nor den bigarrena, Bilboko frontoian jokatuko den partidan.
</t>
  </si>
  <si>
    <t xml:space="preserve"> **Edukirik garrantzitsuena:** Iñaki Artola Baiko pilotariak Iruñeko Labrit pilotalekuan Javier Zabalaren aurka irabazi du, 22-8, eta finalerdietarako sailkatu da. Partida hasieran oreka zegoen, baina Artolak nagusitasuna hartu zuen eta erakustaldia bikaina eman zuen. Bihar jakin ahalko da bigarren postua norarentzat izango den, Aitor Elordiren eta Joseba Ezkurdiaren arteko partidan.
**Laburpena:** Iñaki Artola 22-8 irabazi dio Javier Zabalari Iruñean, eta finalerdietarako lekua segurtatu du. Bihar, Aitor Elordi eta Joseba Ezkurdi lehiatuko dira bigarren posturako.
</t>
  </si>
  <si>
    <t xml:space="preserve"> **Zer:** Iñaki Artola Baiko pilotariak Javier Zabalaren aurkako partidan irabazi du, finalerdietarako sailkatuz.
**Nork:** Iñaki Artola eta Javier Zabala pilotariak.
**Noiz:** Gaur, Iruñeko Labrit pilotalekuan.
**Non:** Iruñeko Labrit pilotalekuan.
**Zergatik:** Artolak erakustaldi bikaina egin zuen, Zabalari nagusituz eta finalerdietarako lekua segurtatuz.
**Nola:** Artolak sake eraginkor eta defentsa sendo baten bidez irabazi zuen, Zabalaren ahaleginak gaindituz. Lehen atsedenaldiaren ondoren, Zabalak tentsioa handitu zuen, baina azkenean Artolak bere nagusitasuna mantendu zuen eta 22-8 irabazi zuen.
Hurrengo egunean, Elordi eta Ezkurdi arteko partidak erabakiko du bigarren sailkatua finalerdietarako.
</t>
  </si>
  <si>
    <t xml:space="preserve"> Iñaki Artola Baiko pilotariak bikaina izan da Iruñeko Labrit pilotalekuan, Aitor Elordi eta Javier Zabala garaituz eta finalerdietarako sailkatuz. Artola nagusitu da bi partiduetan, erakutsiz forman dagoela eta konfiantza handia duela. Bihar erabakiko da bigarren postua nork lortuko duen, Elordiren eta Joseba Ezkurdiaren arteko partidan. Artola faboritoa da finalerdietarako, eta bere erakustaldia oso indartsua izan da.
</t>
  </si>
  <si>
    <t xml:space="preserve"> Gaur iluntzean, Moskuren aldirietako antzoki batean tiroketa bat gertatu da, non gutxienez 40 pertsona hil eta dozenaka zauritu diren, tartean adingabeak. Hiru erasotzaile armatuk tiro egin zuten kontzertu bat hasi aurretik eta lehergaiak jaurti zituzten. Errusiako Segurtasun Zerbitzu Federalak eraso terrorista gisa klasifikatu du gertakaria eta neurriak hartu ditu. Erasotzaileen bilaketa abiatu da, eta Ukrainako Gobernuak erasoarekin loturarik ez duela adierazi du.
Sare sozialetan kaleratutako bideoek erakusten dute nola alde egin duten jendeak antzokitik tiroak entzuten dituzten bitartean. Antzokiaren sabaiak su hartu zuen leherkaien ondorioz, eta suhiltzaileek itzali behar izan zuten. Lekukoen arabera, erasotzaileek kalean eta antzokian tiro egin zuten, eta gorpuak antzoki barruan eta kanpoan aurkitu dira.
Errusiako Gobernuak gertatutakoa krimen izugarritzat jo du eta nazioarteari eskatu dio gaitzestea. AEBen bozeramaileak ez du uste Ukrainak edo herritar ukrainarrek parte hartu dutenik, baina ezin du baieztatu erasoaren arrazoia politikoa izan denik. Ukrainako presidentearen aholkulariak ere ukatu du herrialdeak erasoarekin zerikusirik duenik.
AEBetako eta beste herrialde batzuetako enbaxadek aurrez ohartarazi zuten Moskun jende asko biltzen duten ekitaldiei eraso egiteko arriskua zegoela. Putinek, ordea, mezu horiek ukatu zituen. Egoera larriaren aurrean, Kremlinek elkarretaratze eta ekitaldi handiak bertan behera utzi ditu eta aireportuetako segurtasuna indartu du.</t>
  </si>
  <si>
    <t xml:space="preserve"> **Garrantzitsueneko Laburpena:**
Gaur iluntzean, Moskuren aldirietako antzoki batean tiroketa eta leherketa bat gertatu da, non gutxienez 40 pertsona hil eta 30 zauritu diren, tartean adingabeak. Hiru erasotzaile armatuk kontzertu baten hasieran tiro egin zuten eta lehergaiak jaurti zituzten. Errusiako Segurtasun Zerbitzu Federalak eraso terrorista gisa klasifikatu du gertaera eta erasotzaileen bilaketa hasi du. Ukrainako Gobernuak erasoarekin loturarik ez duela adierazi du, eta AEBek eta beste herrialde batzuek ere Ukrainaren errugabetasuna onartu dute. Gertakariaren ondorioz, antzokia hustu egin da, suhiltzaileek lan egin dute sutea itzaltzeko, eta Errusiako gobernuak ekitaldi handiak bertan behera utzi eta segurtasun neurriak indartu ditu.
</t>
  </si>
  <si>
    <t xml:space="preserve"> **Zer:** Tiroketa eta leherketa bat gertatu da Moskuren aldirietako antzoki batean, non gutxienez 40 lagun hil eta dozenaka zauritu diren.
**Nork:** Hiru erasotzaile armatuk egin dute erasoa, eta Errusiako Segurtasun Zerbitzu Federalak (FSB) hartu ditu neurriak.
**Noiz:** Gaur iluntzean, kontzertu bat hasi aurretik.
**Non:** Moskuren aldirietako antzoki batean.
**Zergatik:** Errusiako Segurtasun Zerbitzu Federalak erasoaren motiboa "eraso terrorista" gisa ari da ikertzen, baina ez dago argi arrazoi zehatzak. Ukrainako Gobernuak ez du loturarik onartu.
**Nola:** Erasotzaileek tiroak egin zituzten antzokiaren kanpoaldean eta barruan, lehergaiak ere zartarazi zituzten, eta suhiltzaileek suaren kontra borrokatu behar izan zuten. Lekukoen arabera, kaosa sortu zen antzokian.
</t>
  </si>
  <si>
    <t xml:space="preserve"> Gaur iluntzean, Moskuren aldirietako antzoki batean tiroketa eta leherketak izan dira, non gutxienez 40 lagun hil eta dozenaka zauritu diren, tartean adingabeak. Hiru erasotzaile armatuek kontzertu aurretik tiro egin zuten eta lehergaiak zartarazi zituzten. Errusiako Segurtasun Zerbitzu Federalak eraso terrorista gisa hartu du kasua eta erasotzaileen bilaketa abiatu du. Ukrainako Gobernuak erasoarekin loturarik ez duela adierazi du. AEBek eta beste herrialde batzuek aurreko egunetan ohartarazi zuten antzeko erasoak gerta daitezkeela. Kremlinek elkarretaratze eta ekitaldi handiak bertan behera utzi eta aireportuetako kontrolak indartu ditu.
</t>
  </si>
  <si>
    <t xml:space="preserve"> Hiruki Larroxa LGTBQI+ kooperatiba bat da, gizontasunaren azterketa, pedagogia feminista eta talde gatazken ebazpena dituen arloetan lan egiten duena. 2020an sortu zen Hernanin, eta Egoitz Arbiol Albeniz izan zen sortzaileetako bat. Kooperatibak dokumental bat prestatzen ari da Hernaniko LGTBI historiari buruz. Arbiol-ek azpimarratu du gizonen ardura garrantzitsua dela gai honetan, eta gizonak beren burua eta ingurua eraldatzeko beharra dagoela. Tailer eta hitzaldiak antolatzen dituzte, gizonen eta emakumeen arteko botere harremanak aztertzeko eta tresnak garatzeko. Euskal Herrian, ezker mugimenduko gizonezkoek deserosotasuna sentitzen dute gizontasunaren inguruan, baina Arbiol-ek uste du orain dela une egokia ekiteko eta ez kezkak mantentzeko.
</t>
  </si>
  <si>
    <t xml:space="preserve"> **Hiruki Larroxa LGTBQI+ kooperatibak gizonen rola eta ardurak aztertzen ditu, pedagogia feministaren eta talde gatazken ebazpenaren bidez. Egoitz Arbiol Albenizek gidatutako taldeak, Hernanin sortua, gizonen arteko anaidia eta botere harremanak aztertzen ditu, eta gizonen parte-hartzea eta autoerreflexioa sustatzen ditu gizartearen eraldaketarako. Euskal Herrian, ezker mugimenduko gizonezkoek deserosotasuna adierazten dute gai honen inguruan, baina kooperatibak ekintza praktikoetara pasatzeko deia egiten du, kezka teorikoetatik haratago.**
</t>
  </si>
  <si>
    <t xml:space="preserve"> **Zer:** Hiruki Larroxa LGTBQI+ kooperatibak dokumental bat sortzen ari da Hernaniko (Gipuzkoa) LGTBI historiari buruz.
**Nork:** Egoitz Arbiol Albeniz eta Hiruki Larroxa LGTBQI+ kooperatibako kideak.
**Noiz:** 2020. urte bukaeratik ari dira proiektuan lanean.
**Non:** Hernani (Gipuzkoa).
**Zergatik:** Gizonen parte-hartzea eta erantzukizuna sustatzeko, eta LGTBI komunitatearen historia dokumentatzeko.
**Nola:** Tailer interaktiboak eta hitzaldiak antolatuz, gizonen eta emakumeen arteko botere harremanak aztertuz eta gizonen arteko anaidia indartuz. Dokumentala ikus-entzunezko formatuan egingo da.
Laburbilduz, Hiruki Larroxa LGTBQI+ kooperatibak Hernaniko LGTBI historiari buruzko dokumentala sortzen ari da, gizonen parte-hartzea eta erantzukizuna sustatzeko helburuarekin. Proiektua 2020an hasi zen eta tailer interaktiboak eta hitzaldiak antolatzen ari dira gaiari buruzko ezagutza zabaltzeko.
</t>
  </si>
  <si>
    <t xml:space="preserve"> Hiruki Larroxa LGTBQI+ kooperatibak, Egoitz Arbiol Albeniz sortzailearekin, gizonen gizontasunaren azterketa, pedagogia feminista eta talde gatazken ebazpena ditu ardatz. 2020an sortua, Hernanin dago eta orain dokumental bat egiten ari dira Hernaniko LGTBI historiari buruz. Arbiol-ek azpimarratu du gizonen ardura handia dela gai honetan eta beren burua eta ingurua eraldatzeko beharra. Tailer eta hitzaldiak antolatzen dituzte gizonen eta herri mugimenduen arteko harremanak eta botere dinamikak aztertzeko. Euskal Herrian, ezker mugimenduko gizonezkoek deserosotasuna adierazten dute gizontasunaren inguruan, baina ekintzara pasatzeko beharra dagoela uste dute.
</t>
  </si>
  <si>
    <t xml:space="preserve"> Repsole eta Petronorreko presidenteek Espainiako Gobernuak ezarritako zerga bereziaren kontra hitz egin dute, eta EEE Energiaren Euskal Erakundeko zuzendariak, Iñigo Ansolak, babestu egin ditu. Ansolak azpimarratu du enpresek egonkortasun arauzkoa behar dutela inbertsioak egiteko, eta azken urteetako erregulazio aldaketek kezka sortu dutela. Petronorrek Bizkaian egin asmo dituen inbertsioak eteteko mehatxua egin duela esan du, eta horrek kezka handia sortu du, enpresak foru ogasunei diru sarrera handiak ekartzen baitizkie.
Espainiako Gobernuak energia konpainiei ezarri zien zerga bereziaren inguruan, Ansolak uste du EAJk gobernuaren akordioak baldintzatu beharko lituzkeela. Gainera, egoera ekonomikoaren aldaketak aztertu behar direla uste du, eta zergak sektore bakoitzaren irabazien arabera ezartzearen beharra adierazi du.
LAB sindikatuak, berriz, energia enpresa handien adierazpenak mehatxutzat jo ditu eta Eusko Jaurlaritzaren jarrera kritikatu du, enpresa horien alde agertu delako. Sindikatuak uste du Jaurlaritzaren trantsizio energetikorako estrategiak porrot egin duela eta sakoneko erreforma fiskal bat behar dela, aberastasuna modu orekatuagoan banatzeko.
</t>
  </si>
  <si>
    <t xml:space="preserve"> **Edukirik Garrantzitsuena:**
Espainiako Gobernuak ezarritako energia konpainiei zerga bereziak kritikatzen dituzte Repsole, Petronor eta EEE Energiaren Euskal Erakundeko ordezkariak, inbertsioen egonkortasuna beharrezkoa dela azpimarratuz. Petronorrek inbertsioak eteteko asmoa adierazi du, eta EEEko buruak EAJk gobernuaren babesa baldintzatu beharko lukeela uste du. Gainera, LABek energia enpresa handien adierazpenak "mehatxutzat" jo ditu eta Jaurlaritzaren jarrera kritikatu du, "lobby fosilaren" interesak babesten dituela argudiatuz. Sakoneko erreforma fiskala eskatzen dute, aberastasuna orekatuz banatzeko.
**Laburpena:**
Energia konpainiek eta EEEk Espainiako Gobernuaren zerga bereziak kritikatzen dituzte inbertsioen egonkortasuna arriskuan jartzen dutelakoan. Petronorrek inbertsioak eteteko asmoa du, eta EAJri gobernuaren babesa baldintzatzeko eskatzen zaio. LABek Jaurlaritzaren jarrera kritikatzen du "lobby fosilaren" alde egiten duelako eta sakoneko erreforma fiskala eskatzen du.
</t>
  </si>
  <si>
    <t xml:space="preserve"> **Zer:** Repsoleko eta Petronorreko presidenteek Espainiako Gobernuak ezarritako zerga bereziaren kontrako jarrera agertu dute, eta EEE Energiaren Euskal Erakundeko zuzendariak, Iñigo Ansolak, haien babesa eman du, energia enpresek egonkortasun arau bat behar dutela adieraziz.
**Nork:** Repsoleko eta Petronorreko presidenteak, Iñigo Ansolak (EEEko zuzendaria).
**Noiz:** Azken egunetan, batez ere Radio Euskadin egindako elkarrizketan.
**Non:** Euskal Autonomia Erkidegoa, Bizkaia (Petronorren egoitza soziala dagoen lekua).
**Zergatik:** Enpresek deskarbonizazio inbertsioak egiteko beharrezkoa duten egonkortasun araua falta dela eta Espainiako Gobernuak ezarritako zerga bereziak haien inbertsio-plangintza kaltetzen duela uste dute. Gainera, LAB sindikatuak Jaurlaritzaren jarrera kritikatu du, enpresa handien alde egiten duela uste duelako.
**Nola:** Ansolak prentsaurrekoetan eta elkarrizketetan adierazi ditu bere kezkak eta babesa, eta LABek mehatxutzat jo ditu energia enpresa handien adierazpenak, Jaurlaritzaren jarrera kritikatuz eta sakoneko erreforma fiskal bat eskatuz.
</t>
  </si>
  <si>
    <t xml:space="preserve"> Iñigo Ansolak, EEE Energiaren Euskal Erakundeko zuzendariak, Repsoleko eta Petronorreko presidenteek Espainiako Gobernuaren zerga bereziaren aurkako jarrera babestu du, enpresek egonkortasun arau eta erregulazioa behar dutela azpimarratuz. Ansolak kezka adierazi du Petronorrek inbertsioak eteteko asmoa duelako eta horrek ekar ditzakeen ondorio ekonomiko eta sozialengatik. Gainera, EAJk gobernuaren politikak baldintzatu beharko lukeela uste du. LABek, aldiz, energia enpresa handien adierazpenak mehatxutzat jo ditu eta Eusko Jaurlaritzaren jarrera kritikatu du, langileen aurkako estrategia bat sustatzen duela uste duelako. Sindikatuak sakoneko erreforma fiskalaren alde egin du, aberastasuna modu orekatuagoan banatzeko.
</t>
  </si>
  <si>
    <t xml:space="preserve"> Beñat Arruti Irigoienek irabazi du Donostia Kultura poesia lehiaketa "Arkeologia haragitan" lanarekin, 1.000 euroko saria, Imanol Larrinagaren margolan bat eta ekainean Balea Zuria argitaletxeak kaleratuko duen poema liburua eskuratuz. Epaimahaiak poema bilduma "aipuz eta irakurketaz ondo hornitua" eta "gogoeta eta hizkuntzaren distira trebeki uztartzen dituena" gisa deskribatu du, bere "erritmoa eta musika" eta "estilo eta tonu aldetik batasun handia" aipatuz. Arruti Irigoienek ezleku kontzeptua, maitasuna, poesia eta hizkuntzari buruzko kezkak lantzen ditu, barneko eta kanpoko paisaiak uztartuz. Lan irabazle bat aukeratu arren, epaimahaiak beste bi lanen maila altua nabarmendu du. Psikologia ikasita eta adimen urritasuna dutenekin lan egiten duen Arruti Irigoienek hau izango du lehen literatura lana.
</t>
  </si>
  <si>
    <t xml:space="preserve"> **Edukirik garrantzitsuena eta laburketa:**
Beñat Arruti Irigoienek irabazi du Donostia Kultura poesia lehiaketa "Arkeologia haragitan" lanarekin, 1.000 euroko saria eta margolan bat jasoz, eta Balea Zuria argitaletxeak ekainean poema liburua kaleratuko du. Epaimahaiak goraipatu du lanaren gogoeta sakona, hizkuntzaren distira eta berezko erritmoa. Arruti Irigoienek Psikologia ikasketak egin ditu eta gaur egun adimen urritasuna dutenekin lan egiten du. Hau izango da bere lehen literatura lana.
</t>
  </si>
  <si>
    <t xml:space="preserve"> **Zer:** Beñat Arruti Irigoienek irabazi du Donostia Kultura poesia lehiaketa, "Arkeologia haragitan" lanarekin.
**Nork:** Beñat Arruti Irigoien, psikologoa eta idazlea.
**Noiz:** Lehiaketa honen emaitzak jakinarazi dira oraindik zehaztu gabe denboran, baina sariak jasoko ditu eta liburua kaleratuko da ekainean.
**Non:** Donostia, Gipuzkoa.
**Zergatik:** Epaimahaiak lanaren kalitatea goraipatu du, hala nola gogoeta eta hizkuntzaren distira, erritmoa eta musika, eta estilo eta tonu aldetik batasuna. Gainera, ezleku kontzeptua eta hainbat gai lantzen ditu, hala nola gainbehera, maitasuna, poesia eta hizkuntza.
**Nola:** Arruti Irigoienek 1.000 euroko saria eta Imanol Larrinagaren margolan bat jasoko ditu, eta Balea Zuria argitaletxeak bere poema liburua ekainean kaleratuko du. Aurretik, Euskal Herriko Unibertsitatean Psikologia ikasi zuen eta Bartzelonan Ikerketa eta Esku Hartze Psikosozialeko Masterra egin zuen. Gaur egun, adimen urritasuna dutenekin lan egiten du Zarauzko eguneko zentro batean, eta "Arkeologia haragitan" bere lehen literatura lana izango da.
</t>
  </si>
  <si>
    <t xml:space="preserve"> Beñat Arruti Irigoienek irabazi du Donostia Kultura poesia lehiaketa "Arkeologia haragitan" lanarekin, 1.000 euroko saria eta margolan bat jasoz, eta Balea Zuria argitaletxeak ekainean poema liburua kaleratuko du. Epaimahaiak goraipatu du lanaren gogoeta sakona, hizkuntzaren distira eta erritmoa. Arruti Irigoienek Psikologia ikasketak egin ditu eta gaur egun adimen urritasuna dutenekin lan egiten du. Hau izango da bere lehen literatura lana.
</t>
  </si>
  <si>
    <t xml:space="preserve"> Aleksei Navalni, Errusiako oposizioko kidea eta aktibista, hil egin da Yamalo-Nenets barrutiko kartzelan, Errusiako iturri ofizialek jakinarazi dutenez. 30 urteko kartzela zigorra betetzen ari zen estremismo eta iruzurko akusaziopean, eta abendutik zegoen espetxean. Kremlineko bozeramaileak ez du argi zein den heriotzaren kausa, baina ikerketa hasi du. Navalniren senideek susmoak plazaratu dituzte eta Vladimir Putin errugabea dela ukatu dute. Mendebaldeko herrialdeek, hala nola AEBek eta EBk, Errusiari egotzi diote erantzukizuna. Navalni azken urteotan Putinen aurkako kritikarik gogorrenetako bat izan da, eta 2020an novitxok gasarekin pozoitu zutela uste da.
</t>
  </si>
  <si>
    <t xml:space="preserve"> **Edukirik Garrantzitsuena:**
Aleksei Navalni, Errusiako oposizioko kidea eta aktibista, kartzelan hil da Yamalo-Nenets barrutian, 47 urte zituela. Errusiako iturri ofizialek diote heriotza ikertzen ari direla, baina Navalniren senideek eta Mendebaldeko herrialdeek susmoak plazaratu dituzte, Putin eta bere gobernuaren erantzukizuna aipatuz. Navalni azken urteotan Putinen aurkako kritika gogorrak egin zituen, eta 2020an novitxok gasarekin pozoitu zutela uste da. Atxilotu eta espetxeratu zuten 2021ean, eta hainbat zigor jaso zituen.
**Laburpena:**
Aleksei Navalni, Errusiako oposizioko burua, kartzelan hil da, eta bere heriotzaren inguruan susmoak daude Putinen gobernuaren erantzukizunari buruz. Aurrez, pozoitu zutela uste zen eta atxilotu ondoren espetxean egon zen.
</t>
  </si>
  <si>
    <t xml:space="preserve"> **Zer:** Aleksei Navalni, Errusiako oposizioko kidea eta aktibista, hil da Yamalo-Nenets barrutiko kartzela batean, Errusiako zirkulu polar artikotik hirurogei bat kilometrora.
**Nork:** Aleksei Navalni, 47 urtekoa, 2021eko Sakharov sariduna eta Vladimir Putin Errusiako presidentearen aurkako ekintzaile nagusia.
**Noiz:** Gaur, espetxean zegoela.
**Non:** Yamalo-Nenets barrutiko kartzela, Errusiako zirkulu polar artikotik hirurogei bat kilometrora.
**Zergatik:** Errusiako iturri ofizialek ez dute argi zergatik hil den, baina Navalniren senideek eta Mendebaldeko potentziek susmoak dituzte pozoitzeagatik. Aurrez, 2020an novitxok gasarekin pozoitu zutela uste zen.
**Nola:** Iturri ofizialek diote Navalnik paseo bat eman ondoren "gaizki" sentitu zela eta kordea galdu zuela, ondoren suspertze ahaleginak egin arren emaitzarik gabe. Navalniren emazteak eta beste iturri batzuek, ordea, pozoitzea aipatzen dute.
</t>
  </si>
  <si>
    <t xml:space="preserve"> Aleksei Navalni, Errusiako oposizioko lider eta aktibista, 47 urte zituela hil da Yamalo-Nenets barrutiko kartzelan, Errusiako iturri ofizialek jakinarazi dutenez. Navalni 30 urteko kartzela zigorra betetzen ari zen estremismo eta iruzurko akusazioengatik, eta abendutik zegoen espetxean. Senideek eta Mendebaldeko herrialdeek susmoak plazaratu dituzte pozoitzearen inguruan, eta Vladimir Putin Errusiako presidentearen erantzukizuna aipatu dute. Navalni Errusiako presidentearen kritiko nagusietako bat izan zen azken urteotan, eta hainbat aldiz salatu zuen gobernuaren ustelkeria eta hauteskunde iruzurrak.
</t>
  </si>
  <si>
    <t xml:space="preserve">Izan ere, katalunian eta Spainiko politikaren konplexutasan zehaztu du, eta katalunian egindako urrun dago, eta PSC eta Comuns Sumarrekoen egin duen duen alderdiak eta gauztikoak: «Ez dutea katalunian eta Spainiako Gobernuan Katalunian egindako katalunirikoak: «Euskal Herriko leku, katalunian eta PSC eta Comuns Sumarrekoen zehaztu duen alderdiak eta gauztu kataldeko katalunirikoak: «Euskal Herriko lehenbiziko erginen duen alderdiak and gauztuko kataldekoak: «Ez dugu katalunikoak: «Euskal Herriko lehen, eta gauztu kataldeko katalunikoak.
Euskal Herriko kataldeko katalunia: «Euskal Herriko lehenbiziko erginen du katalunian egindikoak: «Ez dugu katalunian egindiko katalunikoak: «Ez dugu katalunian egindikoak: «Ez dugu katalunian eta Spainiako Gobernuko politikaren konplexutasua, katalunian egindiko katalunian egindikoak: «Ez dugu katalunian egindikoak: «Ez dugu katalunian egindikoak: «Ez dugu katalunian egindikoak: «Ez dugu katalunian egindiko kataldeko katalunian egindikoak: «Ez dugu katalunian egindiko katalunikoak: «Ez dugu katalunian egindikoak: «Ez dugu katalunikoak: «Ez dugu katalunian egindikoak: «Euskal Herriko lehenbiziko erginen kataldeko kataldeko katalunian egindikoak: «Ez dugu katalunikoak: «Ez dugu katalunian egindiko katalunian egindikoak: «Ez dugu katalunian egindiko katalunian egindiko katalunian egindikoak: «Ez dugu katalunian egindikoak: «Ez dugu katalunian egindiko katalunian egindiko katalunioak: «Ez dugu katalunian egindikoak: «Ez dugu katalunian egindiko katalunian egindikoak: «Ez dugu kataldeko katalunian egindikoak: «Ez dugu kataldeko katalunian egindikoak: «Ez dugu katalunian egindikoak: «Ez dugu katalunian egindikoak: «Ez dugu katalunian egindikoak: «Ez dugu katalunian egindiko katalunian egindikoak: «Ez dugu katalunian egindikoak: «Ez dugu katalunian egindiko katalunian egindikoak: «Ez dugu katalunian egindikoak: «Ez dugu katalunian egindikoak: «Euskal Herriko katalunian egindikoak: «Ez dugu katalunian egindikoak: «Ez dugu katalunian egindikoak: «Ez dugu katalunian egindikoak: «Ez dugu katalunian egindikoak: «Ez dugu katalunian egindikoak: «Ez dugu katalunian egindikoak: «Euskal Herriko kataldeko katalunian egindikoak: «Ez dugu katalunian egindikoak: «Ez dugu katalunian egindikoak: «Ez dugu katalunian egindikoak: «Euskal Herriko lehenbiziko katalunian egindikoak: «Ez dugu katalunian egindikoak: «Ez dugu katalunian egindikoak: «Ez dugu katalunian egindikoak: «Ez dugu katalunikoak: «Ez dugu katalunian egindikoak</t>
  </si>
  <si>
    <t xml:space="preserve">Edukirik garrantzitsuena: Pere Aragones ERCko presidenteak agur esan dio politikari eta ez duela Kataluniako Parlamentuko diputatu akta hartuko.
Laburpena: Pere Aragonesek ERCko presidente kargua utzi du eta ez duela Kataluniako Parlamentuko diputatu akta hartuko iragarri du. Honek Kataluniako politikaren egoera aldatu du, eta alderdi ezberdinek elkarrizketak hasi dituzte gobernu berria osatzeko.</t>
  </si>
  <si>
    <t xml:space="preserve">Aragonesek agur erran dio politikaren lehen lerroari
Aragonesek adierazi du bere gain hartu du hamahiru legebiltzarkide galtzearen ardura. 
Nuria Parlon PSCko zuzendaritzako bozeramaileak ere adierazpenak egin ditu, eta erran sozialistei dagokiela «Kataluniako etorkizunaren buru izatea».
PSCk eta Juntsek emaitzak hobetu dituztela, eta haiei dagokiela gobernuan egotea. «Herritarren erabakia onartzea erabaki dugu: oposizioan egotea dagokigu. PSCk eta Juntsek ulertu beharko dute elkar, eta egoera hau kudeatu».
Aragonesek adierazi du bere gain hartu du hamahiru legebiltzarkide galtzearen ardura: 2021eko bozen aldean, 178.000 boto galdu dituela, eta 2017koen aldean, 508.000. Gainbehera hori, baina, PSCren eta Juntseko «etengabeko blokeoari» ere egotzi dio. Gehitu du «gehiengo independentista» galdu egin dela, eta Kataluniak «eskuinerantz» egin duela.
Aragonesek jakinarazi du bere gain hartu du hamabost legebiltzarkide galtzearen ardura. 2021eko bozen aldean, 178.000 boto galdu dituela, eta 2017koen aldean, 508.000. Gainbehera hori, baina, PSCren eta Juntseko «etengabeko blokeoari» ere egotzi dio. Gehitu du «gehiengo independentista» galdu egin dela, eta Kataluniak «eskuinerantz» egin duela.
Aragonesek jakinarazi du Juntsek eta P</t>
  </si>
  <si>
    <t xml:space="preserve">Kataluniako hauteskundeak egin dira, eta aurreko hauteskundeekin alderatuta, ERCk hamahiru eserleku galdu ditu eta PSCk hamabi irabazi. Juntsek, berriz, sei eserleku gehiago lortu ditu. Alhora alderdiak ez du eserleku bakar bat ere lortu.</t>
  </si>
  <si>
    <t xml:space="preserve">Zozketa horrek bi derbi ekarriko ditu, eta zirrara handiko bi partida izango dira Espainiako Koparen zortzifinalerdietan. Osasunak eta Realak elkarren aurka jokatuko dute Sadarren, eta Athletic eta Alavesek, San Mamesen. Honek zirrara handia sortuko du, bai partida haiek bai eta beste taldeek jokatuko duten garrantzia dela eta.</t>
  </si>
  <si>
    <t xml:space="preserve">Athleticek eta Alavesek San Mamesen jokatuko dute, eta Osasunak eta Realak Sadarren, Espainiako Koparen final-zortzirenetan.</t>
  </si>
  <si>
    <t xml:space="preserve">Hona hemen 5W1H metodoaren aplikazioa testuari:
* Zer: Osasunak eta Realak, eta Athleticek eta Alavesek elkarren aurka jokatuko duten partida.
* Nork: Osasuna eta Real, eta Athletic eta Alaves.
* Noiz: Urtarrilaren 16an (Athletic-Alaves) eta urtarrilaren 17an edo 18an (Osasuna-Real), 21:00etan.
* Non: Sadarren (Osasuna-Real) eta San Mamesen (Athletic-Alaves).
* Zergatik: Espainiako Koparen final-zortzirenetan.
* Nola: Partidak zuzenean jokatuko dira, eta partida bakoitzaren emaitzak erabakiko du txapelketan jarraitzeko edo kanporatzeko.</t>
  </si>
  <si>
    <t xml:space="preserve">Athletic eta Osasuna Kopako final-zortzirenetan elkarren aurkakoak izango dira, eta Alavesek eta Bartzelonak ere elkarren aurkakoak izango dira.</t>
  </si>
  <si>
    <t xml:space="preserve">Osasunak Rayo Vallecano hartuko du Sadarren, 21:00etan jokatzeko aurreikusita dagoen partida batean. Osasunak bere etxean jokatzeko zailtasunak eta Rayoren jokalarien erasokortasun eza nabarmentzen dira. Hala ere, Osasunak bien arteko aurreko partidak irabazi ditu eta Jagoba Arrasatek jokalari garrantzitsuak bueltan izango ditu.</t>
  </si>
  <si>
    <t xml:space="preserve">Testuaren edukirik garrantzitsuena: Osasunak gaurko partidan irabazi behar du Rayo Vallecanori, etxean arrotz izateari uzteko.
Testu laburtua: Osasunak gaurko partidan irabazi behar du Rayo Vallecanori, etxean arrotz izateari uzteko. Azken sei jardunaldietan garaipenik lortu ez duen Osasunak, etxean ere txartu egin du, eta sei partida galdu ditu. Rayo ere kezkatuta iritsiko da partida horretara, eta etxetik kanpo txukun dabil. Osasunak Sadarren ondo moldatu ohi da Rayoren aurka, eta lau partida irabazi ditu eta bi berdindu azken aldiz gailendu zitzaion Iruñean.</t>
  </si>
  <si>
    <t xml:space="preserve">Hona hemen 5W1H metodoa aplikatuta artikuluari:
* Zer: Osasunak Rayo Vallecano taldearen aurka jokatuko du etxean, Sadar estadioan.
* Nork: Osasunako jokalariak, besteak beste, Sergio Herrera, Ruben Peña, Catena, eta Budimir.
* Noiz: Partidua gaur (artikulua idatzi zeneko egunean) izango da, 21:00etan.
* Non: Partidua Sadar estadioan jokatuko da, Osasunako etxean.
* Zergatik: Osasunak garaipena behar du bere egoera hobetzeko, eta Rayo Vallecano taldeak ere puntua lortu nahi du sailkapenean lasai egoteko.
* Nola: Partidua jokatuko da, eta Osasunak bere jokoa hobetu behar du, eta Rayo Vallecanok ere bere erasoa indartu behar du.</t>
  </si>
  <si>
    <t xml:space="preserve">Osasunak Rayo Vallecano jokatuko du eta garaipena behar du etxean arrotz izateari utzi ahal izateko. Osasunak denboraldi honetan etxean bakar bat ere partida irabazi ez duen arren, Sadarren ondo moldatu ohi da Rayoren aurka. Jagoba Arrasatek bi jokalari garrantzitsu itzuli ditu, Ruben Peña eta Catena.</t>
  </si>
  <si>
    <t xml:space="preserve">Testua laburtzeko, hauxe da laburpena:
Generación porno dokumental saioa ETB eta TV3 telebista kateek eta Shine Iberia ekoiztetxeak ekoitzi dute. Dokumentalak lau familien elkarrizketak ditu oinarri, eta beste zenbaiten lekukotzak ere bai, tartean psikologo eta gizarte hezitzaileenak. Dokumentalak sexu heziketa, teknologia eta indarkeria bezalako gaiak jorratzen ditu, eta pornografia eta gazteen arteko harremana aztertzen du. Dokumentalaren aurkezpena FesTVal jaialdian egin zuten eta ETB eta TV3k emititzen hasiko dute laster.</t>
  </si>
  <si>
    <t xml:space="preserve">Dokumentalaren aurrestreinaldia eta aurkezpena egin dituzte FesTVal jaialdian.</t>
  </si>
  <si>
    <t xml:space="preserve">5W1H metodoaren bidez, honako laburpena egin daiteke:
* Zer: Generación porno dokumental sailaren aurkezpena eta aurrestreinaldia.
* Nork: ETBk, TV3k eta Shine Iberia ekoiztetxeak elkarlanean.
* Noiz: Dokumentalaren aurkezpena FesTVal jaialdian eta aurrestreinaldia Bilboko Azkuna zentroan.
* Non: Dokumentalaren aurkezpena Gasteizko Europa Biltzar Jauregian eta aurrestreinaldia Bilboko Azkuna zentroan.
* Zergatik: Dokumentalaren ekoizleek eta parte hartzaileek pornografia eta gazteen arteko sexu harremanei buruzko kezka eta jakin-mina azaldu nahi dutelako.
* Nola: Dokumentalaren aurkezpena eta aurrestreinaldiaren bidez, eta elkarrizketa eta solasaldiaren bidez.</t>
  </si>
  <si>
    <t xml:space="preserve">ETBk eta TV3k elkarlanean ekoitzitako "Generación porno" dokumental saioa aurkeztu dute FesTVal jaialdian. Dokumentala lau familien elkarrizketetan oinarrituta dago eta gazteen porno kontsumoari buruzko kezka eta arazoak aztertzen ditu. Dokumentalaren aurkezpeneko solasaldian, sexu heziketa, teknologia eta indarkeria izan ziren mintzagai nagusiak.</t>
  </si>
  <si>
    <t xml:space="preserve">Iñaki Artola da pilotari onena.</t>
  </si>
  <si>
    <t xml:space="preserve">Edukirik garrantzitsuena da: Iñaki Artola pilotariak.</t>
  </si>
  <si>
    <t xml:space="preserve">Honako hau da 5W1 metodoaren aplikazioa testuari:
* Zer: Iñaki Artola pilotariak Javier Zabala garaitu du Labrit pilotalekuan, eta multzoa lider gisa amaituko du.
* Nor: Iñaki Artola eta Javier Zabala dira protagonista nagusiak.
* Noiz: Partida gaur egun jokatu da.
* Non: Partida Labrit pilotalekuan jokatu da.
* Zergatik: Artolak bere jokoa eta konfiantza erakutsi ditu, eta Zabalak ezin izan du hura gainditu.
* Nola: Artolak sakeari ondo erantzun du, jokoa bere esparrura eraman du, eta erasoan jokatzeko garaian ausart eta eraginkor aritu da.</t>
  </si>
  <si>
    <t xml:space="preserve">Iñaki Artola aurrelaria Baikokoa aurrelariak bere multzoa irabazi du, eta finalerdietarako sailkatu da. Javier Zabalari 22 eta 8 irabazi ondoren, auzi horretan nagusi izan da. Bigarren postua norentzat izango den, ordea, gaur erabakiko da.</t>
  </si>
  <si>
    <t xml:space="preserve">Errusia.</t>
  </si>
  <si>
    <t xml:space="preserve">Gaur iluntzean, Moskuren aldirietako antzoki batean tiroketa bat gertatu zen, eta Errusiako hedabideen arabera, gutxienez 40 lagun hil eta dozenaka zauritu dituzte, tartean adingabeak.</t>
  </si>
  <si>
    <t xml:space="preserve">5W1H metodoa erabiliz, honako informazioa atera daiteke:
*   Zer: Tiroketa bat gertatu da Moskuren aldirietako antzoki batean, eta gutxienez 40 lagun hil eta dozenaka zauritu dira.
*   Nork: Hiru erasotzaile armatu gutxienez tiro egiten hasi ziren kontzertu bat hasi aurretik, eta lehergai batzuk ere zartarazi zituzten.
*   Noiz: Gertakaria gaur iluntzean gertatu da.
*   Non: Moskuren aldirietako antzoki batean.
*   Zergatik: Errusiako Segurtasun Zerbitzu Federalak adierazi du «beharrezko neurriak» hartu dituela, eta gertakaria «eraso terrorista» gisa ikertzen ari direla.
*   Nola: Erasotzaileek tiroka hasi ziren kontzertu bat hasi aurretik, eta lehergai batzuk ere zartarazi zituzten.</t>
  </si>
  <si>
    <t xml:space="preserve">Gaur iluntzean, Moskuren aldirietako antzoki batean, gutxienez 40 lagun hil eta dozenaka zauritu dituzte tiroketa baten ondorioz. Errusiako Segurtasun Zerbitzu Federalak erasoa «eraso terrorista» gisa ikertzen ari da eta erasotzaileen bila ari dira. Ukrainako Gobernuak ez duela loturarik erasoarekin adierazi du.</t>
  </si>
  <si>
    <t xml:space="preserve">Egoitz Arbiol Albeniz, Hiruki Larroxa kooperatibako kidea, Baionan izan zen asteazkenean, "Gizonak eta herri mugimendu parekide(ago)ak" tailerra eman ondoren. Tailerra dinamikoa eta parte-hartzailea izan zen, eta bertan gizonen papera aztertu zen militantzia arloan, genero botere harremanak eta pribilegioak kontuan hartuta. Arbiolik adierazi zuen gizonen arteko anaidia dela gizontasunean elementu zentral bat, eta gizonen arteko boterekeria ere bada. Uste du gizonen arteko solasa inportantea dela, eta emakumeek aipatzen dietenean erresistentzia dagoela, baina gizonen ardura da gai honetan. Euskal Herrian, ezker mugimenduko gizonezkoak deseroso dira gai horren inguruan, baina Arbiolik uste du kezka utzi eta ekitea da inportantea.</t>
  </si>
  <si>
    <t xml:space="preserve">Testuaren edukirik garrantzitsuena "gizontasunaren azterketa" da, eta honen inguruan Hiruki Larroxa LGTBQ+ kooperatibak egiten ari den lana. Laburtutako testua honela litzateke:
Hiruki Larroxa LGTBQ+ kooperatiba gizontasunaren azterketa, pedagogia feminista eta talde gatazken ebazpenen inguruko ikerketak egiten dituen kooperatiba bat da. Egoitz Arbiol Albenizek adierazi du gizonak ardura hartu behar dutela gai honetan eta hastea gu geure burua deseraikitzen eta gu geure inguruak errotik eraldatzen. Kooperatibak egiten ari den lana da birpentsatzea zer harreman sortzen diren militantzia arloan, generoa kontuan hartuta, eta tresnen inguruan pentsa dezaten nahi dute, eta haiek nola garatu zehazten hasi nahi dute guzion artean.</t>
  </si>
  <si>
    <t xml:space="preserve">Hurrengoak dira 5W1H galderen erantzunak:
* **Zer**: Hiruki Larroxa LGTBQI+ kooperatibak gizontasunaren azterketa, pedagogia feminista eta talde gatazken ebazpenen inguruko ikerketak, esku hartzeak, diagnostikoak eta dokumental lanak egiten ditu.
* **Nork**: Hiruki Larroxa LGTBQI+ kooperatibak, Egoitz Arbiol Albenizek sortua.
* **Noiz**: 2020. urte bukaeran sortu zuten kooperatiba.
* **Non**: Hernanin (Gipuzkoa) sortu zuten kooperatiba, eta Baionan (Lapurdi) ere izan ziren asteazkenean hitzaldi bat ematen.
* **Zergatik**: Gizonak ardura hartzea eta gai honetan hastea, gu geure burua deseraikitzen eta gu geure inguruak errotik eraldatzen, feminismoa eta patriarkatua amaitzeko.
* **Nola**: Dinamiko eta parte hartzailea izan zen tailerra, non gizonen arteko anaidia eta boterekeria aztertzen ziren, eta gizonen genero eraikuntza desegiten hasteko.</t>
  </si>
  <si>
    <t xml:space="preserve">Egoitz Arbiol Albeniz, Hiruki Larroxa LGTBQI+ kooperatibako kidea, gizonen ardura eta erantzukizuna azpimarratzen ditu genero berdintasuna lortzeko. Uste du gizonen arteko anaidia eta boterekeria (fratiarkatua) gizontasunaren elementu zentrala direla, eta gizonen arteko solasa inportantea dela aldaketa pertsonal eta kolektiboa lortzeko. Euskal Herrian, ezker mugimenduko gizonezkoak deseroso dira gai horren inguruan, baina uste du ekintza eta aldaketara pasatzea beharrezkoa dela.</t>
  </si>
  <si>
    <t xml:space="preserve">Iñigo Ansolak, EEE Energiaren Euskal Erakundeko zuzendariak, Espainiako Gobernuak energia konpainiei ezarritako zerga berezia kritikatu du. Ansolak adierazi du enpresek erregulazio edo arau esparru egonkor bat behar dutela inbertsioak egiteko, eta ezin dutela horrela jokatu hainbat urtez erregulazioa aldatzen ari direla. Gainera, ohartarazi du Repsol eta Petronor enpresek ez dutela inbertituko deskarbonizazioan egonkortasunik ez badago.</t>
  </si>
  <si>
    <t xml:space="preserve"> Edukirik garrantzitsuena: Iñigo Ansolak, EEE Energiaren Euskal Erakundeko zuzendariak, kritikatu du Espainiako Gobernuak energia konpainiei ezarritako zerga berezia eta azpimarratu du enpresek erregulazio edo arau esparru egonkor bat behar dutela inbertsioak egiteko.
Laburtutako testua:
Iñigo Ansolak, EEEko zuzendariak, Espainiako Gobernuak energia konpainiei ezarritako zerga berezia kritikatu du. Ansolaren ustez, enpresek erregulazio edo arau esparru egonkor bat behar dute inbertsioak egiteko. Zerga berezia kritikatu du, eta azpimarratu du ezin dela horrela jokatu, enpresek ehunka milioi euroz ari direlako. Ansolak ohartarazi du Petronorrek nekez inbertituko duela deskarbonizazioan egonkortasunik ez badago. LABek "mehatxutzat" jo ditu energia enpresa handietako buruzagien adierazpenak, eta Eusko Jaurlaritzaren jarrera kritikatu du.</t>
  </si>
  <si>
    <t xml:space="preserve">5W1H metodoa erabiliz, honako laburpena egin daiteke:
* **Zer**: Iñigo Ansolak, EEE Energiaren Euskal Erakundeko zuzendariak, Espainiako Gobernuak energia konpainiei ezarritako zerga berezia kritikatu du, eta enpresek erregulazio edo arau esparru egonkor bat behar dutela azpimarratu du.
* **Nork**: Iñigo Ansolak, EEE Energiaren Euskal Erakundeko zuzendariak, eta LAB sindikatuak.
* **Noiz**: Gaur egun, Ukrainako gerraren eraginez izaten ari diren ezohiko irabaziak ikusita, eta inflazio handiari aurre egiteko neurriak finantzatzeko.
* **Non**: Euskal Herrian eta Espainian.
* **Zergatik**: Enpresek erregulazio edo arau esparru egonkor bat behar dutelako inbertsioak egiteko, eta Espainiako Gobernuak energia konpainiei zerga berezia ezarri duelako.
* **Nola**: Ansolak Radio Euskadin egindako elkarrizketa batean agertu da kezkatuta, eta LABek "mehatxutzat" jo ditu energia enpresa handietako buruzagien adierazpenak.</t>
  </si>
  <si>
    <t xml:space="preserve">Iñigo Ansolak, EEE Energiaren Euskal Erakundeko zuzendariak, Espainiako Gobernuak energia konpainiei ezarritako zerga berezia kritikatu du, eta azpimarratu du enpresek erregulazio edo arau esparru egonkor bat behar dutela. Ansolak adierazi duenez, egoera ekonomikoa aldatu da eta zerga hori berraztertu behar da. LAB sindikatuak energia enpresa handietako buruzagien adierazpenak "mehatxutzat" jo ditu eta Eusko Jaurlaritzaren jarrera kritikatu du.</t>
  </si>
  <si>
    <t xml:space="preserve">Beñat Arruti Irigoienek irabazi du Donostia Kultura poesia lehiaketa, Arkeologia haragitan lanarekin. Lan honek 1.000 euroko saria eta margolan bat ekarriko dio, eta poema liburua argitaratuko da ekainean. Epaimahaiak, Eli Tolaretxipik, Itxaro Bordak eta Aritz Gorrotxategik osatua, poema bilduma "ondo hornitua" dela adierazi du, eta "gogoeta eta hizkuntzaren distira" batzen dituela. Poemak "erritmo berezia" eta "musika" dauka, eta lan "orekatua eta koherentea" da.</t>
  </si>
  <si>
    <t xml:space="preserve">Edukirik garrantzitsuena: Beñat Arruti Irigoienek irabazi du idazle gazteentzako Donostia Kultura poesia lehiaketa.
Laburtutako testua: Beñat Arruti Irigoienek irabazi du idazle gazteentzako Donostia Kultura poesia lehiaketa "Arkeologia haragitan" lanarekin, eta 1.000 euroko saria eta poema liburua kaleratzea lortu du. Epaimahaiak aipatu du poema bilduma "ondo hornitua" dagoela eta "trebeki uztartzen" dituela gogoeta eta hizkuntzaren distira.</t>
  </si>
  <si>
    <t xml:space="preserve">Hurrengo da 5W1H metodoaren aplikazioa testuari:
- **Zer**: Donostia Kultura poesia lehiaketa irabazi du Beñat Arruti Irigoienek.
- **Nork**: Beñat Arruti Irigoienek irabazi du lehiaketa, eta epaimahaia Eli Tolaretxipik, Itxaro Bordak eta Aritz Gorrotxategik osatzen dute.
- **Noiz**: Ekainean argitaratuko da poema liburua.
- **Non**: Zarauzko (Gipuzkoa) eguneko zentro batean lan egiten du Beñat Arruti Irigoienek.
- **Zergatik**: Epaimahaiaren arabera, poema bilduma "ondo hornitua dator" eta "trebeki uztartzen ditu gogoeta eta hizkuntzaren distira".
- **Nola**: Lan irabazlea aukeratzeko, epaimahaiak lehiaketako lanak irakurri eta ebaluatu zituen, eta Arruti Irigoienaren lanak beste bi lanen gainetik aukeratu zuten.</t>
  </si>
  <si>
    <t xml:space="preserve">Beñat Arruti Irigoienek idazle gazteentzako Donostia Kultura poesia lehiaketa irabazi du, "Arkeologia haragitan" lanarekin. Lanak 1.000 euroko saria eta Imanol Larrinagaren margolan bat jasoko ditu, eta ekainean argitaratuko du Balea Zuria argitaletxeak. Epaimahaiak poema bildumaren kalitatea goraipatu du, berezko erritmoa eta hizkuntzaren distira nabarmenduz.</t>
  </si>
  <si>
    <t xml:space="preserve">Aleksei Navalni Errusiako oposizioko kidea eta aktibista hil da Errusiako kartzela batean. 47 urte zituen eta Vladimir Putinen aurkako ekintzaile nagusia zen. Navalnik 30 urteko kartzela zigorra betetzen ari zen "estremismoa eta iruzurra" egotzita. Errusiako iturri ofizialek jakinarazi dute heriotzaren inguruan ikerketa hasi dutela, baina haren senideek eta Mendebaldeko potentziek uste dute hil egin dutela. Navalni pozoitu egin zuten 2020an eta espetxeratuta egon da 2021etik.</t>
  </si>
  <si>
    <t xml:space="preserve">Testuaren edukirik garrantzitsuena da Aleksei Navalni Errusiako oposizioko kidea eta aktibista hil dela Errusiako kartzela batean, Vladimir Putinen aurkako ekintzaile nagusia zen.</t>
  </si>
  <si>
    <t xml:space="preserve">Hurrengoak dira 5W1H galderen erantzunak:
- **Zer gertatu da?**: Aleksei Navalni Errusiako oposizioko kidea eta aktibista hil da, Errusiako kartzela batean.
- **Nork egin du?**: Errusiar agintariak eta Vladimir Putinek hil dutela uste dute Mendebaldeko potentziek eta Navalniren senideek.
- **Noiz gertatu da?**: Gaur gertatu da, zehazki, Yamalo-Nenets barrutiko kartzela batean.
- **Non gertatu da?**: Yamalo-Nenets barrutiko kartzela batean (Errusia), zirkulu polar artikotik hirurogei bat kilometrora.
- **Zergatik gertatu da?**: Errusiar agintarien eta Vladimir Putinen aurkako ekintzaile nagusia zen, eta hainbat delitu egotzita zituen, hala nola «estremismoa eta iruzurra».
- **Nola gertatu da?**: Iturri ofizialek adierazi dute Navalnik paseo bat eman duela goizean kartzelan, eta gero, «gaizki» sentitu ondoren, kordea galdu duela.</t>
  </si>
  <si>
    <t xml:space="preserve">Aleksei Navalni, Errusiako oposizioko burua eta Vladimir Putinen kritikoa, hil da Errusiako kartzela batean. Navalniren senideek eta Mendebaldeko potentziek susmoak plazaratu dituzte heriotzaren inguruan, eta uste dute hil egin dutela. Errusiako agintariek esan dute ez dakitela zerk eragin duen heriotza, eta ikerketa bat hasi dute.</t>
  </si>
  <si>
    <t xml:space="preserve">PROMPTS</t>
  </si>
  <si>
    <t xml:space="preserve">Resume el siguiente texto.\n\n{text}</t>
  </si>
  <si>
    <t xml:space="preserve">Piensa bien cuál es el contenido más relevante en el siguiente texto y resúmelo usando el contenido más relevante.\n\n{text}</t>
  </si>
  <si>
    <t xml:space="preserve">Resume el siguiente texto usando el método de las 5W1H (qué, quién, cuándo, dónde, por qué, cómo).\n\n{text}</t>
  </si>
  <si>
    <t xml:space="preserve">{text}\n\ntldr:</t>
  </si>
  <si>
    <t xml:space="preserve">HUMAN SUMMARIES</t>
  </si>
  <si>
    <t xml:space="preserve">Human-generated XLSum-like summary (i.e., the heading of the article)</t>
  </si>
  <si>
    <t xml:space="preserve">Jeremy</t>
  </si>
  <si>
    <t xml:space="preserve">Summary generated manually by Jeremy</t>
  </si>
  <si>
    <t xml:space="preserve">Summary generated manually by Begoña</t>
  </si>
  <si>
    <t xml:space="preserve">Alba</t>
  </si>
  <si>
    <t xml:space="preserve">Summary generated manually by Alba</t>
  </si>
  <si>
    <t xml:space="preserve">Naiara</t>
  </si>
  <si>
    <t xml:space="preserve">Summary generated manually by Naiara</t>
  </si>
  <si>
    <t xml:space="preserve">ANNOTATION GUIDELINES</t>
  </si>
  <si>
    <t xml:space="preserve">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</si>
  <si>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 xml:space="preserve">The factual alignment between the summary and the summarized source. A factually consistent summary contains only statements that are entailed by the source document. Annotators were also asked to penalize summaries that contained hallucinated facts.</t>
  </si>
  <si>
    <t xml:space="preserve">The quality of individual sentences. Drawing again from the DUC quality guidelines, sentences in the summary "should have no formatting problems, capitalization errors or obviously ungrammatical sentences (e.g., fragments, missing components) that make the text difficult to read."</t>
  </si>
  <si>
    <t xml:space="preserve">Selection of important content from the source. The summary should include only important information from the source document.</t>
  </si>
  <si>
    <t xml:space="preserve">Selection of important content from the source. The summary should include ALL the important information from the source document (the important information being the 5W1H in the source).</t>
  </si>
  <si>
    <t xml:space="preserve">TEXT ANNOTATION KEY</t>
  </si>
  <si>
    <t xml:space="preserve">text</t>
  </si>
  <si>
    <t xml:space="preserve">model hallucination (penalizes consistency)</t>
  </si>
  <si>
    <t xml:space="preserve">model "hallucination" that introduces correct information</t>
  </si>
  <si>
    <t xml:space="preserve">"conversational" or "metalinguistic" model output that is not to be considered as part of the summary (e.g., "Here is the summary:", "This text is about...") </t>
  </si>
  <si>
    <t xml:space="preserve">what</t>
  </si>
  <si>
    <t xml:space="preserve">who</t>
  </si>
  <si>
    <t xml:space="preserve">when</t>
  </si>
  <si>
    <t xml:space="preserve">where</t>
  </si>
  <si>
    <t xml:space="preserve">why</t>
  </si>
  <si>
    <t xml:space="preserve">how</t>
  </si>
  <si>
    <t xml:space="preserve"> model key</t>
  </si>
  <si>
    <t xml:space="preserve">prompt key</t>
  </si>
</sst>
</file>

<file path=xl/styles.xml><?xml version="1.0" encoding="utf-8"?>
<styleSheet xmlns="http://schemas.openxmlformats.org/spreadsheetml/2006/main">
  <numFmts count="5">
    <numFmt numFmtId="164" formatCode="General"/>
    <numFmt numFmtId="165" formatCode="0.00"/>
    <numFmt numFmtId="166" formatCode="0\ %"/>
    <numFmt numFmtId="167" formatCode="#,##0.00"/>
    <numFmt numFmtId="168" formatCode="General"/>
  </numFmts>
  <fonts count="26">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b val="true"/>
      <sz val="11"/>
      <color rgb="FFFFFFFF"/>
      <name val="Arial"/>
      <family val="0"/>
      <charset val="1"/>
    </font>
    <font>
      <u val="single"/>
      <sz val="11"/>
      <color rgb="FF0000FF"/>
      <name val="Cambria"/>
      <family val="0"/>
      <charset val="1"/>
    </font>
    <font>
      <sz val="9"/>
      <color rgb="FF4285F4"/>
      <name val="Arial"/>
      <family val="0"/>
      <charset val="1"/>
    </font>
    <font>
      <sz val="10"/>
      <name val="Arial"/>
      <family val="2"/>
    </font>
    <font>
      <b val="true"/>
      <sz val="9"/>
      <color rgb="FF000000"/>
      <name val="Arial"/>
      <family val="0"/>
      <charset val="1"/>
    </font>
    <font>
      <b val="true"/>
      <sz val="9"/>
      <color theme="1"/>
      <name val="Arial"/>
      <family val="0"/>
      <charset val="1"/>
    </font>
    <font>
      <b val="true"/>
      <u val="single"/>
      <sz val="11"/>
      <color rgb="FF0000FF"/>
      <name val="Cambria"/>
      <family val="0"/>
      <charset val="1"/>
    </font>
    <font>
      <sz val="9"/>
      <color rgb="FF000000"/>
      <name val="Arial"/>
      <family val="0"/>
      <charset val="1"/>
    </font>
    <font>
      <b val="true"/>
      <u val="single"/>
      <sz val="11"/>
      <color rgb="FF1155CC"/>
      <name val="Arial"/>
      <family val="0"/>
      <charset val="1"/>
    </font>
    <font>
      <b val="true"/>
      <strike val="true"/>
      <sz val="11"/>
      <color theme="1"/>
      <name val="Arial"/>
      <family val="0"/>
      <charset val="1"/>
    </font>
    <font>
      <b val="true"/>
      <u val="single"/>
      <sz val="11"/>
      <color theme="1"/>
      <name val="Arial"/>
      <family val="0"/>
      <charset val="1"/>
    </font>
    <font>
      <b val="true"/>
      <sz val="11"/>
      <color rgb="FF999999"/>
      <name val="Arial"/>
      <family val="0"/>
      <charset val="1"/>
    </font>
    <font>
      <b val="true"/>
      <sz val="11"/>
      <color rgb="FF38761D"/>
      <name val="Arial"/>
      <family val="0"/>
      <charset val="1"/>
    </font>
    <font>
      <b val="true"/>
      <sz val="11"/>
      <color rgb="FFFF0000"/>
      <name val="Arial"/>
      <family val="0"/>
      <charset val="1"/>
    </font>
    <font>
      <b val="true"/>
      <sz val="11"/>
      <color rgb="FF4A86E8"/>
      <name val="Arial"/>
      <family val="0"/>
      <charset val="1"/>
    </font>
    <font>
      <b val="true"/>
      <sz val="11"/>
      <color rgb="FFFF9900"/>
      <name val="Arial"/>
      <family val="0"/>
      <charset val="1"/>
    </font>
    <font>
      <b val="true"/>
      <sz val="11"/>
      <color rgb="FF674EA7"/>
      <name val="Arial"/>
      <family val="0"/>
      <charset val="1"/>
    </font>
    <font>
      <b val="true"/>
      <sz val="11"/>
      <color rgb="FFBF9000"/>
      <name val="Arial"/>
      <family val="0"/>
      <charset val="1"/>
    </font>
    <font>
      <u val="single"/>
      <sz val="11"/>
      <color rgb="FF1155CC"/>
      <name val="Arial"/>
      <family val="0"/>
      <charset val="1"/>
    </font>
    <font>
      <i val="true"/>
      <sz val="11"/>
      <color theme="1"/>
      <name val="Arial"/>
      <family val="0"/>
      <charset val="1"/>
    </font>
  </fonts>
  <fills count="95">
    <fill>
      <patternFill patternType="none"/>
    </fill>
    <fill>
      <patternFill patternType="gray125"/>
    </fill>
    <fill>
      <patternFill patternType="solid">
        <fgColor rgb="FF000000"/>
        <bgColor rgb="FF0000FF"/>
      </patternFill>
    </fill>
    <fill>
      <patternFill patternType="mediumGray">
        <fgColor rgb="FFFFFAFA"/>
        <bgColor rgb="FFFFFDFD"/>
      </patternFill>
    </fill>
    <fill>
      <patternFill patternType="solid">
        <fgColor rgb="FFFFFFFF"/>
        <bgColor rgb="FFFFFDFD"/>
      </patternFill>
    </fill>
    <fill>
      <patternFill patternType="solid">
        <fgColor rgb="FFFFFAFA"/>
        <bgColor rgb="FFFEF9F9"/>
      </patternFill>
    </fill>
    <fill>
      <patternFill patternType="solid">
        <fgColor rgb="FFFDF2F1"/>
        <bgColor rgb="FFFDF1F0"/>
      </patternFill>
    </fill>
    <fill>
      <patternFill patternType="solid">
        <fgColor rgb="FFFDF4F3"/>
        <bgColor rgb="FFFDF3F3"/>
      </patternFill>
    </fill>
    <fill>
      <patternFill patternType="solid">
        <fgColor rgb="FFFCEEED"/>
        <bgColor rgb="FFFCEDEC"/>
      </patternFill>
    </fill>
    <fill>
      <patternFill patternType="solid">
        <fgColor rgb="FFF9DCDA"/>
        <bgColor rgb="FFF9DBD8"/>
      </patternFill>
    </fill>
    <fill>
      <patternFill patternType="solid">
        <fgColor rgb="FFFEF9F9"/>
        <bgColor rgb="FFFEF8F8"/>
      </patternFill>
    </fill>
    <fill>
      <patternFill patternType="solid">
        <fgColor rgb="FFFCEBEA"/>
        <bgColor rgb="FFFCEAE8"/>
      </patternFill>
    </fill>
    <fill>
      <patternFill patternType="solid">
        <fgColor rgb="FFFDF3F3"/>
        <bgColor rgb="FFFDF4F3"/>
      </patternFill>
    </fill>
    <fill>
      <patternFill patternType="solid">
        <fgColor rgb="FFFBE4E2"/>
        <bgColor rgb="FFFBE5E3"/>
      </patternFill>
    </fill>
    <fill>
      <patternFill patternType="solid">
        <fgColor rgb="FFFDEFEE"/>
        <bgColor rgb="FFFCEEED"/>
      </patternFill>
    </fill>
    <fill>
      <patternFill patternType="solid">
        <fgColor rgb="FFFBE5E3"/>
        <bgColor rgb="FFFBE4E2"/>
      </patternFill>
    </fill>
    <fill>
      <patternFill patternType="solid">
        <fgColor rgb="FFFDF0EF"/>
        <bgColor rgb="FFFDEFEE"/>
      </patternFill>
    </fill>
    <fill>
      <patternFill patternType="solid">
        <fgColor rgb="FFF7CFCC"/>
        <bgColor rgb="FFF6CBC7"/>
      </patternFill>
    </fill>
    <fill>
      <patternFill patternType="solid">
        <fgColor rgb="FFF4C4C0"/>
        <bgColor rgb="FFF4C2BE"/>
      </patternFill>
    </fill>
    <fill>
      <patternFill patternType="solid">
        <fgColor rgb="FFF6CBC7"/>
        <bgColor rgb="FFF7CFCC"/>
      </patternFill>
    </fill>
    <fill>
      <patternFill patternType="solid">
        <fgColor rgb="FFF9DBD8"/>
        <bgColor rgb="FFF9DAD7"/>
      </patternFill>
    </fill>
    <fill>
      <patternFill patternType="solid">
        <fgColor rgb="FFF4C2BE"/>
        <bgColor rgb="FFF4C4C0"/>
      </patternFill>
    </fill>
    <fill>
      <patternFill patternType="solid">
        <fgColor rgb="FFFAE0DE"/>
        <bgColor rgb="FFFAE1DF"/>
      </patternFill>
    </fill>
    <fill>
      <patternFill patternType="darkGray">
        <fgColor rgb="FFF8D8D5"/>
        <bgColor rgb="FFF8D6D3"/>
      </patternFill>
    </fill>
    <fill>
      <patternFill patternType="solid">
        <fgColor rgb="FFFEF6F6"/>
        <bgColor rgb="FFFEF5F5"/>
      </patternFill>
    </fill>
    <fill>
      <patternFill patternType="solid">
        <fgColor rgb="FFFAE1DF"/>
        <bgColor rgb="FFFAE0DE"/>
      </patternFill>
    </fill>
    <fill>
      <patternFill patternType="solid">
        <fgColor rgb="FFFADFDD"/>
        <bgColor rgb="FFFAE0DE"/>
      </patternFill>
    </fill>
    <fill>
      <patternFill patternType="solid">
        <fgColor rgb="FFFDF1F0"/>
        <bgColor rgb="FFFDF2F1"/>
      </patternFill>
    </fill>
    <fill>
      <patternFill patternType="solid">
        <fgColor rgb="FFFDF3F3"/>
        <bgColor rgb="FFFDF2F1"/>
      </patternFill>
    </fill>
    <fill>
      <patternFill patternType="solid">
        <fgColor rgb="FFF0AEA9"/>
        <bgColor rgb="FFEFAAA5"/>
      </patternFill>
    </fill>
    <fill>
      <patternFill patternType="solid">
        <fgColor rgb="FFF3BDB8"/>
        <bgColor rgb="FFF3BBB6"/>
      </patternFill>
    </fill>
    <fill>
      <patternFill patternType="solid">
        <fgColor rgb="FFFCEDEC"/>
        <bgColor rgb="FFFCEEED"/>
      </patternFill>
    </fill>
    <fill>
      <patternFill patternType="darkGray">
        <fgColor rgb="FFEFAAA5"/>
        <bgColor rgb="FFF0AEA9"/>
      </patternFill>
    </fill>
    <fill>
      <patternFill patternType="solid">
        <fgColor rgb="FFF8D6D3"/>
        <bgColor rgb="FFF8D5D2"/>
      </patternFill>
    </fill>
    <fill>
      <patternFill patternType="solid">
        <fgColor rgb="FFFBE8E7"/>
        <bgColor rgb="FFFBE7E6"/>
      </patternFill>
    </fill>
    <fill>
      <patternFill patternType="darkGray">
        <fgColor rgb="FFEA8E86"/>
        <bgColor rgb="FFED9C95"/>
      </patternFill>
    </fill>
    <fill>
      <patternFill patternType="darkGray">
        <fgColor rgb="FFF7CFCC"/>
        <bgColor rgb="FFF7D3CF"/>
      </patternFill>
    </fill>
    <fill>
      <patternFill patternType="darkGray">
        <fgColor rgb="FFF2B6B1"/>
        <bgColor rgb="FFF0AEA9"/>
      </patternFill>
    </fill>
    <fill>
      <patternFill patternType="darkGray">
        <fgColor rgb="FFED9C95"/>
        <bgColor rgb="FFEA8E86"/>
      </patternFill>
    </fill>
    <fill>
      <patternFill patternType="solid">
        <fgColor rgb="FFF8D8D5"/>
        <bgColor rgb="FFF8D6D3"/>
      </patternFill>
    </fill>
    <fill>
      <patternFill patternType="darkGray">
        <fgColor rgb="FFFAE3E0"/>
        <bgColor rgb="FFFAE1DF"/>
      </patternFill>
    </fill>
    <fill>
      <patternFill patternType="solid">
        <fgColor rgb="FFFEF5F5"/>
        <bgColor rgb="FFFEF5F4"/>
      </patternFill>
    </fill>
    <fill>
      <patternFill patternType="solid">
        <fgColor rgb="FFFEF8F8"/>
        <bgColor rgb="FFFEF9F9"/>
      </patternFill>
    </fill>
    <fill>
      <patternFill patternType="solid">
        <fgColor rgb="FFFBE9E8"/>
        <bgColor rgb="FFFBE8E7"/>
      </patternFill>
    </fill>
    <fill>
      <patternFill patternType="solid">
        <fgColor rgb="FFF3BBB6"/>
        <bgColor rgb="FFF3BDB8"/>
      </patternFill>
    </fill>
    <fill>
      <patternFill patternType="solid">
        <fgColor rgb="FFFBE6E5"/>
        <bgColor rgb="FFFBE5E3"/>
      </patternFill>
    </fill>
    <fill>
      <patternFill patternType="solid">
        <fgColor rgb="FFFBE8E7"/>
        <bgColor rgb="FFFBE7E6"/>
      </patternFill>
    </fill>
    <fill>
      <patternFill patternType="solid">
        <fgColor rgb="FFFBE4E2"/>
        <bgColor rgb="FFFBE5E3"/>
      </patternFill>
    </fill>
    <fill>
      <patternFill patternType="solid">
        <fgColor rgb="FFFCECEB"/>
        <bgColor rgb="FFFCEBEA"/>
      </patternFill>
    </fill>
    <fill>
      <patternFill patternType="solid">
        <fgColor rgb="FFFCEBEA"/>
        <bgColor rgb="FFFCECEB"/>
      </patternFill>
    </fill>
    <fill>
      <patternFill patternType="solid">
        <fgColor rgb="FFFEF7F7"/>
        <bgColor rgb="FFFEF6F6"/>
      </patternFill>
    </fill>
    <fill>
      <patternFill patternType="solid">
        <fgColor rgb="FFFEF5F4"/>
        <bgColor rgb="FFFEF5F5"/>
      </patternFill>
    </fill>
    <fill>
      <patternFill patternType="darkGray">
        <fgColor rgb="FFF9DEDB"/>
        <bgColor rgb="FFF9DCDA"/>
      </patternFill>
    </fill>
    <fill>
      <patternFill patternType="solid">
        <fgColor rgb="FFF6CBC7"/>
        <bgColor rgb="FFF7CFCC"/>
      </patternFill>
    </fill>
    <fill>
      <patternFill patternType="solid">
        <fgColor rgb="FFED9C95"/>
        <bgColor rgb="FFEFAAA5"/>
      </patternFill>
    </fill>
    <fill>
      <patternFill patternType="solid">
        <fgColor rgb="FFF7CFCC"/>
        <bgColor rgb="FFF7D3CF"/>
      </patternFill>
    </fill>
    <fill>
      <patternFill patternType="solid">
        <fgColor rgb="FFFCEDEC"/>
        <bgColor rgb="FFFCECEB"/>
      </patternFill>
    </fill>
    <fill>
      <patternFill patternType="solid">
        <fgColor rgb="FFFBE7E6"/>
        <bgColor rgb="FFFBE6E5"/>
      </patternFill>
    </fill>
    <fill>
      <patternFill patternType="solid">
        <fgColor rgb="FFFCECEB"/>
        <bgColor rgb="FFFCEDEC"/>
      </patternFill>
    </fill>
    <fill>
      <patternFill patternType="solid">
        <fgColor rgb="FFFDF2F1"/>
        <bgColor rgb="FFFDF1F0"/>
      </patternFill>
    </fill>
    <fill>
      <patternFill patternType="solid">
        <fgColor rgb="FFFEF6F6"/>
        <bgColor rgb="FFFEF5F5"/>
      </patternFill>
    </fill>
    <fill>
      <patternFill patternType="darkGray">
        <fgColor rgb="FFF6CBC7"/>
        <bgColor rgb="FFF4C4C0"/>
      </patternFill>
    </fill>
    <fill>
      <patternFill patternType="solid">
        <fgColor rgb="FFFDF0EF"/>
        <bgColor rgb="FFFDEFEE"/>
      </patternFill>
    </fill>
    <fill>
      <patternFill patternType="mediumGray">
        <fgColor rgb="FFF9DCDA"/>
        <bgColor rgb="FFF9DEDB"/>
      </patternFill>
    </fill>
    <fill>
      <patternFill patternType="solid">
        <fgColor rgb="FFF4C4C0"/>
        <bgColor rgb="FFF4C2BE"/>
      </patternFill>
    </fill>
    <fill>
      <patternFill patternType="darkGray">
        <fgColor rgb="FFEA8E86"/>
        <bgColor rgb="FFED9C95"/>
      </patternFill>
    </fill>
    <fill>
      <patternFill patternType="solid">
        <fgColor rgb="FFF9DAD7"/>
        <bgColor rgb="FFF9DBD8"/>
      </patternFill>
    </fill>
    <fill>
      <patternFill patternType="solid">
        <fgColor rgb="FFFFFAFA"/>
        <bgColor rgb="FFFEF9F9"/>
      </patternFill>
    </fill>
    <fill>
      <patternFill patternType="solid">
        <fgColor rgb="FFF8D5D2"/>
        <bgColor rgb="FFF8D6D3"/>
      </patternFill>
    </fill>
    <fill>
      <patternFill patternType="mediumGray">
        <fgColor rgb="FFF8D8D5"/>
        <bgColor rgb="FFF9DAD7"/>
      </patternFill>
    </fill>
    <fill>
      <patternFill patternType="solid">
        <fgColor rgb="FFFEF9F9"/>
        <bgColor rgb="FFFEF8F8"/>
      </patternFill>
    </fill>
    <fill>
      <patternFill patternType="solid">
        <fgColor rgb="FFFBE9E8"/>
        <bgColor rgb="FFFBE8E7"/>
      </patternFill>
    </fill>
    <fill>
      <patternFill patternType="solid">
        <fgColor rgb="FFFDEFEE"/>
        <bgColor rgb="FFFDF0EF"/>
      </patternFill>
    </fill>
    <fill>
      <patternFill patternType="darkGray">
        <fgColor rgb="FFF7D3CF"/>
        <bgColor rgb="FFF7CFCC"/>
      </patternFill>
    </fill>
    <fill>
      <patternFill patternType="solid">
        <fgColor rgb="FFF9DBD8"/>
        <bgColor rgb="FFF9DAD7"/>
      </patternFill>
    </fill>
    <fill>
      <patternFill patternType="solid">
        <fgColor rgb="FFFBE6E5"/>
        <bgColor rgb="FFFBE7E6"/>
      </patternFill>
    </fill>
    <fill>
      <patternFill patternType="solid">
        <fgColor rgb="FFF3BBB6"/>
        <bgColor rgb="FFF3BDB8"/>
      </patternFill>
    </fill>
    <fill>
      <patternFill patternType="mediumGray">
        <fgColor rgb="FFF2B6B1"/>
        <bgColor rgb="FFF3BBB6"/>
      </patternFill>
    </fill>
    <fill>
      <patternFill patternType="solid">
        <fgColor rgb="FFEFAAA5"/>
        <bgColor rgb="FFF0AEA9"/>
      </patternFill>
    </fill>
    <fill>
      <patternFill patternType="solid">
        <fgColor rgb="FFFAE1DF"/>
        <bgColor rgb="FFFAE0DE"/>
      </patternFill>
    </fill>
    <fill>
      <patternFill patternType="solid">
        <fgColor rgb="FFFEF7F7"/>
        <bgColor rgb="FFFEF8F8"/>
      </patternFill>
    </fill>
    <fill>
      <patternFill patternType="solid">
        <fgColor rgb="FFFAE3E0"/>
        <bgColor rgb="FFFBE4E2"/>
      </patternFill>
    </fill>
    <fill>
      <patternFill patternType="solid">
        <fgColor rgb="FFFEF8F8"/>
        <bgColor rgb="FFFEF7F7"/>
      </patternFill>
    </fill>
    <fill>
      <patternFill patternType="solid">
        <fgColor rgb="FFFDF1F0"/>
        <bgColor rgb="FFFDF0EF"/>
      </patternFill>
    </fill>
    <fill>
      <patternFill patternType="solid">
        <fgColor rgb="FFF7D3CF"/>
        <bgColor rgb="FFF8D5D2"/>
      </patternFill>
    </fill>
    <fill>
      <patternFill patternType="darkGray">
        <fgColor rgb="FFF7CFCC"/>
        <bgColor rgb="FFF6CBC7"/>
      </patternFill>
    </fill>
    <fill>
      <patternFill patternType="mediumGray">
        <fgColor rgb="FFFAE1DF"/>
        <bgColor rgb="FFFAE3E0"/>
      </patternFill>
    </fill>
    <fill>
      <patternFill patternType="solid">
        <fgColor rgb="FFEA8E86"/>
        <bgColor rgb="FFED9C95"/>
      </patternFill>
    </fill>
    <fill>
      <patternFill patternType="solid">
        <fgColor rgb="FFFCEAE8"/>
        <bgColor rgb="FFFBE9E8"/>
      </patternFill>
    </fill>
    <fill>
      <patternFill patternType="solid">
        <fgColor rgb="FFF9DEDB"/>
        <bgColor rgb="FFFADFDD"/>
      </patternFill>
    </fill>
    <fill>
      <patternFill patternType="darkGray">
        <fgColor rgb="FFFFFDFD"/>
        <bgColor rgb="FFFFFAFA"/>
      </patternFill>
    </fill>
    <fill>
      <patternFill patternType="darkGray">
        <fgColor rgb="FFFFFFFF"/>
        <bgColor rgb="FFFFFDFD"/>
      </patternFill>
    </fill>
    <fill>
      <patternFill patternType="solid">
        <fgColor rgb="FFFAE0DE"/>
        <bgColor rgb="FFFADFDD"/>
      </patternFill>
    </fill>
    <fill>
      <patternFill patternType="solid">
        <fgColor rgb="FFED9C95"/>
        <bgColor rgb="FFEA8E86"/>
      </patternFill>
    </fill>
    <fill>
      <patternFill patternType="solid">
        <fgColor rgb="FFFFFDFD"/>
        <bgColor rgb="FFFFFFFF"/>
      </patternFill>
    </fill>
  </fills>
  <borders count="16">
    <border diagonalUp="false" diagonalDown="false">
      <left/>
      <right/>
      <top/>
      <bottom/>
      <diagonal/>
    </border>
    <border diagonalUp="false" diagonalDown="false">
      <left style="thick"/>
      <right/>
      <top style="thick"/>
      <bottom/>
      <diagonal/>
    </border>
    <border diagonalUp="false" diagonalDown="false">
      <left/>
      <right/>
      <top style="thick"/>
      <bottom/>
      <diagonal/>
    </border>
    <border diagonalUp="false" diagonalDown="false">
      <left style="thick"/>
      <right style="thick"/>
      <top style="thick"/>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style="thick"/>
      <right/>
      <top/>
      <bottom/>
      <diagonal/>
    </border>
    <border diagonalUp="false" diagonalDown="false">
      <left style="thick"/>
      <right style="thick"/>
      <top/>
      <bottom/>
      <diagonal/>
    </border>
    <border diagonalUp="false" diagonalDown="false">
      <left/>
      <right/>
      <top/>
      <bottom style="double"/>
      <diagonal/>
    </border>
    <border diagonalUp="false" diagonalDown="false">
      <left/>
      <right/>
      <top style="doubl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6" fontId="5" fillId="0" borderId="5" xfId="0" applyFont="true" applyBorder="true" applyAlignment="false" applyProtection="false">
      <alignment horizontal="general" vertical="bottom" textRotation="0" wrapText="false" indent="0" shrinkToFit="false"/>
      <protection locked="true" hidden="false"/>
    </xf>
    <xf numFmtId="167" fontId="5" fillId="0"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right"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8" fontId="5" fillId="0" borderId="6" xfId="0" applyFont="true" applyBorder="true" applyAlignment="true" applyProtection="false">
      <alignment horizontal="center" vertical="bottom" textRotation="0" wrapText="false" indent="0" shrinkToFit="false"/>
      <protection locked="true" hidden="false"/>
    </xf>
    <xf numFmtId="168" fontId="5" fillId="0" borderId="8" xfId="0" applyFont="true" applyBorder="true" applyAlignment="true" applyProtection="false">
      <alignment horizontal="center" vertical="bottom" textRotation="0" wrapText="false" indent="0" shrinkToFit="false"/>
      <protection locked="true" hidden="false"/>
    </xf>
    <xf numFmtId="168" fontId="5" fillId="0" borderId="9"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top" textRotation="0" wrapText="false" indent="0" shrinkToFit="false"/>
      <protection locked="true" hidden="false"/>
    </xf>
    <xf numFmtId="165" fontId="5"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5" fillId="0" borderId="11" xfId="0" applyFont="true" applyBorder="true" applyAlignment="false" applyProtection="false">
      <alignment horizontal="general" vertical="bottom" textRotation="0" wrapText="false" indent="0" shrinkToFit="false"/>
      <protection locked="true" hidden="false"/>
    </xf>
    <xf numFmtId="164" fontId="5" fillId="0" borderId="11" xfId="0" applyFont="true" applyBorder="true" applyAlignment="true" applyProtection="false">
      <alignment horizontal="center" vertical="top" textRotation="0" wrapText="false" indent="0" shrinkToFit="false"/>
      <protection locked="true" hidden="false"/>
    </xf>
    <xf numFmtId="166" fontId="5" fillId="0" borderId="11" xfId="0" applyFont="true" applyBorder="true" applyAlignment="false" applyProtection="false">
      <alignment horizontal="general" vertical="bottom" textRotation="0" wrapText="false" indent="0" shrinkToFit="false"/>
      <protection locked="true" hidden="false"/>
    </xf>
    <xf numFmtId="165" fontId="5" fillId="0" borderId="11" xfId="0" applyFont="true" applyBorder="true" applyAlignment="false" applyProtection="false">
      <alignment horizontal="general" vertical="bottom" textRotation="0" wrapText="false" indent="0" shrinkToFit="false"/>
      <protection locked="true" hidden="false"/>
    </xf>
    <xf numFmtId="164" fontId="6" fillId="2" borderId="12"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6" fillId="2" borderId="13" xfId="0" applyFont="true" applyBorder="true" applyAlignment="true" applyProtection="false">
      <alignment horizontal="center" vertical="bottom" textRotation="0" wrapText="false" indent="0" shrinkToFit="false"/>
      <protection locked="true" hidden="false"/>
    </xf>
    <xf numFmtId="165" fontId="5" fillId="0" borderId="6" xfId="0" applyFont="true" applyBorder="true" applyAlignment="false" applyProtection="false">
      <alignment horizontal="general" vertical="bottom" textRotation="0" wrapText="false" indent="0" shrinkToFit="false"/>
      <protection locked="true" hidden="false"/>
    </xf>
    <xf numFmtId="165" fontId="5" fillId="0" borderId="8" xfId="0" applyFont="true" applyBorder="true" applyAlignment="false" applyProtection="false">
      <alignment horizontal="general" vertical="bottom" textRotation="0" wrapText="false" indent="0" shrinkToFit="false"/>
      <protection locked="true" hidden="false"/>
    </xf>
    <xf numFmtId="164" fontId="7" fillId="0" borderId="10" xfId="0" applyFont="true" applyBorder="true" applyAlignment="true" applyProtection="false">
      <alignment horizontal="right" vertical="bottom" textRotation="0" wrapText="false" indent="0" shrinkToFit="false"/>
      <protection locked="true" hidden="false"/>
    </xf>
    <xf numFmtId="164" fontId="5" fillId="0" borderId="11" xfId="0" applyFont="true" applyBorder="true" applyAlignment="true" applyProtection="false">
      <alignment horizontal="center" vertical="bottom" textRotation="0" wrapText="false" indent="0" shrinkToFit="false"/>
      <protection locked="true" hidden="false"/>
    </xf>
    <xf numFmtId="165" fontId="5" fillId="0" borderId="9"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center" vertical="top" textRotation="0" wrapText="true" indent="0" shrinkToFit="false"/>
      <protection locked="true" hidden="false"/>
    </xf>
    <xf numFmtId="164" fontId="12" fillId="0" borderId="0" xfId="0" applyFont="true" applyBorder="true" applyAlignment="true" applyProtection="false">
      <alignment horizontal="center" vertical="center" textRotation="9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6" fontId="5" fillId="3"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6" fontId="5" fillId="4" borderId="0" xfId="0" applyFont="true" applyBorder="false" applyAlignment="true" applyProtection="false">
      <alignment horizontal="right" vertical="top" textRotation="0" wrapText="false" indent="0" shrinkToFit="false"/>
      <protection locked="true" hidden="false"/>
    </xf>
    <xf numFmtId="164" fontId="5" fillId="0" borderId="14" xfId="0" applyFont="true" applyBorder="true" applyAlignment="true" applyProtection="false">
      <alignment horizontal="general" vertical="top" textRotation="0" wrapText="false" indent="0" shrinkToFit="false"/>
      <protection locked="true" hidden="false"/>
    </xf>
    <xf numFmtId="164" fontId="12" fillId="0" borderId="15" xfId="0" applyFont="true" applyBorder="true" applyAlignment="true" applyProtection="false">
      <alignment horizontal="center" vertical="center" textRotation="90" wrapText="false" indent="0" shrinkToFit="false"/>
      <protection locked="true" hidden="false"/>
    </xf>
    <xf numFmtId="164" fontId="5" fillId="0" borderId="15"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center" vertical="top" textRotation="0" wrapText="false" indent="0" shrinkToFit="false"/>
      <protection locked="true" hidden="false"/>
    </xf>
    <xf numFmtId="164" fontId="13" fillId="0" borderId="15" xfId="0" applyFont="true" applyBorder="true" applyAlignment="true" applyProtection="false">
      <alignment horizontal="general" vertical="top" textRotation="0" wrapText="true" indent="0" shrinkToFit="false"/>
      <protection locked="true" hidden="false"/>
    </xf>
    <xf numFmtId="166" fontId="5" fillId="5" borderId="0" xfId="0" applyFont="true" applyBorder="false" applyAlignment="true" applyProtection="false">
      <alignment horizontal="right" vertical="top" textRotation="0" wrapText="false" indent="0" shrinkToFit="false"/>
      <protection locked="true" hidden="false"/>
    </xf>
    <xf numFmtId="164" fontId="5" fillId="0" borderId="15" xfId="0" applyFont="true" applyBorder="true" applyAlignment="true" applyProtection="false">
      <alignment horizontal="general" vertical="top" textRotation="0" wrapText="false" indent="0" shrinkToFit="false"/>
      <protection locked="true" hidden="false"/>
    </xf>
    <xf numFmtId="166" fontId="5" fillId="6" borderId="0" xfId="0" applyFont="true" applyBorder="false" applyAlignment="true" applyProtection="false">
      <alignment horizontal="right" vertical="top" textRotation="0" wrapText="false" indent="0" shrinkToFit="false"/>
      <protection locked="true" hidden="false"/>
    </xf>
    <xf numFmtId="166" fontId="5" fillId="7" borderId="0" xfId="0" applyFont="true" applyBorder="false" applyAlignment="true" applyProtection="false">
      <alignment horizontal="right" vertical="top" textRotation="0" wrapText="false" indent="0" shrinkToFit="false"/>
      <protection locked="true" hidden="false"/>
    </xf>
    <xf numFmtId="166" fontId="5" fillId="8" borderId="0" xfId="0" applyFont="true" applyBorder="false" applyAlignment="true" applyProtection="false">
      <alignment horizontal="right" vertical="top" textRotation="0" wrapText="false" indent="0" shrinkToFit="false"/>
      <protection locked="true" hidden="false"/>
    </xf>
    <xf numFmtId="166" fontId="5" fillId="9" borderId="0" xfId="0" applyFont="true" applyBorder="false" applyAlignment="true" applyProtection="false">
      <alignment horizontal="right" vertical="top" textRotation="0" wrapText="false" indent="0" shrinkToFit="false"/>
      <protection locked="true" hidden="false"/>
    </xf>
    <xf numFmtId="166" fontId="5" fillId="10" borderId="0" xfId="0" applyFont="true" applyBorder="false" applyAlignment="true" applyProtection="false">
      <alignment horizontal="right" vertical="top" textRotation="0" wrapText="false" indent="0" shrinkToFit="false"/>
      <protection locked="true" hidden="false"/>
    </xf>
    <xf numFmtId="166" fontId="5" fillId="11"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6" fontId="5" fillId="12" borderId="0" xfId="0" applyFont="true" applyBorder="false" applyAlignment="true" applyProtection="false">
      <alignment horizontal="right" vertical="top" textRotation="0" wrapText="false" indent="0" shrinkToFit="false"/>
      <protection locked="true" hidden="false"/>
    </xf>
    <xf numFmtId="166" fontId="5" fillId="13" borderId="0" xfId="0" applyFont="true" applyBorder="false" applyAlignment="true" applyProtection="false">
      <alignment horizontal="right" vertical="top" textRotation="0" wrapText="false" indent="0" shrinkToFit="false"/>
      <protection locked="true" hidden="false"/>
    </xf>
    <xf numFmtId="166" fontId="5" fillId="14" borderId="0" xfId="0" applyFont="true" applyBorder="false" applyAlignment="true" applyProtection="false">
      <alignment horizontal="right" vertical="top" textRotation="0" wrapText="false" indent="0" shrinkToFit="false"/>
      <protection locked="true" hidden="false"/>
    </xf>
    <xf numFmtId="166" fontId="5" fillId="15" borderId="0" xfId="0" applyFont="true" applyBorder="false" applyAlignment="true" applyProtection="false">
      <alignment horizontal="right" vertical="top" textRotation="0" wrapText="false" indent="0" shrinkToFit="false"/>
      <protection locked="true" hidden="false"/>
    </xf>
    <xf numFmtId="166" fontId="5" fillId="16" borderId="0" xfId="0" applyFont="true" applyBorder="false" applyAlignment="true" applyProtection="false">
      <alignment horizontal="right" vertical="top" textRotation="0" wrapText="false" indent="0" shrinkToFit="false"/>
      <protection locked="true" hidden="false"/>
    </xf>
    <xf numFmtId="164" fontId="4" fillId="0" borderId="15" xfId="0" applyFont="true" applyBorder="true" applyAlignment="true" applyProtection="false">
      <alignment horizontal="center" vertical="center" textRotation="90" wrapText="false" indent="0" shrinkToFit="false"/>
      <protection locked="true" hidden="false"/>
    </xf>
    <xf numFmtId="166" fontId="5" fillId="17" borderId="15" xfId="0" applyFont="true" applyBorder="true" applyAlignment="true" applyProtection="false">
      <alignment horizontal="right" vertical="top" textRotation="0" wrapText="false" indent="0" shrinkToFit="false"/>
      <protection locked="true" hidden="false"/>
    </xf>
    <xf numFmtId="166" fontId="5" fillId="18" borderId="0" xfId="0" applyFont="true" applyBorder="false" applyAlignment="true" applyProtection="false">
      <alignment horizontal="right" vertical="top" textRotation="0" wrapText="false" indent="0" shrinkToFit="false"/>
      <protection locked="true" hidden="false"/>
    </xf>
    <xf numFmtId="166" fontId="5" fillId="19" borderId="0" xfId="0" applyFont="true" applyBorder="false" applyAlignment="true" applyProtection="false">
      <alignment horizontal="right" vertical="top" textRotation="0" wrapText="false" indent="0" shrinkToFit="false"/>
      <protection locked="true" hidden="false"/>
    </xf>
    <xf numFmtId="166" fontId="5" fillId="20" borderId="0" xfId="0" applyFont="true" applyBorder="false" applyAlignment="true" applyProtection="false">
      <alignment horizontal="right" vertical="top" textRotation="0" wrapText="false" indent="0" shrinkToFit="false"/>
      <protection locked="true" hidden="false"/>
    </xf>
    <xf numFmtId="164" fontId="14" fillId="0" borderId="0" xfId="0" applyFont="true" applyBorder="true" applyAlignment="true" applyProtection="false">
      <alignment horizontal="center" vertical="bottom" textRotation="90" wrapText="true" indent="0" shrinkToFit="false"/>
      <protection locked="true" hidden="false"/>
    </xf>
    <xf numFmtId="166" fontId="5" fillId="21" borderId="0" xfId="0" applyFont="true" applyBorder="false" applyAlignment="true" applyProtection="false">
      <alignment horizontal="right" vertical="top" textRotation="0" wrapText="false" indent="0" shrinkToFit="false"/>
      <protection locked="true" hidden="false"/>
    </xf>
    <xf numFmtId="166" fontId="5" fillId="22" borderId="0" xfId="0" applyFont="true" applyBorder="false" applyAlignment="true" applyProtection="false">
      <alignment horizontal="right" vertical="top" textRotation="0" wrapText="false" indent="0" shrinkToFit="false"/>
      <protection locked="true" hidden="false"/>
    </xf>
    <xf numFmtId="166" fontId="5" fillId="23" borderId="0" xfId="0" applyFont="true" applyBorder="false" applyAlignment="true" applyProtection="false">
      <alignment horizontal="right" vertical="top" textRotation="0" wrapText="false" indent="0" shrinkToFit="false"/>
      <protection locked="true" hidden="false"/>
    </xf>
    <xf numFmtId="166" fontId="5" fillId="24" borderId="0" xfId="0" applyFont="true" applyBorder="false" applyAlignment="true" applyProtection="false">
      <alignment horizontal="right" vertical="top" textRotation="0" wrapText="false" indent="0" shrinkToFit="false"/>
      <protection locked="true" hidden="false"/>
    </xf>
    <xf numFmtId="166" fontId="5" fillId="25" borderId="0" xfId="0" applyFont="true" applyBorder="false" applyAlignment="true" applyProtection="false">
      <alignment horizontal="right" vertical="top" textRotation="0" wrapText="false" indent="0" shrinkToFit="false"/>
      <protection locked="true" hidden="false"/>
    </xf>
    <xf numFmtId="166" fontId="5" fillId="26" borderId="0" xfId="0" applyFont="true" applyBorder="false" applyAlignment="true" applyProtection="false">
      <alignment horizontal="right" vertical="top" textRotation="0" wrapText="false" indent="0" shrinkToFit="false"/>
      <protection locked="true" hidden="false"/>
    </xf>
    <xf numFmtId="166" fontId="5" fillId="27" borderId="0" xfId="0" applyFont="true" applyBorder="false" applyAlignment="true" applyProtection="false">
      <alignment horizontal="right" vertical="top" textRotation="0" wrapText="false" indent="0" shrinkToFit="false"/>
      <protection locked="true" hidden="false"/>
    </xf>
    <xf numFmtId="166" fontId="5" fillId="28" borderId="0" xfId="0" applyFont="true" applyBorder="false" applyAlignment="true" applyProtection="false">
      <alignment horizontal="right" vertical="top" textRotation="0" wrapText="false" indent="0" shrinkToFit="false"/>
      <protection locked="true" hidden="false"/>
    </xf>
    <xf numFmtId="166" fontId="5" fillId="29" borderId="0" xfId="0" applyFont="true" applyBorder="false" applyAlignment="true" applyProtection="false">
      <alignment horizontal="right" vertical="top" textRotation="0" wrapText="false" indent="0" shrinkToFit="false"/>
      <protection locked="true" hidden="false"/>
    </xf>
    <xf numFmtId="166" fontId="5" fillId="30" borderId="0" xfId="0" applyFont="true" applyBorder="false" applyAlignment="true" applyProtection="false">
      <alignment horizontal="right" vertical="top" textRotation="0" wrapText="false" indent="0" shrinkToFit="false"/>
      <protection locked="true" hidden="false"/>
    </xf>
    <xf numFmtId="166" fontId="5" fillId="31" borderId="0" xfId="0" applyFont="true" applyBorder="false" applyAlignment="true" applyProtection="false">
      <alignment horizontal="right" vertical="top" textRotation="0" wrapText="false" indent="0" shrinkToFit="false"/>
      <protection locked="true" hidden="false"/>
    </xf>
    <xf numFmtId="166" fontId="5" fillId="32" borderId="0" xfId="0" applyFont="true" applyBorder="false" applyAlignment="true" applyProtection="false">
      <alignment horizontal="right" vertical="top" textRotation="0" wrapText="false" indent="0" shrinkToFit="false"/>
      <protection locked="true" hidden="false"/>
    </xf>
    <xf numFmtId="166" fontId="5" fillId="33" borderId="0" xfId="0" applyFont="true" applyBorder="false" applyAlignment="true" applyProtection="false">
      <alignment horizontal="right" vertical="top" textRotation="0" wrapText="false" indent="0" shrinkToFit="false"/>
      <protection locked="true" hidden="false"/>
    </xf>
    <xf numFmtId="166" fontId="5" fillId="34" borderId="0" xfId="0" applyFont="true" applyBorder="false" applyAlignment="true" applyProtection="false">
      <alignment horizontal="right" vertical="top" textRotation="0" wrapText="false" indent="0" shrinkToFit="false"/>
      <protection locked="true" hidden="false"/>
    </xf>
    <xf numFmtId="166" fontId="5" fillId="35" borderId="0" xfId="0" applyFont="true" applyBorder="false" applyAlignment="true" applyProtection="false">
      <alignment horizontal="right" vertical="top" textRotation="0" wrapText="false" indent="0" shrinkToFit="false"/>
      <protection locked="true" hidden="false"/>
    </xf>
    <xf numFmtId="166" fontId="5" fillId="36" borderId="0" xfId="0" applyFont="true" applyBorder="false" applyAlignment="true" applyProtection="false">
      <alignment horizontal="right" vertical="top" textRotation="0" wrapText="false" indent="0" shrinkToFit="false"/>
      <protection locked="true" hidden="false"/>
    </xf>
    <xf numFmtId="166" fontId="5" fillId="37" borderId="0" xfId="0" applyFont="true" applyBorder="false" applyAlignment="true" applyProtection="false">
      <alignment horizontal="right" vertical="top" textRotation="0" wrapText="false" indent="0" shrinkToFit="false"/>
      <protection locked="true" hidden="false"/>
    </xf>
    <xf numFmtId="164" fontId="13" fillId="0" borderId="15" xfId="0" applyFont="true" applyBorder="true" applyAlignment="true" applyProtection="false">
      <alignment horizontal="left" vertical="top" textRotation="0" wrapText="true" indent="0" shrinkToFit="false"/>
      <protection locked="true" hidden="false"/>
    </xf>
    <xf numFmtId="166" fontId="5" fillId="38" borderId="0" xfId="0" applyFont="true" applyBorder="false" applyAlignment="true" applyProtection="false">
      <alignment horizontal="right" vertical="top" textRotation="0" wrapText="false" indent="0" shrinkToFit="false"/>
      <protection locked="true" hidden="false"/>
    </xf>
    <xf numFmtId="166" fontId="5" fillId="39" borderId="0" xfId="0" applyFont="true" applyBorder="false" applyAlignment="true" applyProtection="false">
      <alignment horizontal="right" vertical="top" textRotation="0" wrapText="false" indent="0" shrinkToFit="false"/>
      <protection locked="true" hidden="false"/>
    </xf>
    <xf numFmtId="166" fontId="5" fillId="40" borderId="0" xfId="0" applyFont="true" applyBorder="false" applyAlignment="true" applyProtection="false">
      <alignment horizontal="right" vertical="top" textRotation="0" wrapText="false" indent="0" shrinkToFit="false"/>
      <protection locked="true" hidden="false"/>
    </xf>
    <xf numFmtId="166" fontId="5" fillId="41" borderId="0" xfId="0" applyFont="true" applyBorder="false" applyAlignment="true" applyProtection="false">
      <alignment horizontal="right" vertical="top" textRotation="0" wrapText="false" indent="0" shrinkToFit="false"/>
      <protection locked="true" hidden="false"/>
    </xf>
    <xf numFmtId="166" fontId="5" fillId="42" borderId="0" xfId="0" applyFont="true" applyBorder="false" applyAlignment="true" applyProtection="false">
      <alignment horizontal="right" vertical="top" textRotation="0" wrapText="false" indent="0" shrinkToFit="false"/>
      <protection locked="true" hidden="false"/>
    </xf>
    <xf numFmtId="166" fontId="5" fillId="43" borderId="0" xfId="0" applyFont="true" applyBorder="false" applyAlignment="true" applyProtection="false">
      <alignment horizontal="right" vertical="top" textRotation="0" wrapText="false" indent="0" shrinkToFit="false"/>
      <protection locked="true" hidden="false"/>
    </xf>
    <xf numFmtId="166" fontId="5" fillId="44" borderId="0" xfId="0" applyFont="true" applyBorder="false" applyAlignment="true" applyProtection="false">
      <alignment horizontal="right" vertical="top" textRotation="0" wrapText="false" indent="0" shrinkToFit="false"/>
      <protection locked="true" hidden="false"/>
    </xf>
    <xf numFmtId="164" fontId="14" fillId="0" borderId="15" xfId="0" applyFont="true" applyBorder="true" applyAlignment="true" applyProtection="false">
      <alignment horizontal="center" vertical="bottom" textRotation="90" wrapText="false" indent="0" shrinkToFit="false"/>
      <protection locked="true" hidden="false"/>
    </xf>
    <xf numFmtId="166" fontId="5" fillId="17" borderId="0" xfId="0" applyFont="true" applyBorder="false" applyAlignment="true" applyProtection="false">
      <alignment horizontal="right"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right" vertical="bottom" textRotation="0" wrapText="false" indent="0" shrinkToFit="false"/>
      <protection locked="true" hidden="false"/>
    </xf>
    <xf numFmtId="166" fontId="5" fillId="45"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true" applyProtection="false">
      <alignment horizontal="center" vertical="top"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6" fontId="5" fillId="46" borderId="0" xfId="0" applyFont="true" applyBorder="false" applyAlignment="true" applyProtection="false">
      <alignment horizontal="center" vertical="bottom" textRotation="0" wrapText="false" indent="0" shrinkToFit="false"/>
      <protection locked="true" hidden="false"/>
    </xf>
    <xf numFmtId="166" fontId="5" fillId="47" borderId="0" xfId="0" applyFont="true" applyBorder="false" applyAlignment="true" applyProtection="false">
      <alignment horizontal="center" vertical="bottom" textRotation="0" wrapText="false" indent="0" shrinkToFit="false"/>
      <protection locked="true" hidden="false"/>
    </xf>
    <xf numFmtId="166" fontId="5" fillId="48" borderId="0" xfId="0" applyFont="true" applyBorder="false" applyAlignment="true" applyProtection="false">
      <alignment horizontal="center" vertical="bottom" textRotation="0" wrapText="false" indent="0" shrinkToFit="false"/>
      <protection locked="true" hidden="false"/>
    </xf>
    <xf numFmtId="166" fontId="5" fillId="49" borderId="0" xfId="0" applyFont="true" applyBorder="false" applyAlignment="true" applyProtection="false">
      <alignment horizontal="center" vertical="bottom" textRotation="0" wrapText="false" indent="0" shrinkToFit="false"/>
      <protection locked="true" hidden="false"/>
    </xf>
    <xf numFmtId="166" fontId="5" fillId="27" borderId="0" xfId="0" applyFont="true" applyBorder="false" applyAlignment="true" applyProtection="false">
      <alignment horizontal="center" vertical="bottom" textRotation="0" wrapText="false" indent="0" shrinkToFit="false"/>
      <protection locked="true" hidden="false"/>
    </xf>
    <xf numFmtId="166" fontId="5" fillId="7" borderId="0" xfId="0" applyFont="true" applyBorder="false" applyAlignment="true" applyProtection="false">
      <alignment horizontal="center" vertical="bottom" textRotation="0" wrapText="false" indent="0" shrinkToFit="false"/>
      <protection locked="true" hidden="false"/>
    </xf>
    <xf numFmtId="166" fontId="5" fillId="28" borderId="0" xfId="0" applyFont="true" applyBorder="false" applyAlignment="true" applyProtection="false">
      <alignment horizontal="center" vertical="bottom" textRotation="0" wrapText="false" indent="0" shrinkToFit="false"/>
      <protection locked="true" hidden="false"/>
    </xf>
    <xf numFmtId="166" fontId="5" fillId="41" borderId="0" xfId="0" applyFont="true" applyBorder="false" applyAlignment="true" applyProtection="false">
      <alignment horizontal="center" vertical="bottom" textRotation="0" wrapText="false" indent="0" shrinkToFit="false"/>
      <protection locked="true" hidden="false"/>
    </xf>
    <xf numFmtId="166" fontId="5" fillId="15" borderId="0" xfId="0" applyFont="true" applyBorder="false" applyAlignment="true" applyProtection="false">
      <alignment horizontal="center" vertical="bottom" textRotation="0" wrapText="false" indent="0" shrinkToFit="false"/>
      <protection locked="true" hidden="false"/>
    </xf>
    <xf numFmtId="166" fontId="5" fillId="40" borderId="0" xfId="0" applyFont="true" applyBorder="false" applyAlignment="true" applyProtection="false">
      <alignment horizontal="center" vertical="bottom" textRotation="0" wrapText="false" indent="0" shrinkToFit="false"/>
      <protection locked="true" hidden="false"/>
    </xf>
    <xf numFmtId="166" fontId="5" fillId="50" borderId="0" xfId="0" applyFont="true" applyBorder="false" applyAlignment="true" applyProtection="false">
      <alignment horizontal="center" vertical="bottom" textRotation="0" wrapText="false" indent="0" shrinkToFit="false"/>
      <protection locked="true" hidden="false"/>
    </xf>
    <xf numFmtId="166" fontId="5" fillId="51" borderId="0" xfId="0" applyFont="true" applyBorder="false" applyAlignment="true" applyProtection="false">
      <alignment horizontal="center" vertical="bottom" textRotation="0" wrapText="false" indent="0" shrinkToFit="false"/>
      <protection locked="true" hidden="false"/>
    </xf>
    <xf numFmtId="166" fontId="5" fillId="52" borderId="0" xfId="0" applyFont="true" applyBorder="false" applyAlignment="true" applyProtection="false">
      <alignment horizontal="center" vertical="bottom" textRotation="0" wrapText="false" indent="0" shrinkToFit="false"/>
      <protection locked="true" hidden="false"/>
    </xf>
    <xf numFmtId="166" fontId="5" fillId="53" borderId="0" xfId="0" applyFont="true" applyBorder="false" applyAlignment="true" applyProtection="false">
      <alignment horizontal="center" vertical="bottom" textRotation="0" wrapText="false" indent="0" shrinkToFit="false"/>
      <protection locked="true" hidden="false"/>
    </xf>
    <xf numFmtId="166" fontId="5" fillId="21" borderId="0" xfId="0" applyFont="true" applyBorder="false" applyAlignment="true" applyProtection="false">
      <alignment horizontal="center" vertical="bottom" textRotation="0" wrapText="false" indent="0" shrinkToFit="false"/>
      <protection locked="true" hidden="false"/>
    </xf>
    <xf numFmtId="166" fontId="5" fillId="54" borderId="0" xfId="0" applyFont="true" applyBorder="false" applyAlignment="true" applyProtection="false">
      <alignment horizontal="center" vertical="bottom" textRotation="0" wrapText="false" indent="0" shrinkToFit="false"/>
      <protection locked="true" hidden="false"/>
    </xf>
    <xf numFmtId="166" fontId="5" fillId="55" borderId="0" xfId="0" applyFont="true" applyBorder="false" applyAlignment="true" applyProtection="false">
      <alignment horizontal="center" vertical="bottom" textRotation="0" wrapText="false" indent="0" shrinkToFit="false"/>
      <protection locked="true" hidden="false"/>
    </xf>
    <xf numFmtId="166" fontId="5" fillId="14" borderId="0" xfId="0" applyFont="true" applyBorder="false" applyAlignment="true" applyProtection="false">
      <alignment horizontal="center" vertical="bottom" textRotation="0" wrapText="false" indent="0" shrinkToFit="false"/>
      <protection locked="true" hidden="false"/>
    </xf>
    <xf numFmtId="166" fontId="5" fillId="11" borderId="0" xfId="0" applyFont="true" applyBorder="false" applyAlignment="true" applyProtection="false">
      <alignment horizontal="center" vertical="bottom" textRotation="0" wrapText="false" indent="0" shrinkToFit="false"/>
      <protection locked="true" hidden="false"/>
    </xf>
    <xf numFmtId="166" fontId="5" fillId="56" borderId="0" xfId="0" applyFont="true" applyBorder="false" applyAlignment="true" applyProtection="false">
      <alignment horizontal="center" vertical="bottom" textRotation="0" wrapText="false" indent="0" shrinkToFit="false"/>
      <protection locked="true" hidden="false"/>
    </xf>
    <xf numFmtId="166" fontId="5" fillId="57" borderId="0" xfId="0" applyFont="true" applyBorder="false" applyAlignment="true" applyProtection="false">
      <alignment horizontal="center" vertical="bottom" textRotation="0" wrapText="false" indent="0" shrinkToFit="false"/>
      <protection locked="true" hidden="false"/>
    </xf>
    <xf numFmtId="166" fontId="5" fillId="58" borderId="0" xfId="0" applyFont="true" applyBorder="false" applyAlignment="true" applyProtection="false">
      <alignment horizontal="center" vertical="bottom" textRotation="0" wrapText="false" indent="0" shrinkToFit="false"/>
      <protection locked="true" hidden="false"/>
    </xf>
    <xf numFmtId="166" fontId="5" fillId="59" borderId="0" xfId="0" applyFont="true" applyBorder="false" applyAlignment="true" applyProtection="false">
      <alignment horizontal="center" vertical="bottom" textRotation="0" wrapText="false" indent="0" shrinkToFit="false"/>
      <protection locked="true" hidden="false"/>
    </xf>
    <xf numFmtId="166" fontId="5" fillId="60" borderId="0" xfId="0" applyFont="true" applyBorder="false" applyAlignment="true" applyProtection="false">
      <alignment horizontal="center" vertical="bottom" textRotation="0" wrapText="false" indent="0" shrinkToFit="false"/>
      <protection locked="true" hidden="false"/>
    </xf>
    <xf numFmtId="166" fontId="5" fillId="22" borderId="0" xfId="0" applyFont="true" applyBorder="false" applyAlignment="true" applyProtection="false">
      <alignment horizontal="center" vertical="bottom" textRotation="0" wrapText="false" indent="0" shrinkToFit="false"/>
      <protection locked="true" hidden="false"/>
    </xf>
    <xf numFmtId="166" fontId="5" fillId="42" borderId="0" xfId="0" applyFont="true" applyBorder="false" applyAlignment="true" applyProtection="false">
      <alignment horizontal="center" vertical="bottom" textRotation="0" wrapText="false" indent="0" shrinkToFit="false"/>
      <protection locked="true" hidden="false"/>
    </xf>
    <xf numFmtId="166" fontId="5" fillId="9" borderId="0" xfId="0" applyFont="true" applyBorder="false" applyAlignment="true" applyProtection="false">
      <alignment horizontal="center" vertical="bottom" textRotation="0" wrapText="false" indent="0" shrinkToFit="false"/>
      <protection locked="true" hidden="false"/>
    </xf>
    <xf numFmtId="166" fontId="5" fillId="61" borderId="0" xfId="0" applyFont="true" applyBorder="false" applyAlignment="true" applyProtection="false">
      <alignment horizontal="center" vertical="bottom" textRotation="0" wrapText="false" indent="0" shrinkToFit="false"/>
      <protection locked="true" hidden="false"/>
    </xf>
    <xf numFmtId="166" fontId="5" fillId="8" borderId="0" xfId="0" applyFont="true" applyBorder="false" applyAlignment="true" applyProtection="false">
      <alignment horizontal="center" vertical="bottom" textRotation="0" wrapText="false" indent="0" shrinkToFit="false"/>
      <protection locked="true" hidden="false"/>
    </xf>
    <xf numFmtId="166" fontId="5" fillId="62" borderId="0" xfId="0" applyFont="true" applyBorder="false" applyAlignment="true" applyProtection="false">
      <alignment horizontal="center" vertical="bottom" textRotation="0" wrapText="false" indent="0" shrinkToFit="false"/>
      <protection locked="true" hidden="false"/>
    </xf>
    <xf numFmtId="166" fontId="5" fillId="63" borderId="0" xfId="0" applyFont="true" applyBorder="false" applyAlignment="true" applyProtection="false">
      <alignment horizontal="center" vertical="bottom" textRotation="0" wrapText="false" indent="0" shrinkToFit="false"/>
      <protection locked="true" hidden="false"/>
    </xf>
    <xf numFmtId="166" fontId="5" fillId="31" borderId="0" xfId="0" applyFont="true" applyBorder="false" applyAlignment="true" applyProtection="false">
      <alignment horizontal="center" vertical="bottom" textRotation="0" wrapText="false" indent="0" shrinkToFit="false"/>
      <protection locked="true" hidden="false"/>
    </xf>
    <xf numFmtId="166" fontId="5" fillId="30" borderId="0" xfId="0" applyFont="true" applyBorder="false" applyAlignment="true" applyProtection="false">
      <alignment horizontal="center" vertical="bottom" textRotation="0" wrapText="false" indent="0" shrinkToFit="false"/>
      <protection locked="true" hidden="false"/>
    </xf>
    <xf numFmtId="166" fontId="5" fillId="64" borderId="0" xfId="0" applyFont="true" applyBorder="false" applyAlignment="true" applyProtection="false">
      <alignment horizontal="center" vertical="bottom" textRotation="0" wrapText="false" indent="0" shrinkToFit="false"/>
      <protection locked="true" hidden="false"/>
    </xf>
    <xf numFmtId="166" fontId="5" fillId="65" borderId="0" xfId="0" applyFont="true" applyBorder="false" applyAlignment="true" applyProtection="false">
      <alignment horizontal="center" vertical="bottom" textRotation="0" wrapText="false" indent="0" shrinkToFit="false"/>
      <protection locked="true" hidden="false"/>
    </xf>
    <xf numFmtId="166" fontId="5" fillId="66" borderId="0" xfId="0" applyFont="true" applyBorder="false" applyAlignment="true" applyProtection="false">
      <alignment horizontal="center" vertical="bottom" textRotation="0" wrapText="false" indent="0" shrinkToFit="false"/>
      <protection locked="true" hidden="false"/>
    </xf>
    <xf numFmtId="166" fontId="5" fillId="67" borderId="0" xfId="0" applyFont="true" applyBorder="false" applyAlignment="true" applyProtection="false">
      <alignment horizontal="center" vertical="bottom" textRotation="0" wrapText="false" indent="0" shrinkToFit="false"/>
      <protection locked="true" hidden="false"/>
    </xf>
    <xf numFmtId="166" fontId="5" fillId="68" borderId="0" xfId="0" applyFont="true" applyBorder="false" applyAlignment="true" applyProtection="false">
      <alignment horizontal="center" vertical="bottom" textRotation="0" wrapText="false" indent="0" shrinkToFit="false"/>
      <protection locked="true" hidden="false"/>
    </xf>
    <xf numFmtId="166" fontId="5" fillId="26" borderId="0" xfId="0" applyFont="true" applyBorder="false" applyAlignment="true" applyProtection="false">
      <alignment horizontal="center" vertical="bottom" textRotation="0" wrapText="false" indent="0" shrinkToFit="false"/>
      <protection locked="true" hidden="false"/>
    </xf>
    <xf numFmtId="166" fontId="5" fillId="69" borderId="0" xfId="0" applyFont="true" applyBorder="false" applyAlignment="true" applyProtection="false">
      <alignment horizontal="center" vertical="bottom" textRotation="0" wrapText="false" indent="0" shrinkToFit="false"/>
      <protection locked="true" hidden="false"/>
    </xf>
    <xf numFmtId="166" fontId="5" fillId="70" borderId="0" xfId="0" applyFont="true" applyBorder="false" applyAlignment="true" applyProtection="false">
      <alignment horizontal="center" vertical="bottom" textRotation="0" wrapText="false" indent="0" shrinkToFit="false"/>
      <protection locked="true" hidden="false"/>
    </xf>
    <xf numFmtId="166" fontId="5" fillId="71" borderId="0" xfId="0" applyFont="true" applyBorder="false" applyAlignment="true" applyProtection="false">
      <alignment horizontal="center" vertical="bottom" textRotation="0" wrapText="false" indent="0" shrinkToFit="false"/>
      <protection locked="true" hidden="false"/>
    </xf>
    <xf numFmtId="166" fontId="5" fillId="72" borderId="0" xfId="0" applyFont="true" applyBorder="false" applyAlignment="true" applyProtection="false">
      <alignment horizontal="center" vertical="bottom" textRotation="0" wrapText="false" indent="0" shrinkToFit="false"/>
      <protection locked="true" hidden="false"/>
    </xf>
    <xf numFmtId="166" fontId="5" fillId="73" borderId="0" xfId="0" applyFont="true" applyBorder="false" applyAlignment="true" applyProtection="false">
      <alignment horizontal="center" vertical="bottom" textRotation="0" wrapText="false" indent="0" shrinkToFit="false"/>
      <protection locked="true" hidden="false"/>
    </xf>
    <xf numFmtId="166" fontId="5" fillId="74" borderId="0" xfId="0" applyFont="true" applyBorder="false" applyAlignment="true" applyProtection="false">
      <alignment horizontal="center" vertical="bottom" textRotation="0" wrapText="false" indent="0" shrinkToFit="false"/>
      <protection locked="true" hidden="false"/>
    </xf>
    <xf numFmtId="166" fontId="5" fillId="75" borderId="0" xfId="0" applyFont="true" applyBorder="false" applyAlignment="true" applyProtection="false">
      <alignment horizontal="center" vertical="bottom" textRotation="0" wrapText="false" indent="0" shrinkToFit="false"/>
      <protection locked="true" hidden="false"/>
    </xf>
    <xf numFmtId="166" fontId="5" fillId="76" borderId="0" xfId="0" applyFont="true" applyBorder="false" applyAlignment="true" applyProtection="false">
      <alignment horizontal="center" vertical="bottom" textRotation="0" wrapText="false" indent="0" shrinkToFit="false"/>
      <protection locked="true" hidden="false"/>
    </xf>
    <xf numFmtId="166" fontId="5" fillId="77" borderId="0" xfId="0" applyFont="true" applyBorder="false" applyAlignment="true" applyProtection="false">
      <alignment horizontal="center" vertical="bottom" textRotation="0" wrapText="false" indent="0" shrinkToFit="false"/>
      <protection locked="true" hidden="false"/>
    </xf>
    <xf numFmtId="166" fontId="5" fillId="78" borderId="0" xfId="0" applyFont="true" applyBorder="false" applyAlignment="true" applyProtection="false">
      <alignment horizontal="center" vertical="bottom" textRotation="0" wrapText="false" indent="0" shrinkToFit="false"/>
      <protection locked="true" hidden="false"/>
    </xf>
    <xf numFmtId="166" fontId="5" fillId="33" borderId="0" xfId="0" applyFont="true" applyBorder="false" applyAlignment="true" applyProtection="false">
      <alignment horizontal="center" vertical="bottom" textRotation="0" wrapText="false" indent="0" shrinkToFit="false"/>
      <protection locked="true" hidden="false"/>
    </xf>
    <xf numFmtId="166" fontId="5" fillId="79" borderId="0" xfId="0" applyFont="true" applyBorder="false" applyAlignment="true" applyProtection="false">
      <alignment horizontal="center" vertical="bottom" textRotation="0" wrapText="false" indent="0" shrinkToFit="false"/>
      <protection locked="true" hidden="false"/>
    </xf>
    <xf numFmtId="166" fontId="5" fillId="80" borderId="0" xfId="0" applyFont="true" applyBorder="false" applyAlignment="true" applyProtection="false">
      <alignment horizontal="center" vertical="bottom" textRotation="0" wrapText="false" indent="0" shrinkToFit="false"/>
      <protection locked="true" hidden="false"/>
    </xf>
    <xf numFmtId="166" fontId="5" fillId="81" borderId="0" xfId="0" applyFont="true" applyBorder="false" applyAlignment="true" applyProtection="false">
      <alignment horizontal="center" vertical="bottom" textRotation="0" wrapText="false" indent="0" shrinkToFit="false"/>
      <protection locked="true" hidden="false"/>
    </xf>
    <xf numFmtId="166" fontId="5" fillId="82" borderId="0" xfId="0" applyFont="true" applyBorder="false" applyAlignment="true" applyProtection="false">
      <alignment horizontal="center" vertical="bottom" textRotation="0" wrapText="false" indent="0" shrinkToFit="false"/>
      <protection locked="true" hidden="false"/>
    </xf>
    <xf numFmtId="166" fontId="5" fillId="83" borderId="0" xfId="0" applyFont="true" applyBorder="false" applyAlignment="true" applyProtection="false">
      <alignment horizontal="center" vertical="bottom" textRotation="0" wrapText="false" indent="0" shrinkToFit="false"/>
      <protection locked="true" hidden="false"/>
    </xf>
    <xf numFmtId="166" fontId="5" fillId="84" borderId="0" xfId="0" applyFont="true" applyBorder="false" applyAlignment="true" applyProtection="false">
      <alignment horizontal="center" vertical="bottom" textRotation="0" wrapText="false" indent="0" shrinkToFit="false"/>
      <protection locked="true" hidden="false"/>
    </xf>
    <xf numFmtId="166" fontId="5" fillId="85" borderId="0" xfId="0" applyFont="true" applyBorder="false" applyAlignment="true" applyProtection="false">
      <alignment horizontal="center" vertical="bottom" textRotation="0" wrapText="false" indent="0" shrinkToFit="false"/>
      <protection locked="true" hidden="false"/>
    </xf>
    <xf numFmtId="166" fontId="5" fillId="86" borderId="0" xfId="0" applyFont="true" applyBorder="false" applyAlignment="true" applyProtection="false">
      <alignment horizontal="center" vertical="bottom" textRotation="0" wrapText="false" indent="0" shrinkToFit="false"/>
      <protection locked="true" hidden="false"/>
    </xf>
    <xf numFmtId="166" fontId="5" fillId="87" borderId="0" xfId="0" applyFont="true" applyBorder="false" applyAlignment="true" applyProtection="false">
      <alignment horizontal="center" vertical="bottom" textRotation="0" wrapText="false" indent="0" shrinkToFit="false"/>
      <protection locked="true" hidden="false"/>
    </xf>
    <xf numFmtId="166" fontId="5" fillId="88" borderId="0" xfId="0" applyFont="true" applyBorder="false" applyAlignment="true" applyProtection="false">
      <alignment horizontal="center" vertical="bottom" textRotation="0" wrapText="false" indent="0" shrinkToFit="false"/>
      <protection locked="true" hidden="false"/>
    </xf>
    <xf numFmtId="166" fontId="5" fillId="23" borderId="0" xfId="0" applyFont="true" applyBorder="false" applyAlignment="true" applyProtection="false">
      <alignment horizontal="center" vertical="bottom" textRotation="0" wrapText="false" indent="0" shrinkToFit="false"/>
      <protection locked="true" hidden="false"/>
    </xf>
    <xf numFmtId="166" fontId="5" fillId="89"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true" applyProtection="false">
      <alignment horizontal="center" vertical="bottom" textRotation="0" wrapText="false" indent="0" shrinkToFit="false"/>
      <protection locked="true" hidden="false"/>
    </xf>
    <xf numFmtId="166" fontId="5" fillId="90" borderId="0" xfId="0" applyFont="true" applyBorder="false" applyAlignment="true" applyProtection="false">
      <alignment horizontal="center" vertical="bottom" textRotation="0" wrapText="false" indent="0" shrinkToFit="false"/>
      <protection locked="true" hidden="false"/>
    </xf>
    <xf numFmtId="166" fontId="5" fillId="91" borderId="0" xfId="0" applyFont="true" applyBorder="false" applyAlignment="true" applyProtection="false">
      <alignment horizontal="center" vertical="bottom" textRotation="0" wrapText="false" indent="0" shrinkToFit="false"/>
      <protection locked="true" hidden="false"/>
    </xf>
    <xf numFmtId="166" fontId="5" fillId="3" borderId="0" xfId="0" applyFont="true" applyBorder="false" applyAlignment="true" applyProtection="false">
      <alignment horizontal="center" vertical="bottom" textRotation="0" wrapText="false" indent="0" shrinkToFit="false"/>
      <protection locked="true" hidden="false"/>
    </xf>
    <xf numFmtId="166" fontId="5" fillId="92" borderId="0" xfId="0" applyFont="true" applyBorder="false" applyAlignment="true" applyProtection="false">
      <alignment horizontal="center" vertical="bottom" textRotation="0" wrapText="false" indent="0" shrinkToFit="false"/>
      <protection locked="true" hidden="false"/>
    </xf>
    <xf numFmtId="166" fontId="5" fillId="93" borderId="0" xfId="0" applyFont="true" applyBorder="false" applyAlignment="true" applyProtection="false">
      <alignment horizontal="center" vertical="bottom" textRotation="0" wrapText="false" indent="0" shrinkToFit="false"/>
      <protection locked="true" hidden="false"/>
    </xf>
    <xf numFmtId="166" fontId="5" fillId="94"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6">
    <dxf>
      <fill>
        <patternFill patternType="solid">
          <bgColor rgb="FF000000"/>
        </patternFill>
      </fill>
    </dxf>
    <dxf>
      <fill>
        <patternFill patternType="solid">
          <fgColor rgb="FF000000"/>
          <bgColor rgb="FF000000"/>
        </patternFill>
      </fill>
    </dxf>
    <dxf>
      <fill>
        <patternFill patternType="solid">
          <fgColor rgb="FFEC9A93"/>
          <bgColor rgb="FF000000"/>
        </patternFill>
      </fill>
    </dxf>
    <dxf>
      <fill>
        <patternFill patternType="solid">
          <fgColor rgb="FFEEA29B"/>
          <bgColor rgb="FF000000"/>
        </patternFill>
      </fill>
    </dxf>
    <dxf>
      <fill>
        <patternFill patternType="solid">
          <fgColor rgb="FFFAE2E0"/>
          <bgColor rgb="FF000000"/>
        </patternFill>
      </fill>
    </dxf>
    <dxf>
      <fill>
        <patternFill patternType="solid">
          <fgColor rgb="FFFAE4E2"/>
          <bgColor rgb="FF000000"/>
        </patternFill>
      </fill>
    </dxf>
    <dxf>
      <fill>
        <patternFill patternType="solid">
          <fgColor rgb="FFFBE7E6"/>
          <bgColor rgb="FF000000"/>
        </patternFill>
      </fill>
    </dxf>
    <dxf>
      <fill>
        <patternFill patternType="solid">
          <fgColor rgb="FFFCECEA"/>
          <bgColor rgb="FF000000"/>
        </patternFill>
      </fill>
    </dxf>
    <dxf>
      <fill>
        <patternFill patternType="solid">
          <fgColor rgb="FFFCECEB"/>
          <bgColor rgb="FF000000"/>
        </patternFill>
      </fill>
    </dxf>
    <dxf>
      <fill>
        <patternFill patternType="solid">
          <fgColor rgb="FFFDF0EF"/>
          <bgColor rgb="FF000000"/>
        </patternFill>
      </fill>
    </dxf>
    <dxf>
      <fill>
        <patternFill patternType="solid">
          <fgColor rgb="FFFDF3F2"/>
          <bgColor rgb="FF000000"/>
        </patternFill>
      </fill>
    </dxf>
    <dxf>
      <fill>
        <patternFill patternType="solid">
          <fgColor rgb="FFFDF5F4"/>
          <bgColor rgb="FF000000"/>
        </patternFill>
      </fill>
    </dxf>
    <dxf>
      <fill>
        <patternFill patternType="solid">
          <fgColor rgb="FFFEF5F4"/>
          <bgColor rgb="FF000000"/>
        </patternFill>
      </fill>
    </dxf>
    <dxf>
      <fill>
        <patternFill patternType="solid">
          <fgColor rgb="FFFEF6F5"/>
          <bgColor rgb="FF000000"/>
        </patternFill>
      </fill>
    </dxf>
    <dxf>
      <fill>
        <patternFill patternType="solid">
          <fgColor rgb="FFFEF8F7"/>
          <bgColor rgb="FF000000"/>
        </patternFill>
      </fill>
    </dxf>
    <dxf>
      <fill>
        <patternFill patternType="solid">
          <fgColor rgb="FFFEF9F8"/>
          <bgColor rgb="FF000000"/>
        </patternFill>
      </fill>
    </dxf>
    <dxf>
      <fill>
        <patternFill patternType="solid">
          <fgColor rgb="FFFFFBFB"/>
          <bgColor rgb="FF000000"/>
        </patternFill>
      </fill>
    </dxf>
    <dxf>
      <fill>
        <patternFill patternType="solid">
          <fgColor rgb="FFBCCFD0"/>
          <bgColor rgb="FF000000"/>
        </patternFill>
      </fill>
    </dxf>
    <dxf>
      <fill>
        <patternFill patternType="solid">
          <fgColor rgb="FFCBD4C4"/>
          <bgColor rgb="FF000000"/>
        </patternFill>
      </fill>
    </dxf>
    <dxf>
      <fill>
        <patternFill patternType="solid">
          <fgColor rgb="FFD4D7BC"/>
          <bgColor rgb="FF000000"/>
        </patternFill>
      </fill>
    </dxf>
    <dxf>
      <fill>
        <patternFill patternType="solid">
          <fgColor rgb="FFD9D9B8"/>
          <bgColor rgb="FF000000"/>
        </patternFill>
      </fill>
    </dxf>
    <dxf>
      <fill>
        <patternFill patternType="solid">
          <fgColor rgb="FFE3DCB0"/>
          <bgColor rgb="FF000000"/>
        </patternFill>
      </fill>
    </dxf>
    <dxf>
      <fill>
        <patternFill patternType="solid">
          <fgColor rgb="FFEFAC99"/>
          <bgColor rgb="FF000000"/>
        </patternFill>
      </fill>
    </dxf>
    <dxf>
      <fill>
        <patternFill patternType="solid">
          <fgColor rgb="FFF1E1A4"/>
          <bgColor rgb="FF000000"/>
        </patternFill>
      </fill>
    </dxf>
    <dxf>
      <fill>
        <patternFill patternType="solid">
          <fgColor rgb="FFF4BF99"/>
          <bgColor rgb="FF000000"/>
        </patternFill>
      </fill>
    </dxf>
    <dxf>
      <fill>
        <patternFill patternType="solid">
          <fgColor rgb="FFF5C299"/>
          <bgColor rgb="FF000000"/>
        </patternFill>
      </fill>
    </dxf>
    <dxf>
      <fill>
        <patternFill patternType="solid">
          <fgColor rgb="FFF6C699"/>
          <bgColor rgb="FF000000"/>
        </patternFill>
      </fill>
    </dxf>
    <dxf>
      <fill>
        <patternFill patternType="solid">
          <fgColor rgb="FFF6E2A0"/>
          <bgColor rgb="FF000000"/>
        </patternFill>
      </fill>
    </dxf>
    <dxf>
      <fill>
        <patternFill patternType="solid">
          <fgColor rgb="FFFAD599"/>
          <bgColor rgb="FF000000"/>
        </patternFill>
      </fill>
    </dxf>
    <dxf>
      <fill>
        <patternFill patternType="solid">
          <fgColor rgb="FFFBD999"/>
          <bgColor rgb="FF000000"/>
        </patternFill>
      </fill>
    </dxf>
    <dxf>
      <fill>
        <patternFill patternType="solid">
          <fgColor rgb="FFFCDD99"/>
          <bgColor rgb="FF000000"/>
        </patternFill>
      </fill>
    </dxf>
    <dxf>
      <fill>
        <patternFill patternType="solid">
          <fgColor rgb="FFFFE599"/>
          <bgColor rgb="FF000000"/>
        </patternFill>
      </fill>
    </dxf>
    <dxf>
      <fill>
        <patternFill patternType="solid">
          <fgColor rgb="FFAECADC"/>
          <bgColor rgb="FF000000"/>
        </patternFill>
      </fill>
    </dxf>
    <dxf>
      <fill>
        <patternFill patternType="solid">
          <fgColor rgb="FFB3CCD8"/>
          <bgColor rgb="FF000000"/>
        </patternFill>
      </fill>
    </dxf>
    <dxf>
      <fill>
        <patternFill patternType="solid">
          <fgColor rgb="FFB7CDD4"/>
          <bgColor rgb="FF000000"/>
        </patternFill>
      </fill>
    </dxf>
    <dxf>
      <fill>
        <patternFill patternType="solid">
          <fgColor rgb="FFC1D1CC"/>
          <bgColor rgb="FF000000"/>
        </patternFill>
      </fill>
    </dxf>
    <dxf>
      <fill>
        <patternFill patternType="solid">
          <fgColor rgb="FFC6D2C8"/>
          <bgColor rgb="FF000000"/>
        </patternFill>
      </fill>
    </dxf>
    <dxf>
      <fill>
        <patternFill patternType="solid">
          <fgColor rgb="FFCFD5C0"/>
          <bgColor rgb="FF000000"/>
        </patternFill>
      </fill>
    </dxf>
    <dxf>
      <fill>
        <patternFill patternType="solid">
          <fgColor rgb="FFE7DDAC"/>
          <bgColor rgb="FF000000"/>
        </patternFill>
      </fill>
    </dxf>
    <dxf>
      <fill>
        <patternFill patternType="solid">
          <fgColor rgb="FFECDFA8"/>
          <bgColor rgb="FF000000"/>
        </patternFill>
      </fill>
    </dxf>
    <dxf>
      <fill>
        <patternFill patternType="solid">
          <fgColor rgb="FF9FC5E8"/>
          <bgColor rgb="FF000000"/>
        </patternFill>
      </fill>
    </dxf>
    <dxf>
      <fill>
        <patternFill patternType="solid">
          <fgColor rgb="FFEDA499"/>
          <bgColor rgb="FF000000"/>
        </patternFill>
      </fill>
    </dxf>
    <dxf>
      <fill>
        <patternFill patternType="solid">
          <fgColor rgb="FFF7CA99"/>
          <bgColor rgb="FF000000"/>
        </patternFill>
      </fill>
    </dxf>
    <dxf>
      <fill>
        <patternFill patternType="solid">
          <fgColor rgb="FFFBE49C"/>
          <bgColor rgb="FF000000"/>
        </patternFill>
      </fill>
    </dxf>
    <dxf>
      <fill>
        <patternFill patternType="solid">
          <fgColor rgb="FFFDE199"/>
          <bgColor rgb="FF000000"/>
        </patternFill>
      </fill>
    </dxf>
    <dxf>
      <fill>
        <patternFill patternType="solid">
          <fgColor rgb="FFDEDAB4"/>
          <bgColor rgb="FF000000"/>
        </patternFill>
      </fill>
    </dxf>
    <dxf>
      <fill>
        <patternFill patternType="solid">
          <fgColor rgb="FFB8CED3"/>
          <bgColor rgb="FF000000"/>
        </patternFill>
      </fill>
    </dxf>
    <dxf>
      <fill>
        <patternFill patternType="solid">
          <fgColor rgb="FFC4D2C9"/>
          <bgColor rgb="FF000000"/>
        </patternFill>
      </fill>
    </dxf>
    <dxf>
      <fill>
        <patternFill patternType="solid">
          <fgColor rgb="FFC5D2C9"/>
          <bgColor rgb="FF000000"/>
        </patternFill>
      </fill>
    </dxf>
    <dxf>
      <fill>
        <patternFill patternType="solid">
          <fgColor rgb="FFC7D3C7"/>
          <bgColor rgb="FF000000"/>
        </patternFill>
      </fill>
    </dxf>
    <dxf>
      <fill>
        <patternFill patternType="solid">
          <fgColor rgb="FFC8D3C6"/>
          <bgColor rgb="FF000000"/>
        </patternFill>
      </fill>
    </dxf>
    <dxf>
      <fill>
        <patternFill patternType="solid">
          <fgColor rgb="FFCCD4C3"/>
          <bgColor rgb="FF000000"/>
        </patternFill>
      </fill>
    </dxf>
    <dxf>
      <fill>
        <patternFill patternType="solid">
          <fgColor rgb="FFCED5C2"/>
          <bgColor rgb="FF000000"/>
        </patternFill>
      </fill>
    </dxf>
    <dxf>
      <fill>
        <patternFill patternType="solid">
          <fgColor rgb="FFD3D7BD"/>
          <bgColor rgb="FF000000"/>
        </patternFill>
      </fill>
    </dxf>
    <dxf>
      <fill>
        <patternFill patternType="solid">
          <fgColor rgb="FFD5D7BB"/>
          <bgColor rgb="FF000000"/>
        </patternFill>
      </fill>
    </dxf>
    <dxf>
      <fill>
        <patternFill patternType="solid">
          <fgColor rgb="FFD7D8BA"/>
          <bgColor rgb="FF000000"/>
        </patternFill>
      </fill>
    </dxf>
    <dxf>
      <fill>
        <patternFill patternType="solid">
          <fgColor rgb="FFDCDAB6"/>
          <bgColor rgb="FF000000"/>
        </patternFill>
      </fill>
    </dxf>
    <dxf>
      <fill>
        <patternFill patternType="solid">
          <fgColor rgb="FFE0DBB3"/>
          <bgColor rgb="FF000000"/>
        </patternFill>
      </fill>
    </dxf>
    <dxf>
      <fill>
        <patternFill patternType="solid">
          <fgColor rgb="FFE2DCB1"/>
          <bgColor rgb="FF000000"/>
        </patternFill>
      </fill>
    </dxf>
    <dxf>
      <fill>
        <patternFill patternType="solid">
          <fgColor rgb="FFEA9999"/>
          <bgColor rgb="FF000000"/>
        </patternFill>
      </fill>
    </dxf>
    <dxf>
      <fill>
        <patternFill patternType="solid">
          <fgColor rgb="FFEEE0A7"/>
          <bgColor rgb="FF000000"/>
        </patternFill>
      </fill>
    </dxf>
    <dxf>
      <fill>
        <patternFill patternType="solid">
          <fgColor rgb="FFEFE0A6"/>
          <bgColor rgb="FF000000"/>
        </patternFill>
      </fill>
    </dxf>
    <dxf>
      <fill>
        <patternFill patternType="solid">
          <fgColor rgb="FFF5E2A1"/>
          <bgColor rgb="FF000000"/>
        </patternFill>
      </fill>
    </dxf>
    <dxf>
      <fill>
        <patternFill patternType="solid">
          <fgColor rgb="FFF8E39F"/>
          <bgColor rgb="FF000000"/>
        </patternFill>
      </fill>
    </dxf>
    <dxf>
      <fill>
        <patternFill patternType="solid">
          <fgColor rgb="FFF9E39E"/>
          <bgColor rgb="FF000000"/>
        </patternFill>
      </fill>
    </dxf>
    <dxf>
      <font>
        <b val="1"/>
      </font>
      <fill>
        <patternFill/>
      </fill>
    </dxf>
  </dxfs>
  <colors>
    <indexedColors>
      <rgbColor rgb="FF000000"/>
      <rgbColor rgb="FFFFFFFF"/>
      <rgbColor rgb="FFFF0000"/>
      <rgbColor rgb="FFFAE3E0"/>
      <rgbColor rgb="FF0000FF"/>
      <rgbColor rgb="FFF8D8D5"/>
      <rgbColor rgb="FFFBE7E6"/>
      <rgbColor rgb="FFFBE9E8"/>
      <rgbColor rgb="FFFDF3F3"/>
      <rgbColor rgb="FFFBE6E5"/>
      <rgbColor rgb="FFFEF8F8"/>
      <rgbColor rgb="FFF8D6D3"/>
      <rgbColor rgb="FFFCEDEC"/>
      <rgbColor rgb="FFFAE0DE"/>
      <rgbColor rgb="FFF3BDB8"/>
      <rgbColor rgb="FFF4C2BE"/>
      <rgbColor rgb="FFED9C95"/>
      <rgbColor rgb="FFF9DEDB"/>
      <rgbColor rgb="FFFEF5F4"/>
      <rgbColor rgb="FFFEF9F9"/>
      <rgbColor rgb="FFFDF2F1"/>
      <rgbColor rgb="FFEA8E86"/>
      <rgbColor rgb="FFFBE5E3"/>
      <rgbColor rgb="FFF7D3CF"/>
      <rgbColor rgb="FFFFFAFA"/>
      <rgbColor rgb="FFFBE8E7"/>
      <rgbColor rgb="FFF9DAD7"/>
      <rgbColor rgb="FFFCEEED"/>
      <rgbColor rgb="FFFDF0EF"/>
      <rgbColor rgb="FFFEF5F5"/>
      <rgbColor rgb="FFFAE1DF"/>
      <rgbColor rgb="FFFEF7F7"/>
      <rgbColor rgb="FFF9DCDA"/>
      <rgbColor rgb="FFFFFDFD"/>
      <rgbColor rgb="FFFDF4F3"/>
      <rgbColor rgb="FFFDEFEE"/>
      <rgbColor rgb="FFF6CBC7"/>
      <rgbColor rgb="FFEFAAA5"/>
      <rgbColor rgb="FFF0AEA9"/>
      <rgbColor rgb="FFF4C4C0"/>
      <rgbColor rgb="FF1E6EEA"/>
      <rgbColor rgb="FFF8D5D2"/>
      <rgbColor rgb="FFF3BBB6"/>
      <rgbColor rgb="FFF2B6B1"/>
      <rgbColor rgb="FFEB8045"/>
      <rgbColor rgb="FFF7CFCC"/>
      <rgbColor rgb="FF5A6557"/>
      <rgbColor rgb="FF6DB08F"/>
      <rgbColor rgb="FFFDF1F0"/>
      <rgbColor rgb="FFF9DBD8"/>
      <rgbColor rgb="FFFEF6F6"/>
      <rgbColor rgb="FFFCECEB"/>
      <rgbColor rgb="FFFBE4E2"/>
      <rgbColor rgb="FFFADFDD"/>
      <rgbColor rgb="FFFCEAE8"/>
      <rgbColor rgb="FFFCEBEA"/>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berria.eus/mundua/aragonesek-lehen-lerro-politikoa-utziko-du_2125045_102.html" TargetMode="External"/><Relationship Id="rId3" Type="http://schemas.openxmlformats.org/officeDocument/2006/relationships/hyperlink" Target="https://www.berria.eus/kirola/derbi-bikoitza_2118881_102.html" TargetMode="External"/><Relationship Id="rId4" Type="http://schemas.openxmlformats.org/officeDocument/2006/relationships/hyperlink" Target="https://www.berria.eus/kirola/berriro-etxean-sentitzeko_2117830_102.html" TargetMode="External"/><Relationship Id="rId5" Type="http://schemas.openxmlformats.org/officeDocument/2006/relationships/hyperlink" Target="https://www.berria.eus/komunikazioa/generacion-porno-dokumental-saioa-egin-dute-etbk-eta-tv3ek_1341518_102.html" TargetMode="External"/><Relationship Id="rId6" Type="http://schemas.openxmlformats.org/officeDocument/2006/relationships/hyperlink" Target="https://www.berria.eus/kirola/artolak-nagusitasunez-irabazi-dio-zabaleri_2124679_102.html" TargetMode="External"/><Relationship Id="rId7" Type="http://schemas.openxmlformats.org/officeDocument/2006/relationships/hyperlink" Target="https://www.berria.eus/mundua/gutxienez-40-hildako-eta-dozenaka-zauritu-moskun-gertatutako-tiroketa-batean_2122731_102.html" TargetMode="External"/><Relationship Id="rId8" Type="http://schemas.openxmlformats.org/officeDocument/2006/relationships/hyperlink" Target="https://www.berria.eus/bizigiro/ohartu-behar-dugu-bizi-garen-jendartea-dominazioaren-kultura-batean-oinarritzen-dela_2121952_102.html" TargetMode="External"/><Relationship Id="rId9" Type="http://schemas.openxmlformats.org/officeDocument/2006/relationships/hyperlink" Target="https://www.berria.eus/ekonomia/energiaren-euskal-erakundea-energia-konpainien-zergaren-aurka_234607_102.html" TargetMode="External"/><Relationship Id="rId10" Type="http://schemas.openxmlformats.org/officeDocument/2006/relationships/hyperlink" Target="https://www.berria.eus/kultura/benat-arrutik-irabazi-du-donostia-kultura-vii-poesia-lehiaketa_2122642_102.html" TargetMode="External"/><Relationship Id="rId11" Type="http://schemas.openxmlformats.org/officeDocument/2006/relationships/hyperlink" Target="https://www.berria.eus/mundua/aleksei-navalni-hil-da_2120844_102.html" TargetMode="External"/><Relationship Id="rId1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berria.eus/mundua/aragonesek-lehen-lerro-politikoa-utziko-du_2125045_102.html" TargetMode="External"/><Relationship Id="rId3" Type="http://schemas.openxmlformats.org/officeDocument/2006/relationships/hyperlink" Target="https://www.berria.eus/kirola/derbi-bikoitza_2118881_102.html" TargetMode="External"/><Relationship Id="rId4" Type="http://schemas.openxmlformats.org/officeDocument/2006/relationships/hyperlink" Target="https://www.berria.eus/kirola/berriro-etxean-sentitzeko_2117830_102.html" TargetMode="External"/><Relationship Id="rId5" Type="http://schemas.openxmlformats.org/officeDocument/2006/relationships/hyperlink" Target="https://www.berria.eus/komunikazioa/generacion-porno-dokumental-saioa-egin-dute-etbk-eta-tv3ek_1341518_102.html" TargetMode="External"/><Relationship Id="rId6" Type="http://schemas.openxmlformats.org/officeDocument/2006/relationships/hyperlink" Target="https://www.berria.eus/kirola/artolak-nagusitasunez-irabazi-dio-zabaleri_2124679_102.html" TargetMode="External"/><Relationship Id="rId7" Type="http://schemas.openxmlformats.org/officeDocument/2006/relationships/hyperlink" Target="https://www.berria.eus/mundua/gutxienez-40-hildako-eta-dozenaka-zauritu-moskun-gertatutako-tiroketa-batean_2122731_102.html" TargetMode="External"/><Relationship Id="rId8" Type="http://schemas.openxmlformats.org/officeDocument/2006/relationships/hyperlink" Target="https://www.berria.eus/bizigiro/ohartu-behar-dugu-bizi-garen-jendartea-dominazioaren-kultura-batean-oinarritzen-dela_2121952_102.html" TargetMode="External"/><Relationship Id="rId9" Type="http://schemas.openxmlformats.org/officeDocument/2006/relationships/hyperlink" Target="https://www.berria.eus/ekonomia/energiaren-euskal-erakundea-energia-konpainien-zergaren-aurka_234607_102.html" TargetMode="External"/><Relationship Id="rId10" Type="http://schemas.openxmlformats.org/officeDocument/2006/relationships/hyperlink" Target="https://www.berria.eus/kultura/benat-arrutik-irabazi-du-donostia-kultura-vii-poesia-lehiaketa_2122642_102.html" TargetMode="External"/><Relationship Id="rId11" Type="http://schemas.openxmlformats.org/officeDocument/2006/relationships/hyperlink" Target="https://www.berria.eus/mundua/aleksei-navalni-hil-da_2120844_102.html" TargetMode="External"/><Relationship Id="rId1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berria.eus/mundua/aragonesek-lehen-lerro-politikoa-utziko-du_2125045_102.html" TargetMode="External"/><Relationship Id="rId3" Type="http://schemas.openxmlformats.org/officeDocument/2006/relationships/hyperlink" Target="https://www.berria.eus/kirola/derbi-bikoitza_2118881_102.html" TargetMode="External"/><Relationship Id="rId4" Type="http://schemas.openxmlformats.org/officeDocument/2006/relationships/hyperlink" Target="https://www.berria.eus/kirola/berriro-etxean-sentitzeko_2117830_102.html" TargetMode="External"/><Relationship Id="rId5" Type="http://schemas.openxmlformats.org/officeDocument/2006/relationships/hyperlink" Target="https://www.berria.eus/komunikazioa/generacion-porno-dokumental-saioa-egin-dute-etbk-eta-tv3ek_1341518_102.html" TargetMode="External"/><Relationship Id="rId6" Type="http://schemas.openxmlformats.org/officeDocument/2006/relationships/hyperlink" Target="https://www.berria.eus/kirola/artolak-nagusitasunez-irabazi-dio-zabaleri_2124679_102.html" TargetMode="External"/><Relationship Id="rId7" Type="http://schemas.openxmlformats.org/officeDocument/2006/relationships/hyperlink" Target="https://www.berria.eus/mundua/gutxienez-40-hildako-eta-dozenaka-zauritu-moskun-gertatutako-tiroketa-batean_2122731_102.html" TargetMode="External"/><Relationship Id="rId8" Type="http://schemas.openxmlformats.org/officeDocument/2006/relationships/hyperlink" Target="https://www.berria.eus/bizigiro/ohartu-behar-dugu-bizi-garen-jendartea-dominazioaren-kultura-batean-oinarritzen-dela_2121952_102.html" TargetMode="External"/><Relationship Id="rId9" Type="http://schemas.openxmlformats.org/officeDocument/2006/relationships/hyperlink" Target="https://www.berria.eus/ekonomia/energiaren-euskal-erakundea-energia-konpainien-zergaren-aurka_234607_102.html" TargetMode="External"/><Relationship Id="rId10" Type="http://schemas.openxmlformats.org/officeDocument/2006/relationships/hyperlink" Target="https://www.berria.eus/kultura/benat-arrutik-irabazi-du-donostia-kultura-vii-poesia-lehiaketa_2122642_102.html" TargetMode="External"/><Relationship Id="rId11" Type="http://schemas.openxmlformats.org/officeDocument/2006/relationships/hyperlink" Target="https://www.berria.eus/mundua/aleksei-navalni-hil-da_2120844_102.html" TargetMode="External"/><Relationship Id="rId1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berria.eus/mundua/aragonesek-lehen-lerro-politikoa-utziko-du_2125045_102.html" TargetMode="External"/><Relationship Id="rId3" Type="http://schemas.openxmlformats.org/officeDocument/2006/relationships/hyperlink" Target="https://www.berria.eus/kirola/derbi-bikoitza_2118881_102.html" TargetMode="External"/><Relationship Id="rId4" Type="http://schemas.openxmlformats.org/officeDocument/2006/relationships/hyperlink" Target="https://www.berria.eus/kirola/berriro-etxean-sentitzeko_2117830_102.html" TargetMode="External"/><Relationship Id="rId5" Type="http://schemas.openxmlformats.org/officeDocument/2006/relationships/hyperlink" Target="https://www.berria.eus/komunikazioa/generacion-porno-dokumental-saioa-egin-dute-etbk-eta-tv3ek_1341518_102.html" TargetMode="External"/><Relationship Id="rId6" Type="http://schemas.openxmlformats.org/officeDocument/2006/relationships/hyperlink" Target="https://www.berria.eus/kirola/artolak-nagusitasunez-irabazi-dio-zabaleri_2124679_102.html" TargetMode="External"/><Relationship Id="rId7" Type="http://schemas.openxmlformats.org/officeDocument/2006/relationships/hyperlink" Target="https://www.berria.eus/mundua/gutxienez-40-hildako-eta-dozenaka-zauritu-moskun-gertatutako-tiroketa-batean_2122731_102.html" TargetMode="External"/><Relationship Id="rId8" Type="http://schemas.openxmlformats.org/officeDocument/2006/relationships/hyperlink" Target="https://www.berria.eus/bizigiro/ohartu-behar-dugu-bizi-garen-jendartea-dominazioaren-kultura-batean-oinarritzen-dela_2121952_102.html" TargetMode="External"/><Relationship Id="rId9" Type="http://schemas.openxmlformats.org/officeDocument/2006/relationships/hyperlink" Target="https://www.berria.eus/ekonomia/energiaren-euskal-erakundea-energia-konpainien-zergaren-aurka_234607_102.html" TargetMode="External"/><Relationship Id="rId10" Type="http://schemas.openxmlformats.org/officeDocument/2006/relationships/hyperlink" Target="https://www.berria.eus/kultura/benat-arrutik-irabazi-du-donostia-kultura-vii-poesia-lehiaketa_2122642_102.html" TargetMode="External"/><Relationship Id="rId11" Type="http://schemas.openxmlformats.org/officeDocument/2006/relationships/hyperlink" Target="https://www.berria.eus/mundua/aleksei-navalni-hil-da_2120844_102.html" TargetMode="External"/><Relationship Id="rId1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berria.eus/mundua/aragonesek-lehen-lerro-politikoa-utziko-du_2125045_102.html" TargetMode="External"/><Relationship Id="rId3" Type="http://schemas.openxmlformats.org/officeDocument/2006/relationships/hyperlink" Target="https://www.berria.eus/kirola/derbi-bikoitza_2118881_102.html" TargetMode="External"/><Relationship Id="rId4" Type="http://schemas.openxmlformats.org/officeDocument/2006/relationships/hyperlink" Target="https://www.berria.eus/kirola/berriro-etxean-sentitzeko_2117830_102.html" TargetMode="External"/><Relationship Id="rId5" Type="http://schemas.openxmlformats.org/officeDocument/2006/relationships/hyperlink" Target="https://www.berria.eus/komunikazioa/generacion-porno-dokumental-saioa-egin-dute-etbk-eta-tv3ek_1341518_102.html" TargetMode="External"/><Relationship Id="rId6" Type="http://schemas.openxmlformats.org/officeDocument/2006/relationships/hyperlink" Target="https://www.berria.eus/kirola/artolak-nagusitasunez-irabazi-dio-zabaleri_2124679_102.html" TargetMode="External"/><Relationship Id="rId7" Type="http://schemas.openxmlformats.org/officeDocument/2006/relationships/hyperlink" Target="https://www.berria.eus/mundua/gutxienez-40-hildako-eta-dozenaka-zauritu-moskun-gertatutako-tiroketa-batean_2122731_102.html" TargetMode="External"/><Relationship Id="rId8" Type="http://schemas.openxmlformats.org/officeDocument/2006/relationships/hyperlink" Target="https://www.berria.eus/bizigiro/ohartu-behar-dugu-bizi-garen-jendartea-dominazioaren-kultura-batean-oinarritzen-dela_2121952_102.html" TargetMode="External"/><Relationship Id="rId9" Type="http://schemas.openxmlformats.org/officeDocument/2006/relationships/hyperlink" Target="https://www.berria.eus/ekonomia/energiaren-euskal-erakundea-energia-konpainien-zergaren-aurka_234607_102.html" TargetMode="External"/><Relationship Id="rId10" Type="http://schemas.openxmlformats.org/officeDocument/2006/relationships/hyperlink" Target="https://www.berria.eus/kultura/benat-arrutik-irabazi-du-donostia-kultura-vii-poesia-lehiaketa_2122642_102.html" TargetMode="External"/><Relationship Id="rId11" Type="http://schemas.openxmlformats.org/officeDocument/2006/relationships/hyperlink" Target="https://www.berria.eus/mundua/aleksei-navalni-hil-da_2120844_102.html" TargetMode="External"/><Relationship Id="rId1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berria.eus/mundua/aragonesek-lehen-lerro-politikoa-utziko-du_2125045_102.html" TargetMode="External"/><Relationship Id="rId3" Type="http://schemas.openxmlformats.org/officeDocument/2006/relationships/hyperlink" Target="https://www.berria.eus/kirola/derbi-bikoitza_2118881_102.html" TargetMode="External"/><Relationship Id="rId4" Type="http://schemas.openxmlformats.org/officeDocument/2006/relationships/hyperlink" Target="https://www.berria.eus/kirola/berriro-etxean-sentitzeko_2117830_102.html" TargetMode="External"/><Relationship Id="rId5" Type="http://schemas.openxmlformats.org/officeDocument/2006/relationships/hyperlink" Target="https://www.berria.eus/komunikazioa/generacion-porno-dokumental-saioa-egin-dute-etbk-eta-tv3ek_1341518_102.html" TargetMode="External"/><Relationship Id="rId6" Type="http://schemas.openxmlformats.org/officeDocument/2006/relationships/hyperlink" Target="https://www.berria.eus/kirola/artolak-nagusitasunez-irabazi-dio-zabaleri_2124679_102.html" TargetMode="External"/><Relationship Id="rId7" Type="http://schemas.openxmlformats.org/officeDocument/2006/relationships/hyperlink" Target="https://www.berria.eus/mundua/gutxienez-40-hildako-eta-dozenaka-zauritu-moskun-gertatutako-tiroketa-batean_2122731_102.html" TargetMode="External"/><Relationship Id="rId8" Type="http://schemas.openxmlformats.org/officeDocument/2006/relationships/hyperlink" Target="https://www.berria.eus/bizigiro/ohartu-behar-dugu-bizi-garen-jendartea-dominazioaren-kultura-batean-oinarritzen-dela_2121952_102.html" TargetMode="External"/><Relationship Id="rId9" Type="http://schemas.openxmlformats.org/officeDocument/2006/relationships/hyperlink" Target="https://www.berria.eus/ekonomia/energiaren-euskal-erakundea-energia-konpainien-zergaren-aurka_234607_102.html" TargetMode="External"/><Relationship Id="rId10" Type="http://schemas.openxmlformats.org/officeDocument/2006/relationships/hyperlink" Target="https://www.berria.eus/kultura/benat-arrutik-irabazi-du-donostia-kultura-vii-poesia-lehiaketa_2122642_102.html" TargetMode="External"/><Relationship Id="rId11" Type="http://schemas.openxmlformats.org/officeDocument/2006/relationships/hyperlink" Target="https://www.berria.eus/mundua/aleksei-navalni-hil-da_2120844_102.html" TargetMode="External"/><Relationship Id="rId1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7BB8A"/>
    <pageSetUpPr fitToPage="false"/>
  </sheetPr>
  <dimension ref="A1:R10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12.6328125" defaultRowHeight="15.75" zeroHeight="false" outlineLevelRow="0" outlineLevelCol="0"/>
  <cols>
    <col collapsed="false" customWidth="true" hidden="false" outlineLevel="0" max="1" min="1" style="0" width="14.88"/>
    <col collapsed="false" customWidth="true" hidden="false" outlineLevel="0" max="2" min="2" style="0" width="17.75"/>
    <col collapsed="false" customWidth="true" hidden="false" outlineLevel="0" max="18" min="13" style="0" width="7.63"/>
  </cols>
  <sheetData>
    <row r="1" customFormat="false" ht="15.75" hidden="false" customHeight="false" outlineLevel="0" collapsed="false">
      <c r="A1" s="1" t="s">
        <v>0</v>
      </c>
      <c r="B1" s="1" t="s">
        <v>1</v>
      </c>
      <c r="C1" s="1" t="s">
        <v>2</v>
      </c>
      <c r="D1" s="1" t="s">
        <v>3</v>
      </c>
      <c r="E1" s="2" t="s">
        <v>4</v>
      </c>
      <c r="F1" s="2" t="s">
        <v>5</v>
      </c>
      <c r="G1" s="2" t="s">
        <v>6</v>
      </c>
      <c r="H1" s="2" t="s">
        <v>7</v>
      </c>
      <c r="I1" s="2" t="s">
        <v>8</v>
      </c>
      <c r="J1" s="1" t="s">
        <v>9</v>
      </c>
      <c r="K1" s="2" t="s">
        <v>10</v>
      </c>
      <c r="L1" s="3"/>
      <c r="M1" s="1"/>
      <c r="N1" s="4" t="s">
        <v>3</v>
      </c>
      <c r="O1" s="2" t="s">
        <v>11</v>
      </c>
      <c r="P1" s="2" t="s">
        <v>12</v>
      </c>
      <c r="Q1" s="2" t="s">
        <v>13</v>
      </c>
      <c r="R1" s="2" t="s">
        <v>14</v>
      </c>
    </row>
    <row r="2" customFormat="false" ht="15.75" hidden="false" customHeight="false" outlineLevel="0" collapsed="false">
      <c r="A2" s="3"/>
      <c r="B2" s="3" t="s">
        <v>15</v>
      </c>
      <c r="C2" s="5" t="s">
        <v>16</v>
      </c>
      <c r="D2" s="6" t="n">
        <f aca="false">IFERROR(__xludf.dummyfunction("AVERAGE(FILTER('__flatlist__'!D$2:D1012,('__flatlist__'!$B$2:$B1012=$B2),('__flatlist__'!$C$2:$C1012=$C2)))"),0.718872862334231)</f>
        <v>0.7188728623</v>
      </c>
      <c r="E2" s="7" t="n">
        <f aca="false">IFERROR(__xludf.dummyfunction("AVERAGE(FILTER('__flatlist__'!E$2:E1012,('__flatlist__'!$B$2:$B1012=$B2),('__flatlist__'!$C$2:$C1012=$C2)))"),3.6)</f>
        <v>3.6</v>
      </c>
      <c r="F2" s="7" t="n">
        <f aca="false">IFERROR(__xludf.dummyfunction("AVERAGE(FILTER('__flatlist__'!F$2:F1012,('__flatlist__'!$B$2:$B1012=$B2),('__flatlist__'!$C$2:$C1012=$C2)))"),4.6)</f>
        <v>4.6</v>
      </c>
      <c r="G2" s="7" t="n">
        <f aca="false">IFERROR(__xludf.dummyfunction("AVERAGE(FILTER('__flatlist__'!G$2:G1012,('__flatlist__'!$B$2:$B1012=$B2),('__flatlist__'!$C$2:$C1012=$C2)))"),5)</f>
        <v>5</v>
      </c>
      <c r="H2" s="7" t="n">
        <f aca="false">IFERROR(__xludf.dummyfunction("AVERAGE(FILTER('__flatlist__'!H$2:H1012,('__flatlist__'!$B$2:$B1012=$B2),('__flatlist__'!$C$2:$C1012=$C2)))"),4.6)</f>
        <v>4.6</v>
      </c>
      <c r="I2" s="7" t="n">
        <f aca="false">IFERROR(__xludf.dummyfunction("AVERAGE(FILTER('__flatlist__'!I$2:I1012,('__flatlist__'!$B$2:$B1012=$B2),('__flatlist__'!$C$2:$C1012=$C2)))"),3.4)</f>
        <v>3.4</v>
      </c>
      <c r="J2" s="7" t="n">
        <f aca="false">AVERAGE(E2:I2)</f>
        <v>4.24</v>
      </c>
      <c r="K2" s="8"/>
      <c r="M2" s="2" t="s">
        <v>11</v>
      </c>
      <c r="N2" s="9" t="n">
        <f aca="false">CORREL(__flatlist__!D:D,__flatlist__!E:E)</f>
        <v>0.1362477432</v>
      </c>
      <c r="O2" s="9"/>
      <c r="P2" s="9"/>
      <c r="Q2" s="9"/>
      <c r="R2" s="9"/>
    </row>
    <row r="3" customFormat="false" ht="15.75" hidden="false" customHeight="false" outlineLevel="0" collapsed="false">
      <c r="A3" s="3"/>
      <c r="B3" s="3" t="s">
        <v>15</v>
      </c>
      <c r="C3" s="5"/>
      <c r="D3" s="6" t="n">
        <f aca="false">IFERROR(__xludf.dummyfunction("AVERAGE(FILTER('__flatlist__'!D$2:D1012,('__flatlist__'!$B$2:$B1012=$B3),('__flatlist__'!$C$2:$C1012=$C3)))"),0.775890261195796)</f>
        <v>0.7758902612</v>
      </c>
      <c r="E3" s="7" t="str">
        <f aca="false">IFERROR(__xludf.dummyfunction("AVERAGE(FILTER('__flatlist__'!E$2:E1012,('__flatlist__'!$B$2:$B1012=$B3),('__flatlist__'!$C$2:$C1012=$C3)))"),"#DIV/0!")</f>
        <v>#DIV/0!</v>
      </c>
      <c r="F3" s="7" t="str">
        <f aca="false">IFERROR(__xludf.dummyfunction("AVERAGE(FILTER('__flatlist__'!F$2:F1012,('__flatlist__'!$B$2:$B1012=$B3),('__flatlist__'!$C$2:$C1012=$C3)))"),"#DIV/0!")</f>
        <v>#DIV/0!</v>
      </c>
      <c r="G3" s="7" t="str">
        <f aca="false">IFERROR(__xludf.dummyfunction("AVERAGE(FILTER('__flatlist__'!G$2:G1012,('__flatlist__'!$B$2:$B1012=$B3),('__flatlist__'!$C$2:$C1012=$C3)))"),"#DIV/0!")</f>
        <v>#DIV/0!</v>
      </c>
      <c r="H3" s="7" t="str">
        <f aca="false">IFERROR(__xludf.dummyfunction("AVERAGE(FILTER('__flatlist__'!H$2:H1012,('__flatlist__'!$B$2:$B1012=$B3),('__flatlist__'!$C$2:$C1012=$C3)))"),"#DIV/0!")</f>
        <v>#DIV/0!</v>
      </c>
      <c r="I3" s="7" t="str">
        <f aca="false">IFERROR(__xludf.dummyfunction("AVERAGE(FILTER('__flatlist__'!I$2:I1012,('__flatlist__'!$B$2:$B1012=$B3),('__flatlist__'!$C$2:$C1012=$C3)))"),"#DIV/0!")</f>
        <v>#DIV/0!</v>
      </c>
      <c r="J3" s="10" t="e">
        <f aca="false">AVERAGE(E3:I3)</f>
        <v>#DIV/0!</v>
      </c>
      <c r="M3" s="1" t="s">
        <v>12</v>
      </c>
      <c r="N3" s="9" t="n">
        <f aca="false">CORREL(__flatlist__!D:D,__flatlist__!F:F)</f>
        <v>-0.1214720599</v>
      </c>
      <c r="O3" s="9" t="n">
        <f aca="false">CORREL(__flatlist__!E:E,__flatlist__!F:F)</f>
        <v>0.1677918809</v>
      </c>
      <c r="P3" s="9"/>
      <c r="Q3" s="9"/>
      <c r="R3" s="9"/>
    </row>
    <row r="4" customFormat="false" ht="15.75" hidden="false" customHeight="false" outlineLevel="0" collapsed="false">
      <c r="A4" s="3"/>
      <c r="B4" s="3" t="s">
        <v>17</v>
      </c>
      <c r="C4" s="5" t="s">
        <v>8</v>
      </c>
      <c r="D4" s="6" t="n">
        <f aca="false">IFERROR(__xludf.dummyfunction("AVERAGE(FILTER('__flatlist__'!D$2:D1012,('__flatlist__'!$B$2:$B1012=$B4),('__flatlist__'!$C$2:$C1012=$C4)))"),0.11558318427158)</f>
        <v>0.1155831843</v>
      </c>
      <c r="E4" s="7" t="n">
        <f aca="false">IFERROR(__xludf.dummyfunction("AVERAGE(FILTER('__flatlist__'!E$2:E1012,('__flatlist__'!$B$2:$B1012=$B4),('__flatlist__'!$C$2:$C1012=$C4)))"),1.5)</f>
        <v>1.5</v>
      </c>
      <c r="F4" s="7" t="n">
        <f aca="false">IFERROR(__xludf.dummyfunction("AVERAGE(FILTER('__flatlist__'!F$2:F1012,('__flatlist__'!$B$2:$B1012=$B4),('__flatlist__'!$C$2:$C1012=$C4)))"),4.2)</f>
        <v>4.2</v>
      </c>
      <c r="G4" s="7" t="n">
        <f aca="false">IFERROR(__xludf.dummyfunction("AVERAGE(FILTER('__flatlist__'!G$2:G1012,('__flatlist__'!$B$2:$B1012=$B4),('__flatlist__'!$C$2:$C1012=$C4)))"),4.3)</f>
        <v>4.3</v>
      </c>
      <c r="H4" s="7" t="n">
        <f aca="false">IFERROR(__xludf.dummyfunction("AVERAGE(FILTER('__flatlist__'!H$2:H1012,('__flatlist__'!$B$2:$B1012=$B4),('__flatlist__'!$C$2:$C1012=$C4)))"),3.7)</f>
        <v>3.7</v>
      </c>
      <c r="I4" s="7" t="n">
        <f aca="false">IFERROR(__xludf.dummyfunction("AVERAGE(FILTER('__flatlist__'!I$2:I1012,('__flatlist__'!$B$2:$B1012=$B4),('__flatlist__'!$C$2:$C1012=$C4)))"),5)</f>
        <v>5</v>
      </c>
      <c r="J4" s="7" t="n">
        <f aca="false">AVERAGE(E4:I4)</f>
        <v>3.74</v>
      </c>
      <c r="K4" s="10" t="n">
        <f aca="false">RANK(J4,$J$4:$J$23,FALSE())</f>
        <v>13</v>
      </c>
      <c r="M4" s="1" t="s">
        <v>13</v>
      </c>
      <c r="N4" s="9" t="n">
        <f aca="false">CORREL(__flatlist__!D:D,__flatlist__!G:G)</f>
        <v>-0.4448588636</v>
      </c>
      <c r="O4" s="9" t="n">
        <f aca="false">CORREL(__flatlist__!E:E,__flatlist__!G:G)</f>
        <v>0.08953447214</v>
      </c>
      <c r="P4" s="9" t="n">
        <f aca="false">CORREL(__flatlist__!F:F,__flatlist__!G:G)</f>
        <v>0.1575066892</v>
      </c>
      <c r="Q4" s="9"/>
      <c r="R4" s="9"/>
    </row>
    <row r="5" customFormat="false" ht="15.75" hidden="false" customHeight="false" outlineLevel="0" collapsed="false">
      <c r="A5" s="3"/>
      <c r="B5" s="3" t="s">
        <v>17</v>
      </c>
      <c r="C5" s="5" t="s">
        <v>18</v>
      </c>
      <c r="D5" s="6" t="n">
        <f aca="false">IFERROR(__xludf.dummyfunction("AVERAGE(FILTER('__flatlist__'!D$2:D1012,('__flatlist__'!$B$2:$B1012=$B5),('__flatlist__'!$C$2:$C1012=$C5)))"),0.184984147911395)</f>
        <v>0.1849841479</v>
      </c>
      <c r="E5" s="7" t="n">
        <f aca="false">IFERROR(__xludf.dummyfunction("AVERAGE(FILTER('__flatlist__'!E$2:E1012,('__flatlist__'!$B$2:$B1012=$B5),('__flatlist__'!$C$2:$C1012=$C5)))"),2.8)</f>
        <v>2.8</v>
      </c>
      <c r="F5" s="7" t="n">
        <f aca="false">IFERROR(__xludf.dummyfunction("AVERAGE(FILTER('__flatlist__'!F$2:F1012,('__flatlist__'!$B$2:$B1012=$B5),('__flatlist__'!$C$2:$C1012=$C5)))"),4.5)</f>
        <v>4.5</v>
      </c>
      <c r="G5" s="7" t="n">
        <f aca="false">IFERROR(__xludf.dummyfunction("AVERAGE(FILTER('__flatlist__'!G$2:G1012,('__flatlist__'!$B$2:$B1012=$B5),('__flatlist__'!$C$2:$C1012=$C5)))"),1.3)</f>
        <v>1.3</v>
      </c>
      <c r="H5" s="7" t="n">
        <f aca="false">IFERROR(__xludf.dummyfunction("AVERAGE(FILTER('__flatlist__'!H$2:H1012,('__flatlist__'!$B$2:$B1012=$B5),('__flatlist__'!$C$2:$C1012=$C5)))"),2.8)</f>
        <v>2.8</v>
      </c>
      <c r="I5" s="7" t="n">
        <f aca="false">IFERROR(__xludf.dummyfunction("AVERAGE(FILTER('__flatlist__'!I$2:I1012,('__flatlist__'!$B$2:$B1012=$B5),('__flatlist__'!$C$2:$C1012=$C5)))"),4.4)</f>
        <v>4.4</v>
      </c>
      <c r="J5" s="7" t="n">
        <f aca="false">AVERAGE(E5:I5)</f>
        <v>3.16</v>
      </c>
      <c r="K5" s="10" t="n">
        <f aca="false">RANK(J5,$J$4:$J$23,FALSE())</f>
        <v>19</v>
      </c>
      <c r="M5" s="1" t="s">
        <v>14</v>
      </c>
      <c r="N5" s="9" t="n">
        <f aca="false">CORREL(__flatlist__!D:D,__flatlist__!H:H)</f>
        <v>-0.6047679683</v>
      </c>
      <c r="O5" s="9" t="n">
        <f aca="false">CORREL(__flatlist__!E:E,__flatlist__!H:H)</f>
        <v>0.05680649088</v>
      </c>
      <c r="P5" s="9" t="n">
        <f aca="false">CORREL(__flatlist__!F:F,__flatlist__!H:H)</f>
        <v>0.2955487947</v>
      </c>
      <c r="Q5" s="9" t="n">
        <f aca="false">CORREL(__flatlist__!G:G,__flatlist__!H:H)</f>
        <v>0.4424212992</v>
      </c>
      <c r="R5" s="9"/>
    </row>
    <row r="6" customFormat="false" ht="15.75" hidden="false" customHeight="false" outlineLevel="0" collapsed="false">
      <c r="A6" s="3"/>
      <c r="B6" s="3" t="s">
        <v>17</v>
      </c>
      <c r="C6" s="5" t="s">
        <v>19</v>
      </c>
      <c r="D6" s="6" t="n">
        <f aca="false">IFERROR(__xludf.dummyfunction("AVERAGE(FILTER('__flatlist__'!D$2:D1012,('__flatlist__'!$B$2:$B1012=$B6),('__flatlist__'!$C$2:$C1012=$C6)))"),0.0844467958470635)</f>
        <v>0.08444679585</v>
      </c>
      <c r="E6" s="7" t="n">
        <f aca="false">IFERROR(__xludf.dummyfunction("AVERAGE(FILTER('__flatlist__'!E$2:E1012,('__flatlist__'!$B$2:$B1012=$B6),('__flatlist__'!$C$2:$C1012=$C6)))"),3.6)</f>
        <v>3.6</v>
      </c>
      <c r="F6" s="7" t="n">
        <f aca="false">IFERROR(__xludf.dummyfunction("AVERAGE(FILTER('__flatlist__'!F$2:F1012,('__flatlist__'!$B$2:$B1012=$B6),('__flatlist__'!$C$2:$C1012=$C6)))"),4.4)</f>
        <v>4.4</v>
      </c>
      <c r="G6" s="7" t="n">
        <f aca="false">IFERROR(__xludf.dummyfunction("AVERAGE(FILTER('__flatlist__'!G$2:G1012,('__flatlist__'!$B$2:$B1012=$B6),('__flatlist__'!$C$2:$C1012=$C6)))"),4.3)</f>
        <v>4.3</v>
      </c>
      <c r="H6" s="7" t="n">
        <f aca="false">IFERROR(__xludf.dummyfunction("AVERAGE(FILTER('__flatlist__'!H$2:H1012,('__flatlist__'!$B$2:$B1012=$B6),('__flatlist__'!$C$2:$C1012=$C6)))"),3.8)</f>
        <v>3.8</v>
      </c>
      <c r="I6" s="7" t="n">
        <f aca="false">IFERROR(__xludf.dummyfunction("AVERAGE(FILTER('__flatlist__'!I$2:I1012,('__flatlist__'!$B$2:$B1012=$B6),('__flatlist__'!$C$2:$C1012=$C6)))"),4.3)</f>
        <v>4.3</v>
      </c>
      <c r="J6" s="7" t="n">
        <f aca="false">AVERAGE(E6:I6)</f>
        <v>4.08</v>
      </c>
      <c r="K6" s="10" t="n">
        <f aca="false">RANK(J6,$J$4:$J$23,FALSE())</f>
        <v>6</v>
      </c>
      <c r="M6" s="2" t="s">
        <v>8</v>
      </c>
      <c r="N6" s="9" t="n">
        <f aca="false">CORREL(__flatlist__!D:D,__flatlist__!I:I)</f>
        <v>0.4615981231</v>
      </c>
      <c r="O6" s="9" t="n">
        <f aca="false">CORREL(__flatlist__!E:E,__flatlist__!I:I)</f>
        <v>0.07511800616</v>
      </c>
      <c r="P6" s="9" t="n">
        <f aca="false">CORREL(__flatlist__!F:F,__flatlist__!I:I)</f>
        <v>0.2689627744</v>
      </c>
      <c r="Q6" s="9" t="n">
        <f aca="false">CORREL(__flatlist__!G:G,__flatlist__!I:I)</f>
        <v>-0.04328319604</v>
      </c>
      <c r="R6" s="9" t="n">
        <f aca="false">CORREL(__flatlist__!H:H,__flatlist__!I:I)</f>
        <v>0.0528231563</v>
      </c>
    </row>
    <row r="7" customFormat="false" ht="15.75" hidden="false" customHeight="false" outlineLevel="0" collapsed="false">
      <c r="A7" s="3"/>
      <c r="B7" s="3" t="s">
        <v>17</v>
      </c>
      <c r="C7" s="5" t="s">
        <v>20</v>
      </c>
      <c r="D7" s="6" t="n">
        <f aca="false">IFERROR(__xludf.dummyfunction("AVERAGE(FILTER('__flatlist__'!D$2:D1012,('__flatlist__'!$B$2:$B1012=$B7),('__flatlist__'!$C$2:$C1012=$C7)))"),0.118578307445848)</f>
        <v>0.1185783074</v>
      </c>
      <c r="E7" s="7" t="n">
        <f aca="false">IFERROR(__xludf.dummyfunction("AVERAGE(FILTER('__flatlist__'!E$2:E1012,('__flatlist__'!$B$2:$B1012=$B7),('__flatlist__'!$C$2:$C1012=$C7)))"),3)</f>
        <v>3</v>
      </c>
      <c r="F7" s="7" t="n">
        <f aca="false">IFERROR(__xludf.dummyfunction("AVERAGE(FILTER('__flatlist__'!F$2:F1012,('__flatlist__'!$B$2:$B1012=$B7),('__flatlist__'!$C$2:$C1012=$C7)))"),4.7)</f>
        <v>4.7</v>
      </c>
      <c r="G7" s="7" t="n">
        <f aca="false">IFERROR(__xludf.dummyfunction("AVERAGE(FILTER('__flatlist__'!G$2:G1012,('__flatlist__'!$B$2:$B1012=$B7),('__flatlist__'!$C$2:$C1012=$C7)))"),2)</f>
        <v>2</v>
      </c>
      <c r="H7" s="7" t="n">
        <f aca="false">IFERROR(__xludf.dummyfunction("AVERAGE(FILTER('__flatlist__'!H$2:H1012,('__flatlist__'!$B$2:$B1012=$B7),('__flatlist__'!$C$2:$C1012=$C7)))"),4)</f>
        <v>4</v>
      </c>
      <c r="I7" s="7" t="n">
        <f aca="false">IFERROR(__xludf.dummyfunction("AVERAGE(FILTER('__flatlist__'!I$2:I1012,('__flatlist__'!$B$2:$B1012=$B7),('__flatlist__'!$C$2:$C1012=$C7)))"),4.6)</f>
        <v>4.6</v>
      </c>
      <c r="J7" s="7" t="n">
        <f aca="false">AVERAGE(E7:I7)</f>
        <v>3.66</v>
      </c>
      <c r="K7" s="10" t="n">
        <f aca="false">RANK(J7,$J$4:$J$23,FALSE())</f>
        <v>14</v>
      </c>
    </row>
    <row r="8" customFormat="false" ht="15.75" hidden="false" customHeight="false" outlineLevel="0" collapsed="false">
      <c r="A8" s="3"/>
      <c r="B8" s="3" t="s">
        <v>21</v>
      </c>
      <c r="C8" s="5" t="s">
        <v>8</v>
      </c>
      <c r="D8" s="6" t="n">
        <f aca="false">IFERROR(__xludf.dummyfunction("AVERAGE(FILTER('__flatlist__'!D$2:D1012,('__flatlist__'!$B$2:$B1012=$B8),('__flatlist__'!$C$2:$C1012=$C8)))"),0.118322516235242)</f>
        <v>0.1183225162</v>
      </c>
      <c r="E8" s="7" t="n">
        <f aca="false">IFERROR(__xludf.dummyfunction("AVERAGE(FILTER('__flatlist__'!E$2:E1012,('__flatlist__'!$B$2:$B1012=$B8),('__flatlist__'!$C$2:$C1012=$C8)))"),2)</f>
        <v>2</v>
      </c>
      <c r="F8" s="7" t="n">
        <f aca="false">IFERROR(__xludf.dummyfunction("AVERAGE(FILTER('__flatlist__'!F$2:F1012,('__flatlist__'!$B$2:$B1012=$B8),('__flatlist__'!$C$2:$C1012=$C8)))"),3.6)</f>
        <v>3.6</v>
      </c>
      <c r="G8" s="7" t="n">
        <f aca="false">IFERROR(__xludf.dummyfunction("AVERAGE(FILTER('__flatlist__'!G$2:G1012,('__flatlist__'!$B$2:$B1012=$B8),('__flatlist__'!$C$2:$C1012=$C8)))"),3.1)</f>
        <v>3.1</v>
      </c>
      <c r="H8" s="7" t="n">
        <f aca="false">IFERROR(__xludf.dummyfunction("AVERAGE(FILTER('__flatlist__'!H$2:H1012,('__flatlist__'!$B$2:$B1012=$B8),('__flatlist__'!$C$2:$C1012=$C8)))"),3.6)</f>
        <v>3.6</v>
      </c>
      <c r="I8" s="7" t="n">
        <f aca="false">IFERROR(__xludf.dummyfunction("AVERAGE(FILTER('__flatlist__'!I$2:I1012,('__flatlist__'!$B$2:$B1012=$B8),('__flatlist__'!$C$2:$C1012=$C8)))"),4.4)</f>
        <v>4.4</v>
      </c>
      <c r="J8" s="7" t="n">
        <f aca="false">AVERAGE(E8:I8)</f>
        <v>3.34</v>
      </c>
      <c r="K8" s="10" t="n">
        <f aca="false">RANK(J8,$J$4:$J$23,FALSE())</f>
        <v>17</v>
      </c>
    </row>
    <row r="9" customFormat="false" ht="15.75" hidden="false" customHeight="false" outlineLevel="0" collapsed="false">
      <c r="A9" s="3"/>
      <c r="B9" s="3" t="s">
        <v>21</v>
      </c>
      <c r="C9" s="5" t="s">
        <v>18</v>
      </c>
      <c r="D9" s="6" t="n">
        <f aca="false">IFERROR(__xludf.dummyfunction("AVERAGE(FILTER('__flatlist__'!D$2:D1012,('__flatlist__'!$B$2:$B1012=$B9),('__flatlist__'!$C$2:$C1012=$C9)))"),0.151582847105733)</f>
        <v>0.1515828471</v>
      </c>
      <c r="E9" s="7" t="n">
        <f aca="false">IFERROR(__xludf.dummyfunction("AVERAGE(FILTER('__flatlist__'!E$2:E1012,('__flatlist__'!$B$2:$B1012=$B9),('__flatlist__'!$C$2:$C1012=$C9)))"),3.2)</f>
        <v>3.2</v>
      </c>
      <c r="F9" s="7" t="n">
        <f aca="false">IFERROR(__xludf.dummyfunction("AVERAGE(FILTER('__flatlist__'!F$2:F1012,('__flatlist__'!$B$2:$B1012=$B9),('__flatlist__'!$C$2:$C1012=$C9)))"),3.4)</f>
        <v>3.4</v>
      </c>
      <c r="G9" s="7" t="n">
        <f aca="false">IFERROR(__xludf.dummyfunction("AVERAGE(FILTER('__flatlist__'!G$2:G1012,('__flatlist__'!$B$2:$B1012=$B9),('__flatlist__'!$C$2:$C1012=$C9)))"),2.9)</f>
        <v>2.9</v>
      </c>
      <c r="H9" s="7" t="n">
        <f aca="false">IFERROR(__xludf.dummyfunction("AVERAGE(FILTER('__flatlist__'!H$2:H1012,('__flatlist__'!$B$2:$B1012=$B9),('__flatlist__'!$C$2:$C1012=$C9)))"),3)</f>
        <v>3</v>
      </c>
      <c r="I9" s="7" t="n">
        <f aca="false">IFERROR(__xludf.dummyfunction("AVERAGE(FILTER('__flatlist__'!I$2:I1012,('__flatlist__'!$B$2:$B1012=$B9),('__flatlist__'!$C$2:$C1012=$C9)))"),3.6)</f>
        <v>3.6</v>
      </c>
      <c r="J9" s="7" t="n">
        <f aca="false">AVERAGE(E9:I9)</f>
        <v>3.22</v>
      </c>
      <c r="K9" s="10" t="n">
        <f aca="false">RANK(J9,$J$4:$J$23,FALSE())</f>
        <v>18</v>
      </c>
    </row>
    <row r="10" customFormat="false" ht="15.75" hidden="false" customHeight="false" outlineLevel="0" collapsed="false">
      <c r="A10" s="3"/>
      <c r="B10" s="3" t="s">
        <v>21</v>
      </c>
      <c r="C10" s="5" t="s">
        <v>19</v>
      </c>
      <c r="D10" s="6" t="n">
        <f aca="false">IFERROR(__xludf.dummyfunction("AVERAGE(FILTER('__flatlist__'!D$2:D1012,('__flatlist__'!$B$2:$B1012=$B10),('__flatlist__'!$C$2:$C1012=$C10)))"),0.0800126211497092)</f>
        <v>0.08001262115</v>
      </c>
      <c r="E10" s="7" t="n">
        <f aca="false">IFERROR(__xludf.dummyfunction("AVERAGE(FILTER('__flatlist__'!E$2:E1012,('__flatlist__'!$B$2:$B1012=$B10),('__flatlist__'!$C$2:$C1012=$C10)))"),2.6)</f>
        <v>2.6</v>
      </c>
      <c r="F10" s="7" t="n">
        <f aca="false">IFERROR(__xludf.dummyfunction("AVERAGE(FILTER('__flatlist__'!F$2:F1012,('__flatlist__'!$B$2:$B1012=$B10),('__flatlist__'!$C$2:$C1012=$C10)))"),4.1)</f>
        <v>4.1</v>
      </c>
      <c r="G10" s="7" t="n">
        <f aca="false">IFERROR(__xludf.dummyfunction("AVERAGE(FILTER('__flatlist__'!G$2:G1012,('__flatlist__'!$B$2:$B1012=$B10),('__flatlist__'!$C$2:$C1012=$C10)))"),3.6)</f>
        <v>3.6</v>
      </c>
      <c r="H10" s="7" t="n">
        <f aca="false">IFERROR(__xludf.dummyfunction("AVERAGE(FILTER('__flatlist__'!H$2:H1012,('__flatlist__'!$B$2:$B1012=$B10),('__flatlist__'!$C$2:$C1012=$C10)))"),2.7)</f>
        <v>2.7</v>
      </c>
      <c r="I10" s="7" t="n">
        <f aca="false">IFERROR(__xludf.dummyfunction("AVERAGE(FILTER('__flatlist__'!I$2:I1012,('__flatlist__'!$B$2:$B1012=$B10),('__flatlist__'!$C$2:$C1012=$C10)))"),2.7)</f>
        <v>2.7</v>
      </c>
      <c r="J10" s="7" t="n">
        <f aca="false">AVERAGE(E10:I10)</f>
        <v>3.14</v>
      </c>
      <c r="K10" s="10" t="n">
        <f aca="false">RANK(J10,$J$4:$J$23,FALSE())</f>
        <v>20</v>
      </c>
    </row>
    <row r="11" customFormat="false" ht="15.75" hidden="false" customHeight="false" outlineLevel="0" collapsed="false">
      <c r="A11" s="3"/>
      <c r="B11" s="3" t="s">
        <v>21</v>
      </c>
      <c r="C11" s="5" t="s">
        <v>20</v>
      </c>
      <c r="D11" s="6" t="n">
        <f aca="false">IFERROR(__xludf.dummyfunction("AVERAGE(FILTER('__flatlist__'!D$2:D1012,('__flatlist__'!$B$2:$B1012=$B11),('__flatlist__'!$C$2:$C1012=$C11)))"),0.223442828113146)</f>
        <v>0.2234428281</v>
      </c>
      <c r="E11" s="7" t="n">
        <f aca="false">IFERROR(__xludf.dummyfunction("AVERAGE(FILTER('__flatlist__'!E$2:E1012,('__flatlist__'!$B$2:$B1012=$B11),('__flatlist__'!$C$2:$C1012=$C11)))"),3.9)</f>
        <v>3.9</v>
      </c>
      <c r="F11" s="7" t="n">
        <f aca="false">IFERROR(__xludf.dummyfunction("AVERAGE(FILTER('__flatlist__'!F$2:F1012,('__flatlist__'!$B$2:$B1012=$B11),('__flatlist__'!$C$2:$C1012=$C11)))"),3.5)</f>
        <v>3.5</v>
      </c>
      <c r="G11" s="7" t="n">
        <f aca="false">IFERROR(__xludf.dummyfunction("AVERAGE(FILTER('__flatlist__'!G$2:G1012,('__flatlist__'!$B$2:$B1012=$B11),('__flatlist__'!$C$2:$C1012=$C11)))"),2.3)</f>
        <v>2.3</v>
      </c>
      <c r="H11" s="7" t="n">
        <f aca="false">IFERROR(__xludf.dummyfunction("AVERAGE(FILTER('__flatlist__'!H$2:H1012,('__flatlist__'!$B$2:$B1012=$B11),('__flatlist__'!$C$2:$C1012=$C11)))"),2.7)</f>
        <v>2.7</v>
      </c>
      <c r="I11" s="7" t="n">
        <f aca="false">IFERROR(__xludf.dummyfunction("AVERAGE(FILTER('__flatlist__'!I$2:I1012,('__flatlist__'!$B$2:$B1012=$B11),('__flatlist__'!$C$2:$C1012=$C11)))"),4.4)</f>
        <v>4.4</v>
      </c>
      <c r="J11" s="7" t="n">
        <f aca="false">AVERAGE(E11:I11)</f>
        <v>3.36</v>
      </c>
      <c r="K11" s="10" t="n">
        <f aca="false">RANK(J11,$J$4:$J$23,FALSE())</f>
        <v>16</v>
      </c>
    </row>
    <row r="12" customFormat="false" ht="15.75" hidden="false" customHeight="false" outlineLevel="0" collapsed="false">
      <c r="A12" s="3"/>
      <c r="B12" s="3" t="s">
        <v>22</v>
      </c>
      <c r="C12" s="5" t="s">
        <v>8</v>
      </c>
      <c r="D12" s="6" t="n">
        <f aca="false">IFERROR(__xludf.dummyfunction("AVERAGE(FILTER('__flatlist__'!D$2:D1012,('__flatlist__'!$B$2:$B1012=$B12),('__flatlist__'!$C$2:$C1012=$C12)))"),0.147877054358492)</f>
        <v>0.1478770544</v>
      </c>
      <c r="E12" s="7" t="n">
        <f aca="false">IFERROR(__xludf.dummyfunction("AVERAGE(FILTER('__flatlist__'!E$2:E1012,('__flatlist__'!$B$2:$B1012=$B12),('__flatlist__'!$C$2:$C1012=$C12)))"),2.2)</f>
        <v>2.2</v>
      </c>
      <c r="F12" s="7" t="n">
        <f aca="false">IFERROR(__xludf.dummyfunction("AVERAGE(FILTER('__flatlist__'!F$2:F1012,('__flatlist__'!$B$2:$B1012=$B12),('__flatlist__'!$C$2:$C1012=$C12)))"),4.5)</f>
        <v>4.5</v>
      </c>
      <c r="G12" s="7" t="n">
        <f aca="false">IFERROR(__xludf.dummyfunction("AVERAGE(FILTER('__flatlist__'!G$2:G1012,('__flatlist__'!$B$2:$B1012=$B12),('__flatlist__'!$C$2:$C1012=$C12)))"),4.6)</f>
        <v>4.6</v>
      </c>
      <c r="H12" s="7" t="n">
        <f aca="false">IFERROR(__xludf.dummyfunction("AVERAGE(FILTER('__flatlist__'!H$2:H1012,('__flatlist__'!$B$2:$B1012=$B12),('__flatlist__'!$C$2:$C1012=$C12)))"),3.9)</f>
        <v>3.9</v>
      </c>
      <c r="I12" s="7" t="n">
        <f aca="false">IFERROR(__xludf.dummyfunction("AVERAGE(FILTER('__flatlist__'!I$2:I1012,('__flatlist__'!$B$2:$B1012=$B12),('__flatlist__'!$C$2:$C1012=$C12)))"),5)</f>
        <v>5</v>
      </c>
      <c r="J12" s="7" t="n">
        <f aca="false">AVERAGE(E12:I12)</f>
        <v>4.04</v>
      </c>
      <c r="K12" s="10" t="n">
        <f aca="false">RANK(J12,$J$4:$J$23,FALSE())</f>
        <v>8</v>
      </c>
      <c r="M12" s="1"/>
      <c r="N12" s="9"/>
      <c r="O12" s="9"/>
      <c r="P12" s="9"/>
      <c r="Q12" s="9"/>
      <c r="R12" s="9"/>
    </row>
    <row r="13" customFormat="false" ht="15.75" hidden="false" customHeight="false" outlineLevel="0" collapsed="false">
      <c r="A13" s="3"/>
      <c r="B13" s="3" t="s">
        <v>22</v>
      </c>
      <c r="C13" s="5" t="s">
        <v>18</v>
      </c>
      <c r="D13" s="6" t="n">
        <f aca="false">IFERROR(__xludf.dummyfunction("AVERAGE(FILTER('__flatlist__'!D$2:D1012,('__flatlist__'!$B$2:$B1012=$B13),('__flatlist__'!$C$2:$C1012=$C13)))"),0.20886689218633)</f>
        <v>0.2088668922</v>
      </c>
      <c r="E13" s="7" t="n">
        <f aca="false">IFERROR(__xludf.dummyfunction("AVERAGE(FILTER('__flatlist__'!E$2:E1012,('__flatlist__'!$B$2:$B1012=$B13),('__flatlist__'!$C$2:$C1012=$C13)))"),4.4)</f>
        <v>4.4</v>
      </c>
      <c r="F13" s="7" t="n">
        <f aca="false">IFERROR(__xludf.dummyfunction("AVERAGE(FILTER('__flatlist__'!F$2:F1012,('__flatlist__'!$B$2:$B1012=$B13),('__flatlist__'!$C$2:$C1012=$C13)))"),4.1)</f>
        <v>4.1</v>
      </c>
      <c r="G13" s="7" t="n">
        <f aca="false">IFERROR(__xludf.dummyfunction("AVERAGE(FILTER('__flatlist__'!G$2:G1012,('__flatlist__'!$B$2:$B1012=$B13),('__flatlist__'!$C$2:$C1012=$C13)))"),4.3)</f>
        <v>4.3</v>
      </c>
      <c r="H13" s="7" t="n">
        <f aca="false">IFERROR(__xludf.dummyfunction("AVERAGE(FILTER('__flatlist__'!H$2:H1012,('__flatlist__'!$B$2:$B1012=$B13),('__flatlist__'!$C$2:$C1012=$C13)))"),2.9)</f>
        <v>2.9</v>
      </c>
      <c r="I13" s="7" t="n">
        <f aca="false">IFERROR(__xludf.dummyfunction("AVERAGE(FILTER('__flatlist__'!I$2:I1012,('__flatlist__'!$B$2:$B1012=$B13),('__flatlist__'!$C$2:$C1012=$C13)))"),4.7)</f>
        <v>4.7</v>
      </c>
      <c r="J13" s="7" t="n">
        <f aca="false">AVERAGE(E13:I13)</f>
        <v>4.08</v>
      </c>
      <c r="K13" s="10" t="n">
        <f aca="false">RANK(J13,$J$4:$J$23,FALSE())</f>
        <v>6</v>
      </c>
      <c r="M13" s="1"/>
      <c r="N13" s="9"/>
    </row>
    <row r="14" customFormat="false" ht="15.75" hidden="false" customHeight="false" outlineLevel="0" collapsed="false">
      <c r="A14" s="3"/>
      <c r="B14" s="3" t="s">
        <v>22</v>
      </c>
      <c r="C14" s="5" t="s">
        <v>19</v>
      </c>
      <c r="D14" s="6" t="n">
        <f aca="false">IFERROR(__xludf.dummyfunction("AVERAGE(FILTER('__flatlist__'!D$2:D1012,('__flatlist__'!$B$2:$B1012=$B14),('__flatlist__'!$C$2:$C1012=$C14)))"),0.0761991566251329)</f>
        <v>0.07619915663</v>
      </c>
      <c r="E14" s="7" t="n">
        <f aca="false">IFERROR(__xludf.dummyfunction("AVERAGE(FILTER('__flatlist__'!E$2:E1012,('__flatlist__'!$B$2:$B1012=$B14),('__flatlist__'!$C$2:$C1012=$C14)))"),3.9)</f>
        <v>3.9</v>
      </c>
      <c r="F14" s="7" t="n">
        <f aca="false">IFERROR(__xludf.dummyfunction("AVERAGE(FILTER('__flatlist__'!F$2:F1012,('__flatlist__'!$B$2:$B1012=$B14),('__flatlist__'!$C$2:$C1012=$C14)))"),4.4)</f>
        <v>4.4</v>
      </c>
      <c r="G14" s="7" t="n">
        <f aca="false">IFERROR(__xludf.dummyfunction("AVERAGE(FILTER('__flatlist__'!G$2:G1012,('__flatlist__'!$B$2:$B1012=$B14),('__flatlist__'!$C$2:$C1012=$C14)))"),4.2)</f>
        <v>4.2</v>
      </c>
      <c r="H14" s="7" t="n">
        <f aca="false">IFERROR(__xludf.dummyfunction("AVERAGE(FILTER('__flatlist__'!H$2:H1012,('__flatlist__'!$B$2:$B1012=$B14),('__flatlist__'!$C$2:$C1012=$C14)))"),4.4)</f>
        <v>4.4</v>
      </c>
      <c r="I14" s="7" t="n">
        <f aca="false">IFERROR(__xludf.dummyfunction("AVERAGE(FILTER('__flatlist__'!I$2:I1012,('__flatlist__'!$B$2:$B1012=$B14),('__flatlist__'!$C$2:$C1012=$C14)))"),4.3)</f>
        <v>4.3</v>
      </c>
      <c r="J14" s="7" t="n">
        <f aca="false">AVERAGE(E14:I14)</f>
        <v>4.24</v>
      </c>
      <c r="K14" s="10" t="n">
        <f aca="false">RANK(J14,$J$4:$J$23,FALSE())</f>
        <v>2</v>
      </c>
      <c r="M14" s="1"/>
      <c r="N14" s="9"/>
    </row>
    <row r="15" customFormat="false" ht="15.75" hidden="false" customHeight="false" outlineLevel="0" collapsed="false">
      <c r="A15" s="3"/>
      <c r="B15" s="3" t="s">
        <v>22</v>
      </c>
      <c r="C15" s="5" t="s">
        <v>20</v>
      </c>
      <c r="D15" s="6" t="n">
        <f aca="false">IFERROR(__xludf.dummyfunction("AVERAGE(FILTER('__flatlist__'!D$2:D1012,('__flatlist__'!$B$2:$B1012=$B15),('__flatlist__'!$C$2:$C1012=$C15)))"),0.0724962869644297)</f>
        <v>0.07249628696</v>
      </c>
      <c r="E15" s="7" t="n">
        <f aca="false">IFERROR(__xludf.dummyfunction("AVERAGE(FILTER('__flatlist__'!E$2:E1012,('__flatlist__'!$B$2:$B1012=$B15),('__flatlist__'!$C$2:$C1012=$C15)))"),4.1)</f>
        <v>4.1</v>
      </c>
      <c r="F15" s="7" t="n">
        <f aca="false">IFERROR(__xludf.dummyfunction("AVERAGE(FILTER('__flatlist__'!F$2:F1012,('__flatlist__'!$B$2:$B1012=$B15),('__flatlist__'!$C$2:$C1012=$C15)))"),4.6)</f>
        <v>4.6</v>
      </c>
      <c r="G15" s="7" t="n">
        <f aca="false">IFERROR(__xludf.dummyfunction("AVERAGE(FILTER('__flatlist__'!G$2:G1012,('__flatlist__'!$B$2:$B1012=$B15),('__flatlist__'!$C$2:$C1012=$C15)))"),4.4)</f>
        <v>4.4</v>
      </c>
      <c r="H15" s="7" t="n">
        <f aca="false">IFERROR(__xludf.dummyfunction("AVERAGE(FILTER('__flatlist__'!H$2:H1012,('__flatlist__'!$B$2:$B1012=$B15),('__flatlist__'!$C$2:$C1012=$C15)))"),4.6)</f>
        <v>4.6</v>
      </c>
      <c r="I15" s="7" t="n">
        <f aca="false">IFERROR(__xludf.dummyfunction("AVERAGE(FILTER('__flatlist__'!I$2:I1012,('__flatlist__'!$B$2:$B1012=$B15),('__flatlist__'!$C$2:$C1012=$C15)))"),4.7)</f>
        <v>4.7</v>
      </c>
      <c r="J15" s="7" t="n">
        <f aca="false">AVERAGE(E15:I15)</f>
        <v>4.48</v>
      </c>
      <c r="K15" s="10" t="n">
        <f aca="false">RANK(J15,$J$4:$J$23,FALSE())</f>
        <v>1</v>
      </c>
      <c r="M15" s="1"/>
      <c r="N15" s="9"/>
    </row>
    <row r="16" customFormat="false" ht="15.75" hidden="false" customHeight="false" outlineLevel="0" collapsed="false">
      <c r="A16" s="3"/>
      <c r="B16" s="3" t="s">
        <v>23</v>
      </c>
      <c r="C16" s="5" t="s">
        <v>8</v>
      </c>
      <c r="D16" s="6" t="n">
        <f aca="false">IFERROR(__xludf.dummyfunction("AVERAGE(FILTER('__flatlist__'!D$2:D1012,('__flatlist__'!$B$2:$B1012=$B16),('__flatlist__'!$C$2:$C1012=$C16)))"),0.0966089817333417)</f>
        <v>0.09660898173</v>
      </c>
      <c r="E16" s="7" t="n">
        <f aca="false">IFERROR(__xludf.dummyfunction("AVERAGE(FILTER('__flatlist__'!E$2:E1012,('__flatlist__'!$B$2:$B1012=$B16),('__flatlist__'!$C$2:$C1012=$C16)))"),2.7)</f>
        <v>2.7</v>
      </c>
      <c r="F16" s="7" t="n">
        <f aca="false">IFERROR(__xludf.dummyfunction("AVERAGE(FILTER('__flatlist__'!F$2:F1012,('__flatlist__'!$B$2:$B1012=$B16),('__flatlist__'!$C$2:$C1012=$C16)))"),3.9)</f>
        <v>3.9</v>
      </c>
      <c r="G16" s="7" t="n">
        <f aca="false">IFERROR(__xludf.dummyfunction("AVERAGE(FILTER('__flatlist__'!G$2:G1012,('__flatlist__'!$B$2:$B1012=$B16),('__flatlist__'!$C$2:$C1012=$C16)))"),4.2)</f>
        <v>4.2</v>
      </c>
      <c r="H16" s="7" t="n">
        <f aca="false">IFERROR(__xludf.dummyfunction("AVERAGE(FILTER('__flatlist__'!H$2:H1012,('__flatlist__'!$B$2:$B1012=$B16),('__flatlist__'!$C$2:$C1012=$C16)))"),4.1)</f>
        <v>4.1</v>
      </c>
      <c r="I16" s="7" t="n">
        <f aca="false">IFERROR(__xludf.dummyfunction("AVERAGE(FILTER('__flatlist__'!I$2:I1012,('__flatlist__'!$B$2:$B1012=$B16),('__flatlist__'!$C$2:$C1012=$C16)))"),4.5)</f>
        <v>4.5</v>
      </c>
      <c r="J16" s="7" t="n">
        <f aca="false">AVERAGE(E16:I16)</f>
        <v>3.88</v>
      </c>
      <c r="K16" s="10" t="n">
        <f aca="false">RANK(J16,$J$4:$J$23,FALSE())</f>
        <v>11</v>
      </c>
      <c r="M16" s="1"/>
      <c r="N16" s="9"/>
    </row>
    <row r="17" customFormat="false" ht="15.75" hidden="false" customHeight="false" outlineLevel="0" collapsed="false">
      <c r="A17" s="3"/>
      <c r="B17" s="3" t="s">
        <v>23</v>
      </c>
      <c r="C17" s="5" t="s">
        <v>18</v>
      </c>
      <c r="D17" s="6" t="n">
        <f aca="false">IFERROR(__xludf.dummyfunction("AVERAGE(FILTER('__flatlist__'!D$2:D1012,('__flatlist__'!$B$2:$B1012=$B17),('__flatlist__'!$C$2:$C1012=$C17)))"),0.093145405741039)</f>
        <v>0.09314540574</v>
      </c>
      <c r="E17" s="7" t="n">
        <f aca="false">IFERROR(__xludf.dummyfunction("AVERAGE(FILTER('__flatlist__'!E$2:E1012,('__flatlist__'!$B$2:$B1012=$B17),('__flatlist__'!$C$2:$C1012=$C17)))"),4.1)</f>
        <v>4.1</v>
      </c>
      <c r="F17" s="7" t="n">
        <f aca="false">IFERROR(__xludf.dummyfunction("AVERAGE(FILTER('__flatlist__'!F$2:F1012,('__flatlist__'!$B$2:$B1012=$B17),('__flatlist__'!$C$2:$C1012=$C17)))"),4)</f>
        <v>4</v>
      </c>
      <c r="G17" s="7" t="n">
        <f aca="false">IFERROR(__xludf.dummyfunction("AVERAGE(FILTER('__flatlist__'!G$2:G1012,('__flatlist__'!$B$2:$B1012=$B17),('__flatlist__'!$C$2:$C1012=$C17)))"),4.1)</f>
        <v>4.1</v>
      </c>
      <c r="H17" s="7" t="n">
        <f aca="false">IFERROR(__xludf.dummyfunction("AVERAGE(FILTER('__flatlist__'!H$2:H1012,('__flatlist__'!$B$2:$B1012=$B17),('__flatlist__'!$C$2:$C1012=$C17)))"),4.3)</f>
        <v>4.3</v>
      </c>
      <c r="I17" s="7" t="n">
        <f aca="false">IFERROR(__xludf.dummyfunction("AVERAGE(FILTER('__flatlist__'!I$2:I1012,('__flatlist__'!$B$2:$B1012=$B17),('__flatlist__'!$C$2:$C1012=$C17)))"),4.3)</f>
        <v>4.3</v>
      </c>
      <c r="J17" s="7" t="n">
        <f aca="false">AVERAGE(E17:I17)</f>
        <v>4.16</v>
      </c>
      <c r="K17" s="10" t="n">
        <f aca="false">RANK(J17,$J$4:$J$23,FALSE())</f>
        <v>5</v>
      </c>
      <c r="M17" s="1"/>
      <c r="N17" s="9"/>
    </row>
    <row r="18" customFormat="false" ht="15.75" hidden="false" customHeight="false" outlineLevel="0" collapsed="false">
      <c r="A18" s="3"/>
      <c r="B18" s="3" t="s">
        <v>23</v>
      </c>
      <c r="C18" s="5" t="s">
        <v>19</v>
      </c>
      <c r="D18" s="6" t="n">
        <f aca="false">IFERROR(__xludf.dummyfunction("AVERAGE(FILTER('__flatlist__'!D$2:D1012,('__flatlist__'!$B$2:$B1012=$B18),('__flatlist__'!$C$2:$C1012=$C18)))"),0.0739822966466499)</f>
        <v>0.07398229665</v>
      </c>
      <c r="E18" s="7" t="n">
        <f aca="false">IFERROR(__xludf.dummyfunction("AVERAGE(FILTER('__flatlist__'!E$2:E1012,('__flatlist__'!$B$2:$B1012=$B18),('__flatlist__'!$C$2:$C1012=$C18)))"),3.8)</f>
        <v>3.8</v>
      </c>
      <c r="F18" s="7" t="n">
        <f aca="false">IFERROR(__xludf.dummyfunction("AVERAGE(FILTER('__flatlist__'!F$2:F1012,('__flatlist__'!$B$2:$B1012=$B18),('__flatlist__'!$C$2:$C1012=$C18)))"),4.1)</f>
        <v>4.1</v>
      </c>
      <c r="G18" s="7" t="n">
        <f aca="false">IFERROR(__xludf.dummyfunction("AVERAGE(FILTER('__flatlist__'!G$2:G1012,('__flatlist__'!$B$2:$B1012=$B18),('__flatlist__'!$C$2:$C1012=$C18)))"),4.2)</f>
        <v>4.2</v>
      </c>
      <c r="H18" s="7" t="n">
        <f aca="false">IFERROR(__xludf.dummyfunction("AVERAGE(FILTER('__flatlist__'!H$2:H1012,('__flatlist__'!$B$2:$B1012=$B18),('__flatlist__'!$C$2:$C1012=$C18)))"),3.6)</f>
        <v>3.6</v>
      </c>
      <c r="I18" s="7" t="n">
        <f aca="false">IFERROR(__xludf.dummyfunction("AVERAGE(FILTER('__flatlist__'!I$2:I1012,('__flatlist__'!$B$2:$B1012=$B18),('__flatlist__'!$C$2:$C1012=$C18)))"),3.9)</f>
        <v>3.9</v>
      </c>
      <c r="J18" s="7" t="n">
        <f aca="false">AVERAGE(E18:I18)</f>
        <v>3.92</v>
      </c>
      <c r="K18" s="10" t="n">
        <f aca="false">RANK(J18,$J$4:$J$23,FALSE())</f>
        <v>9</v>
      </c>
      <c r="M18" s="1"/>
      <c r="N18" s="9"/>
    </row>
    <row r="19" customFormat="false" ht="15.75" hidden="false" customHeight="false" outlineLevel="0" collapsed="false">
      <c r="A19" s="3"/>
      <c r="B19" s="3" t="s">
        <v>23</v>
      </c>
      <c r="C19" s="5" t="s">
        <v>20</v>
      </c>
      <c r="D19" s="6" t="n">
        <f aca="false">IFERROR(__xludf.dummyfunction("AVERAGE(FILTER('__flatlist__'!D$2:D1012,('__flatlist__'!$B$2:$B1012=$B19),('__flatlist__'!$C$2:$C1012=$C19)))"),0.0592956339236029)</f>
        <v>0.05929563392</v>
      </c>
      <c r="E19" s="7" t="n">
        <f aca="false">IFERROR(__xludf.dummyfunction("AVERAGE(FILTER('__flatlist__'!E$2:E1012,('__flatlist__'!$B$2:$B1012=$B19),('__flatlist__'!$C$2:$C1012=$C19)))"),3.8)</f>
        <v>3.8</v>
      </c>
      <c r="F19" s="7" t="n">
        <f aca="false">IFERROR(__xludf.dummyfunction("AVERAGE(FILTER('__flatlist__'!F$2:F1012,('__flatlist__'!$B$2:$B1012=$B19),('__flatlist__'!$C$2:$C1012=$C19)))"),4.3)</f>
        <v>4.3</v>
      </c>
      <c r="G19" s="7" t="n">
        <f aca="false">IFERROR(__xludf.dummyfunction("AVERAGE(FILTER('__flatlist__'!G$2:G1012,('__flatlist__'!$B$2:$B1012=$B19),('__flatlist__'!$C$2:$C1012=$C19)))"),4.3)</f>
        <v>4.3</v>
      </c>
      <c r="H19" s="7" t="n">
        <f aca="false">IFERROR(__xludf.dummyfunction("AVERAGE(FILTER('__flatlist__'!H$2:H1012,('__flatlist__'!$B$2:$B1012=$B19),('__flatlist__'!$C$2:$C1012=$C19)))"),4.6)</f>
        <v>4.6</v>
      </c>
      <c r="I19" s="7" t="n">
        <f aca="false">IFERROR(__xludf.dummyfunction("AVERAGE(FILTER('__flatlist__'!I$2:I1012,('__flatlist__'!$B$2:$B1012=$B19),('__flatlist__'!$C$2:$C1012=$C19)))"),3.9)</f>
        <v>3.9</v>
      </c>
      <c r="J19" s="7" t="n">
        <f aca="false">AVERAGE(E19:I19)</f>
        <v>4.18</v>
      </c>
      <c r="K19" s="10" t="n">
        <f aca="false">RANK(J19,$J$4:$J$23,FALSE())</f>
        <v>4</v>
      </c>
      <c r="M19" s="1"/>
      <c r="N19" s="9"/>
    </row>
    <row r="20" customFormat="false" ht="15.75" hidden="false" customHeight="false" outlineLevel="0" collapsed="false">
      <c r="A20" s="3"/>
      <c r="B20" s="8" t="s">
        <v>24</v>
      </c>
      <c r="C20" s="5" t="s">
        <v>18</v>
      </c>
      <c r="D20" s="6" t="n">
        <f aca="false">IFERROR(__xludf.dummyfunction("AVERAGE(FILTER('__flatlist__'!D$2:D1012,('__flatlist__'!$B$2:$B1012=$B20),('__flatlist__'!$C$2:$C1012=$C20)))"),0.0505813177803503)</f>
        <v>0.05058131778</v>
      </c>
      <c r="E20" s="7" t="n">
        <f aca="false">IFERROR(__xludf.dummyfunction("AVERAGE(FILTER('__flatlist__'!E$2:E1012,('__flatlist__'!$B$2:$B1012=$B20),('__flatlist__'!$C$2:$C1012=$C20)))"),3.3)</f>
        <v>3.3</v>
      </c>
      <c r="F20" s="7" t="n">
        <f aca="false">IFERROR(__xludf.dummyfunction("AVERAGE(FILTER('__flatlist__'!F$2:F1012,('__flatlist__'!$B$2:$B1012=$B20),('__flatlist__'!$C$2:$C1012=$C20)))"),3.5)</f>
        <v>3.5</v>
      </c>
      <c r="G20" s="7" t="n">
        <f aca="false">IFERROR(__xludf.dummyfunction("AVERAGE(FILTER('__flatlist__'!G$2:G1012,('__flatlist__'!$B$2:$B1012=$B20),('__flatlist__'!$C$2:$C1012=$C20)))"),4.2)</f>
        <v>4.2</v>
      </c>
      <c r="H20" s="7" t="n">
        <f aca="false">IFERROR(__xludf.dummyfunction("AVERAGE(FILTER('__flatlist__'!H$2:H1012,('__flatlist__'!$B$2:$B1012=$B20),('__flatlist__'!$C$2:$C1012=$C20)))"),4)</f>
        <v>4</v>
      </c>
      <c r="I20" s="7" t="n">
        <f aca="false">IFERROR(__xludf.dummyfunction("AVERAGE(FILTER('__flatlist__'!I$2:I1012,('__flatlist__'!$B$2:$B1012=$B20),('__flatlist__'!$C$2:$C1012=$C20)))"),3.1)</f>
        <v>3.1</v>
      </c>
      <c r="J20" s="7" t="n">
        <f aca="false">AVERAGE(E20:I20)</f>
        <v>3.62</v>
      </c>
      <c r="K20" s="10" t="n">
        <f aca="false">RANK(J20,$J$4:$J$23,FALSE())</f>
        <v>15</v>
      </c>
      <c r="M20" s="1"/>
      <c r="N20" s="9"/>
    </row>
    <row r="21" customFormat="false" ht="15.75" hidden="false" customHeight="false" outlineLevel="0" collapsed="false">
      <c r="A21" s="3"/>
      <c r="B21" s="8" t="s">
        <v>24</v>
      </c>
      <c r="C21" s="5" t="s">
        <v>19</v>
      </c>
      <c r="D21" s="6" t="n">
        <f aca="false">IFERROR(__xludf.dummyfunction("AVERAGE(FILTER('__flatlist__'!D$2:D1012,('__flatlist__'!$B$2:$B1012=$B21),('__flatlist__'!$C$2:$C1012=$C21)))"),0.0355975262036071)</f>
        <v>0.0355975262</v>
      </c>
      <c r="E21" s="7" t="n">
        <f aca="false">IFERROR(__xludf.dummyfunction("AVERAGE(FILTER('__flatlist__'!E$2:E1012,('__flatlist__'!$B$2:$B1012=$B21),('__flatlist__'!$C$2:$C1012=$C21)))"),3.2)</f>
        <v>3.2</v>
      </c>
      <c r="F21" s="7" t="n">
        <f aca="false">IFERROR(__xludf.dummyfunction("AVERAGE(FILTER('__flatlist__'!F$2:F1012,('__flatlist__'!$B$2:$B1012=$B21),('__flatlist__'!$C$2:$C1012=$C21)))"),4.4)</f>
        <v>4.4</v>
      </c>
      <c r="G21" s="7" t="n">
        <f aca="false">IFERROR(__xludf.dummyfunction("AVERAGE(FILTER('__flatlist__'!G$2:G1012,('__flatlist__'!$B$2:$B1012=$B21),('__flatlist__'!$C$2:$C1012=$C21)))"),4.4)</f>
        <v>4.4</v>
      </c>
      <c r="H21" s="7" t="n">
        <f aca="false">IFERROR(__xludf.dummyfunction("AVERAGE(FILTER('__flatlist__'!H$2:H1012,('__flatlist__'!$B$2:$B1012=$B21),('__flatlist__'!$C$2:$C1012=$C21)))"),4.4)</f>
        <v>4.4</v>
      </c>
      <c r="I21" s="7" t="n">
        <f aca="false">IFERROR(__xludf.dummyfunction("AVERAGE(FILTER('__flatlist__'!I$2:I1012,('__flatlist__'!$B$2:$B1012=$B21),('__flatlist__'!$C$2:$C1012=$C21)))"),3)</f>
        <v>3</v>
      </c>
      <c r="J21" s="7" t="n">
        <f aca="false">AVERAGE(E21:I21)</f>
        <v>3.88</v>
      </c>
      <c r="K21" s="10" t="n">
        <f aca="false">RANK(J21,$J$4:$J$23,FALSE())</f>
        <v>10</v>
      </c>
      <c r="M21" s="1"/>
      <c r="N21" s="9"/>
    </row>
    <row r="22" customFormat="false" ht="15.75" hidden="false" customHeight="false" outlineLevel="0" collapsed="false">
      <c r="A22" s="3"/>
      <c r="B22" s="8" t="s">
        <v>24</v>
      </c>
      <c r="C22" s="5" t="s">
        <v>8</v>
      </c>
      <c r="D22" s="6" t="n">
        <f aca="false">IFERROR(__xludf.dummyfunction("AVERAGE(FILTER('__flatlist__'!D$2:D1012,('__flatlist__'!$B$2:$B1012=$B22),('__flatlist__'!$C$2:$C1012=$C22)))"),0.075928758368286)</f>
        <v>0.07592875837</v>
      </c>
      <c r="E22" s="7" t="n">
        <f aca="false">IFERROR(__xludf.dummyfunction("AVERAGE(FILTER('__flatlist__'!E$2:E1012,('__flatlist__'!$B$2:$B1012=$B22),('__flatlist__'!$C$2:$C1012=$C22)))"),2.1)</f>
        <v>2.1</v>
      </c>
      <c r="F22" s="7" t="n">
        <f aca="false">IFERROR(__xludf.dummyfunction("AVERAGE(FILTER('__flatlist__'!F$2:F1012,('__flatlist__'!$B$2:$B1012=$B22),('__flatlist__'!$C$2:$C1012=$C22)))"),4.1)</f>
        <v>4.1</v>
      </c>
      <c r="G22" s="7" t="n">
        <f aca="false">IFERROR(__xludf.dummyfunction("AVERAGE(FILTER('__flatlist__'!G$2:G1012,('__flatlist__'!$B$2:$B1012=$B22),('__flatlist__'!$C$2:$C1012=$C22)))"),4.3)</f>
        <v>4.3</v>
      </c>
      <c r="H22" s="7" t="n">
        <f aca="false">IFERROR(__xludf.dummyfunction("AVERAGE(FILTER('__flatlist__'!H$2:H1012,('__flatlist__'!$B$2:$B1012=$B22),('__flatlist__'!$C$2:$C1012=$C22)))"),4.3)</f>
        <v>4.3</v>
      </c>
      <c r="I22" s="7" t="n">
        <f aca="false">IFERROR(__xludf.dummyfunction("AVERAGE(FILTER('__flatlist__'!I$2:I1012,('__flatlist__'!$B$2:$B1012=$B22),('__flatlist__'!$C$2:$C1012=$C22)))"),4.4)</f>
        <v>4.4</v>
      </c>
      <c r="J22" s="7" t="n">
        <f aca="false">AVERAGE(E22:I22)</f>
        <v>3.84</v>
      </c>
      <c r="K22" s="10" t="n">
        <f aca="false">RANK(J22,$J$4:$J$23,FALSE())</f>
        <v>12</v>
      </c>
      <c r="M22" s="1"/>
      <c r="N22" s="9"/>
    </row>
    <row r="23" customFormat="false" ht="15.75" hidden="false" customHeight="false" outlineLevel="0" collapsed="false">
      <c r="A23" s="3"/>
      <c r="B23" s="8" t="s">
        <v>24</v>
      </c>
      <c r="C23" s="5" t="s">
        <v>20</v>
      </c>
      <c r="D23" s="6" t="n">
        <f aca="false">IFERROR(__xludf.dummyfunction("AVERAGE(FILTER('__flatlist__'!D$2:D1012,('__flatlist__'!$B$2:$B1012=$B23),('__flatlist__'!$C$2:$C1012=$C23)))"),0.034822731659344)</f>
        <v>0.03482273166</v>
      </c>
      <c r="E23" s="7" t="n">
        <f aca="false">IFERROR(__xludf.dummyfunction("AVERAGE(FILTER('__flatlist__'!E$2:E1012,('__flatlist__'!$B$2:$B1012=$B23),('__flatlist__'!$C$2:$C1012=$C23)))"),4.1)</f>
        <v>4.1</v>
      </c>
      <c r="F23" s="7" t="n">
        <f aca="false">IFERROR(__xludf.dummyfunction("AVERAGE(FILTER('__flatlist__'!F$2:F1012,('__flatlist__'!$B$2:$B1012=$B23),('__flatlist__'!$C$2:$C1012=$C23)))"),4.4)</f>
        <v>4.4</v>
      </c>
      <c r="G23" s="7" t="n">
        <f aca="false">IFERROR(__xludf.dummyfunction("AVERAGE(FILTER('__flatlist__'!G$2:G1012,('__flatlist__'!$B$2:$B1012=$B23),('__flatlist__'!$C$2:$C1012=$C23)))"),4.4)</f>
        <v>4.4</v>
      </c>
      <c r="H23" s="7" t="n">
        <f aca="false">IFERROR(__xludf.dummyfunction("AVERAGE(FILTER('__flatlist__'!H$2:H1012,('__flatlist__'!$B$2:$B1012=$B23),('__flatlist__'!$C$2:$C1012=$C23)))"),5)</f>
        <v>5</v>
      </c>
      <c r="I23" s="7" t="n">
        <f aca="false">IFERROR(__xludf.dummyfunction("AVERAGE(FILTER('__flatlist__'!I$2:I1012,('__flatlist__'!$B$2:$B1012=$B23),('__flatlist__'!$C$2:$C1012=$C23)))"),3.2)</f>
        <v>3.2</v>
      </c>
      <c r="J23" s="7" t="n">
        <f aca="false">AVERAGE(E23:I23)</f>
        <v>4.22</v>
      </c>
      <c r="K23" s="10" t="n">
        <f aca="false">RANK(J23,$J$4:$J$23,FALSE())</f>
        <v>3</v>
      </c>
      <c r="M23" s="1"/>
      <c r="N23" s="9"/>
    </row>
    <row r="24" customFormat="false" ht="15.75" hidden="false" customHeight="false" outlineLevel="0" collapsed="false">
      <c r="C24" s="5"/>
      <c r="E24" s="7"/>
      <c r="F24" s="7"/>
      <c r="G24" s="7"/>
      <c r="H24" s="7"/>
      <c r="I24" s="7"/>
      <c r="M24" s="1"/>
      <c r="N24" s="9"/>
    </row>
    <row r="25" customFormat="false" ht="15.75" hidden="false" customHeight="false" outlineLevel="0" collapsed="false">
      <c r="A25" s="11"/>
      <c r="B25" s="12"/>
      <c r="C25" s="12"/>
      <c r="D25" s="13" t="s">
        <v>25</v>
      </c>
      <c r="E25" s="13"/>
      <c r="F25" s="13"/>
      <c r="G25" s="13"/>
      <c r="H25" s="13"/>
      <c r="I25" s="13"/>
      <c r="J25" s="13"/>
      <c r="K25" s="13"/>
      <c r="M25" s="1"/>
      <c r="N25" s="9"/>
    </row>
    <row r="26" customFormat="false" ht="15.75" hidden="true" customHeight="false" outlineLevel="0" collapsed="false">
      <c r="A26" s="14" t="str">
        <f aca="false">'🤖 Claude Haiku 3.5'!$A$2</f>
        <v>https://www.berria.eus/mundua/aragonesek-lehen-lerro-politikoa-utziko-du_2125045_102.html</v>
      </c>
      <c r="B26" s="15"/>
      <c r="C26" s="16"/>
      <c r="D26" s="17" t="n">
        <f aca="false">IFERROR(__xludf.dummyfunction("AVERAGE(FILTER('__flatlist__'!D$2:D1012,('__flatlist__'!$A$2:$A1012=$A26)))"),0.201915240423798)</f>
        <v>0.2019152404</v>
      </c>
      <c r="E26" s="18" t="n">
        <f aca="false">IFERROR(__xludf.dummyfunction("AVERAGE(FILTER('__flatlist__'!E$2:E1012,('__flatlist__'!$A$2:$A1012=$A26)))"),3.04761904761905)</f>
        <v>3.047619048</v>
      </c>
      <c r="F26" s="18" t="n">
        <f aca="false">IFERROR(__xludf.dummyfunction("AVERAGE(FILTER('__flatlist__'!F$2:F1012,('__flatlist__'!$A$2:$A1012=$A26)))"),3.85714285714286)</f>
        <v>3.857142857</v>
      </c>
      <c r="G26" s="18" t="n">
        <f aca="false">IFERROR(__xludf.dummyfunction("AVERAGE(FILTER('__flatlist__'!G$2:G1012,('__flatlist__'!$A$2:$A1012=$A26)))"),3.47619047619048)</f>
        <v>3.476190476</v>
      </c>
      <c r="H26" s="18" t="n">
        <f aca="false">IFERROR(__xludf.dummyfunction("AVERAGE(FILTER('__flatlist__'!H$2:H1012,('__flatlist__'!$A$2:$A1012=$A26)))"),3.47619047619048)</f>
        <v>3.476190476</v>
      </c>
      <c r="I26" s="18" t="n">
        <f aca="false">IFERROR(__xludf.dummyfunction("AVERAGE(FILTER('__flatlist__'!I$2:I1012,('__flatlist__'!$A$2:$A1012=$A26)))"),3.42857142857143)</f>
        <v>3.428571429</v>
      </c>
      <c r="J26" s="18" t="n">
        <f aca="false">AVERAGE(E26:I26)</f>
        <v>3.4571428572</v>
      </c>
      <c r="K26" s="19"/>
      <c r="M26" s="1"/>
      <c r="N26" s="9"/>
    </row>
    <row r="27" customFormat="false" ht="15.75" hidden="true" customHeight="false" outlineLevel="0" collapsed="false">
      <c r="A27" s="20" t="str">
        <f aca="false">'🤖 Claude Haiku 3.5'!$A$7</f>
        <v>https://www.berria.eus/kirola/derbi-bikoitza_2118881_102.html</v>
      </c>
      <c r="B27" s="3"/>
      <c r="D27" s="6" t="n">
        <f aca="false">IFERROR(__xludf.dummyfunction("AVERAGE(FILTER('__flatlist__'!D$2:D1012,('__flatlist__'!$A$2:$A1012=$A27)))"),0.346180555555556)</f>
        <v>0.3461805556</v>
      </c>
      <c r="E27" s="7" t="n">
        <f aca="false">IFERROR(__xludf.dummyfunction("AVERAGE(FILTER('__flatlist__'!E$2:E1012,('__flatlist__'!$A$2:$A1012=$A27)))"),2.71428571428571)</f>
        <v>2.714285714</v>
      </c>
      <c r="F27" s="7" t="n">
        <f aca="false">IFERROR(__xludf.dummyfunction("AVERAGE(FILTER('__flatlist__'!F$2:F1012,('__flatlist__'!$A$2:$A1012=$A27)))"),3.85714285714286)</f>
        <v>3.857142857</v>
      </c>
      <c r="G27" s="7" t="n">
        <f aca="false">IFERROR(__xludf.dummyfunction("AVERAGE(FILTER('__flatlist__'!G$2:G1012,('__flatlist__'!$A$2:$A1012=$A27)))"),4)</f>
        <v>4</v>
      </c>
      <c r="H27" s="7" t="n">
        <f aca="false">IFERROR(__xludf.dummyfunction("AVERAGE(FILTER('__flatlist__'!H$2:H1012,('__flatlist__'!$A$2:$A1012=$A27)))"),3.76190476190476)</f>
        <v>3.761904762</v>
      </c>
      <c r="I27" s="7" t="n">
        <f aca="false">IFERROR(__xludf.dummyfunction("AVERAGE(FILTER('__flatlist__'!I$2:I1012,('__flatlist__'!$A$2:$A1012=$A27)))"),4.14285714285714)</f>
        <v>4.142857143</v>
      </c>
      <c r="J27" s="7" t="n">
        <f aca="false">AVERAGE(E27:I27)</f>
        <v>3.6952380952</v>
      </c>
      <c r="K27" s="21"/>
      <c r="M27" s="1"/>
      <c r="N27" s="9"/>
    </row>
    <row r="28" customFormat="false" ht="15.75" hidden="true" customHeight="false" outlineLevel="0" collapsed="false">
      <c r="A28" s="20" t="str">
        <f aca="false">'🤖 Claude Haiku 3.5'!$A$12</f>
        <v>https://www.berria.eus/kirola/berriro-etxean-sentitzeko_2117830_102.html</v>
      </c>
      <c r="B28" s="3"/>
      <c r="D28" s="6" t="n">
        <f aca="false">IFERROR(__xludf.dummyfunction("AVERAGE(FILTER('__flatlist__'!D$2:D1012,('__flatlist__'!$A$2:$A1012=$A28)))"),0.247121212121212)</f>
        <v>0.2471212121</v>
      </c>
      <c r="E28" s="7" t="n">
        <f aca="false">IFERROR(__xludf.dummyfunction("AVERAGE(FILTER('__flatlist__'!E$2:E1012,('__flatlist__'!$A$2:$A1012=$A28)))"),3.33333333333333)</f>
        <v>3.333333333</v>
      </c>
      <c r="F28" s="7" t="n">
        <f aca="false">IFERROR(__xludf.dummyfunction("AVERAGE(FILTER('__flatlist__'!F$2:F1012,('__flatlist__'!$A$2:$A1012=$A28)))"),4.0952380952381)</f>
        <v>4.095238095</v>
      </c>
      <c r="G28" s="7" t="n">
        <f aca="false">IFERROR(__xludf.dummyfunction("AVERAGE(FILTER('__flatlist__'!G$2:G1012,('__flatlist__'!$A$2:$A1012=$A28)))"),3.38095238095238)</f>
        <v>3.380952381</v>
      </c>
      <c r="H28" s="7" t="n">
        <f aca="false">IFERROR(__xludf.dummyfunction("AVERAGE(FILTER('__flatlist__'!H$2:H1012,('__flatlist__'!$A$2:$A1012=$A28)))"),3.95238095238095)</f>
        <v>3.952380952</v>
      </c>
      <c r="I28" s="7" t="n">
        <f aca="false">IFERROR(__xludf.dummyfunction("AVERAGE(FILTER('__flatlist__'!I$2:I1012,('__flatlist__'!$A$2:$A1012=$A28)))"),4.47619047619048)</f>
        <v>4.476190476</v>
      </c>
      <c r="J28" s="7" t="n">
        <f aca="false">AVERAGE(E28:I28)</f>
        <v>3.8476190474</v>
      </c>
      <c r="K28" s="21"/>
      <c r="M28" s="1"/>
      <c r="N28" s="9"/>
    </row>
    <row r="29" customFormat="false" ht="15.75" hidden="true" customHeight="false" outlineLevel="0" collapsed="false">
      <c r="A29" s="20" t="str">
        <f aca="false">'🤖 Claude Haiku 3.5'!$A$17</f>
        <v>https://www.berria.eus/komunikazioa/generacion-porno-dokumental-saioa-egin-dute-etbk-eta-tv3ek_1341518_102.html</v>
      </c>
      <c r="B29" s="3"/>
      <c r="D29" s="6" t="n">
        <f aca="false">IFERROR(__xludf.dummyfunction("AVERAGE(FILTER('__flatlist__'!D$2:D1012,('__flatlist__'!$A$2:$A1012=$A29)))"),0.345063538611926)</f>
        <v>0.3450635386</v>
      </c>
      <c r="E29" s="7" t="n">
        <f aca="false">IFERROR(__xludf.dummyfunction("AVERAGE(FILTER('__flatlist__'!E$2:E1012,('__flatlist__'!$A$2:$A1012=$A29)))"),3.14285714285714)</f>
        <v>3.142857143</v>
      </c>
      <c r="F29" s="7" t="n">
        <f aca="false">IFERROR(__xludf.dummyfunction("AVERAGE(FILTER('__flatlist__'!F$2:F1012,('__flatlist__'!$A$2:$A1012=$A29)))"),4.14285714285714)</f>
        <v>4.142857143</v>
      </c>
      <c r="G29" s="7" t="n">
        <f aca="false">IFERROR(__xludf.dummyfunction("AVERAGE(FILTER('__flatlist__'!G$2:G1012,('__flatlist__'!$A$2:$A1012=$A29)))"),3.95238095238095)</f>
        <v>3.952380952</v>
      </c>
      <c r="H29" s="7" t="n">
        <f aca="false">IFERROR(__xludf.dummyfunction("AVERAGE(FILTER('__flatlist__'!H$2:H1012,('__flatlist__'!$A$2:$A1012=$A29)))"),4.14285714285714)</f>
        <v>4.142857143</v>
      </c>
      <c r="I29" s="7" t="n">
        <f aca="false">IFERROR(__xludf.dummyfunction("AVERAGE(FILTER('__flatlist__'!I$2:I1012,('__flatlist__'!$A$2:$A1012=$A29)))"),3.85714285714286)</f>
        <v>3.857142857</v>
      </c>
      <c r="J29" s="7" t="n">
        <f aca="false">AVERAGE(E29:I29)</f>
        <v>3.8476190476</v>
      </c>
      <c r="K29" s="21"/>
      <c r="M29" s="1"/>
      <c r="N29" s="9"/>
    </row>
    <row r="30" customFormat="false" ht="15.75" hidden="true" customHeight="false" outlineLevel="0" collapsed="false">
      <c r="A30" s="20" t="str">
        <f aca="false">'🤖 Claude Haiku 3.5'!$A$22</f>
        <v>https://www.berria.eus/kirola/artolak-nagusitasunez-irabazi-dio-zabaleri_2124679_102.html</v>
      </c>
      <c r="B30" s="3"/>
      <c r="D30" s="6" t="n">
        <f aca="false">IFERROR(__xludf.dummyfunction("AVERAGE(FILTER('__flatlist__'!D$2:D1012,('__flatlist__'!$A$2:$A1012=$A30)))"),0.231365159128978)</f>
        <v>0.2313651591</v>
      </c>
      <c r="E30" s="7" t="n">
        <f aca="false">IFERROR(__xludf.dummyfunction("AVERAGE(FILTER('__flatlist__'!E$2:E1012,('__flatlist__'!$A$2:$A1012=$A30)))"),3.33333333333333)</f>
        <v>3.333333333</v>
      </c>
      <c r="F30" s="7" t="n">
        <f aca="false">IFERROR(__xludf.dummyfunction("AVERAGE(FILTER('__flatlist__'!F$2:F1012,('__flatlist__'!$A$2:$A1012=$A30)))"),4.42857142857143)</f>
        <v>4.428571429</v>
      </c>
      <c r="G30" s="7" t="n">
        <f aca="false">IFERROR(__xludf.dummyfunction("AVERAGE(FILTER('__flatlist__'!G$2:G1012,('__flatlist__'!$A$2:$A1012=$A30)))"),3.76190476190476)</f>
        <v>3.761904762</v>
      </c>
      <c r="H30" s="7" t="n">
        <f aca="false">IFERROR(__xludf.dummyfunction("AVERAGE(FILTER('__flatlist__'!H$2:H1012,('__flatlist__'!$A$2:$A1012=$A30)))"),4.33333333333333)</f>
        <v>4.333333333</v>
      </c>
      <c r="I30" s="7" t="n">
        <f aca="false">IFERROR(__xludf.dummyfunction("AVERAGE(FILTER('__flatlist__'!I$2:I1012,('__flatlist__'!$A$2:$A1012=$A30)))"),3.76190476190476)</f>
        <v>3.761904762</v>
      </c>
      <c r="J30" s="7" t="n">
        <f aca="false">AVERAGE(E30:I30)</f>
        <v>3.9238095238</v>
      </c>
      <c r="K30" s="21"/>
      <c r="M30" s="1"/>
      <c r="N30" s="9"/>
    </row>
    <row r="31" customFormat="false" ht="15.75" hidden="true" customHeight="false" outlineLevel="0" collapsed="false">
      <c r="A31" s="20" t="str">
        <f aca="false">'🤖 Claude Haiku 3.5'!$A$27</f>
        <v>https://www.berria.eus/mundua/gutxienez-40-hildako-eta-dozenaka-zauritu-moskun-gertatutako-tiroketa-batean_2122731_102.html</v>
      </c>
      <c r="B31" s="3"/>
      <c r="D31" s="6" t="n">
        <f aca="false">IFERROR(__xludf.dummyfunction("AVERAGE(FILTER('__flatlist__'!D$2:D1012,('__flatlist__'!$A$2:$A1012=$A31)))"),0.323680351906158)</f>
        <v>0.3236803519</v>
      </c>
      <c r="E31" s="7" t="n">
        <f aca="false">IFERROR(__xludf.dummyfunction("AVERAGE(FILTER('__flatlist__'!E$2:E1012,('__flatlist__'!$A$2:$A1012=$A31)))"),3)</f>
        <v>3</v>
      </c>
      <c r="F31" s="7" t="n">
        <f aca="false">IFERROR(__xludf.dummyfunction("AVERAGE(FILTER('__flatlist__'!F$2:F1012,('__flatlist__'!$A$2:$A1012=$A31)))"),4.04761904761905)</f>
        <v>4.047619048</v>
      </c>
      <c r="G31" s="7" t="n">
        <f aca="false">IFERROR(__xludf.dummyfunction("AVERAGE(FILTER('__flatlist__'!G$2:G1012,('__flatlist__'!$A$2:$A1012=$A31)))"),3.9047619047619)</f>
        <v>3.904761905</v>
      </c>
      <c r="H31" s="7" t="n">
        <f aca="false">IFERROR(__xludf.dummyfunction("AVERAGE(FILTER('__flatlist__'!H$2:H1012,('__flatlist__'!$A$2:$A1012=$A31)))"),4)</f>
        <v>4</v>
      </c>
      <c r="I31" s="7" t="n">
        <f aca="false">IFERROR(__xludf.dummyfunction("AVERAGE(FILTER('__flatlist__'!I$2:I1012,('__flatlist__'!$A$2:$A1012=$A31)))"),4.28571428571429)</f>
        <v>4.285714286</v>
      </c>
      <c r="J31" s="7" t="n">
        <f aca="false">AVERAGE(E31:I31)</f>
        <v>3.8476190478</v>
      </c>
      <c r="K31" s="21"/>
      <c r="M31" s="1"/>
      <c r="N31" s="9"/>
    </row>
    <row r="32" customFormat="false" ht="15.75" hidden="true" customHeight="false" outlineLevel="0" collapsed="false">
      <c r="A32" s="20" t="str">
        <f aca="false">'🤖 Claude Haiku 3.5'!$A$32</f>
        <v>https://www.berria.eus/bizigiro/ohartu-behar-dugu-bizi-garen-jendartea-dominazioaren-kultura-batean-oinarritzen-dela_2121952_102.html</v>
      </c>
      <c r="B32" s="3"/>
      <c r="D32" s="6" t="n">
        <f aca="false">IFERROR(__xludf.dummyfunction("AVERAGE(FILTER('__flatlist__'!D$2:D1012,('__flatlist__'!$A$2:$A1012=$A32)))"),0.19688566552901)</f>
        <v>0.1968856655</v>
      </c>
      <c r="E32" s="7" t="n">
        <f aca="false">IFERROR(__xludf.dummyfunction("AVERAGE(FILTER('__flatlist__'!E$2:E1012,('__flatlist__'!$A$2:$A1012=$A32)))"),3.23809523809524)</f>
        <v>3.238095238</v>
      </c>
      <c r="F32" s="7" t="n">
        <f aca="false">IFERROR(__xludf.dummyfunction("AVERAGE(FILTER('__flatlist__'!F$2:F1012,('__flatlist__'!$A$2:$A1012=$A32)))"),4.23809523809524)</f>
        <v>4.238095238</v>
      </c>
      <c r="G32" s="7" t="n">
        <f aca="false">IFERROR(__xludf.dummyfunction("AVERAGE(FILTER('__flatlist__'!G$2:G1012,('__flatlist__'!$A$2:$A1012=$A32)))"),3.9047619047619)</f>
        <v>3.904761905</v>
      </c>
      <c r="H32" s="7" t="n">
        <f aca="false">IFERROR(__xludf.dummyfunction("AVERAGE(FILTER('__flatlist__'!H$2:H1012,('__flatlist__'!$A$2:$A1012=$A32)))"),4.14285714285714)</f>
        <v>4.142857143</v>
      </c>
      <c r="I32" s="7" t="n">
        <f aca="false">IFERROR(__xludf.dummyfunction("AVERAGE(FILTER('__flatlist__'!I$2:I1012,('__flatlist__'!$A$2:$A1012=$A32)))"),3.95238095238095)</f>
        <v>3.952380952</v>
      </c>
      <c r="J32" s="7" t="n">
        <f aca="false">AVERAGE(E32:I32)</f>
        <v>3.8952380952</v>
      </c>
      <c r="K32" s="21"/>
      <c r="M32" s="1"/>
      <c r="N32" s="9"/>
    </row>
    <row r="33" customFormat="false" ht="15.75" hidden="true" customHeight="false" outlineLevel="0" collapsed="false">
      <c r="A33" s="20" t="str">
        <f aca="false">'🤖 Claude Haiku 3.5'!$A$37</f>
        <v>https://www.berria.eus/ekonomia/energiaren-euskal-erakundea-energia-konpainien-zergaren-aurka_234607_102.html</v>
      </c>
      <c r="B33" s="3"/>
      <c r="D33" s="6" t="n">
        <f aca="false">IFERROR(__xludf.dummyfunction("AVERAGE(FILTER('__flatlist__'!D$2:D1012,('__flatlist__'!$A$2:$A1012=$A33)))"),0.37153708668454)</f>
        <v>0.3715370867</v>
      </c>
      <c r="E33" s="7" t="n">
        <f aca="false">IFERROR(__xludf.dummyfunction("AVERAGE(FILTER('__flatlist__'!E$2:E1012,('__flatlist__'!$A$2:$A1012=$A33)))"),3.42857142857143)</f>
        <v>3.428571429</v>
      </c>
      <c r="F33" s="7" t="n">
        <f aca="false">IFERROR(__xludf.dummyfunction("AVERAGE(FILTER('__flatlist__'!F$2:F1012,('__flatlist__'!$A$2:$A1012=$A33)))"),4.28571428571429)</f>
        <v>4.285714286</v>
      </c>
      <c r="G33" s="7" t="n">
        <f aca="false">IFERROR(__xludf.dummyfunction("AVERAGE(FILTER('__flatlist__'!G$2:G1012,('__flatlist__'!$A$2:$A1012=$A33)))"),3.71428571428571)</f>
        <v>3.714285714</v>
      </c>
      <c r="H33" s="7" t="n">
        <f aca="false">IFERROR(__xludf.dummyfunction("AVERAGE(FILTER('__flatlist__'!H$2:H1012,('__flatlist__'!$A$2:$A1012=$A33)))"),3.85714285714286)</f>
        <v>3.857142857</v>
      </c>
      <c r="I33" s="7" t="n">
        <f aca="false">IFERROR(__xludf.dummyfunction("AVERAGE(FILTER('__flatlist__'!I$2:I1012,('__flatlist__'!$A$2:$A1012=$A33)))"),4.04761904761905)</f>
        <v>4.047619048</v>
      </c>
      <c r="J33" s="7" t="n">
        <f aca="false">AVERAGE(E33:I33)</f>
        <v>3.8666666668</v>
      </c>
      <c r="K33" s="21"/>
      <c r="M33" s="1"/>
      <c r="N33" s="9"/>
    </row>
    <row r="34" customFormat="false" ht="15.75" hidden="true" customHeight="false" outlineLevel="0" collapsed="false">
      <c r="A34" s="20" t="str">
        <f aca="false">'🤖 Claude Haiku 3.5'!$A$42</f>
        <v>https://www.berria.eus/kultura/benat-arrutik-irabazi-du-donostia-kultura-vii-poesia-lehiaketa_2122642_102.html</v>
      </c>
      <c r="B34" s="3"/>
      <c r="D34" s="6" t="n">
        <f aca="false">IFERROR(__xludf.dummyfunction("AVERAGE(FILTER('__flatlist__'!D$2:D1012,('__flatlist__'!$A$2:$A1012=$A34)))"),0.497641509433962)</f>
        <v>0.4976415094</v>
      </c>
      <c r="E34" s="7" t="n">
        <f aca="false">IFERROR(__xludf.dummyfunction("AVERAGE(FILTER('__flatlist__'!E$2:E1012,('__flatlist__'!$A$2:$A1012=$A34)))"),3.80952380952381)</f>
        <v>3.80952381</v>
      </c>
      <c r="F34" s="7" t="n">
        <f aca="false">IFERROR(__xludf.dummyfunction("AVERAGE(FILTER('__flatlist__'!F$2:F1012,('__flatlist__'!$A$2:$A1012=$A34)))"),4.47619047619048)</f>
        <v>4.476190476</v>
      </c>
      <c r="G34" s="7" t="n">
        <f aca="false">IFERROR(__xludf.dummyfunction("AVERAGE(FILTER('__flatlist__'!G$2:G1012,('__flatlist__'!$A$2:$A1012=$A34)))"),4.04761904761905)</f>
        <v>4.047619048</v>
      </c>
      <c r="H34" s="7" t="n">
        <f aca="false">IFERROR(__xludf.dummyfunction("AVERAGE(FILTER('__flatlist__'!H$2:H1012,('__flatlist__'!$A$2:$A1012=$A34)))"),3.38095238095238)</f>
        <v>3.380952381</v>
      </c>
      <c r="I34" s="7" t="n">
        <f aca="false">IFERROR(__xludf.dummyfunction("AVERAGE(FILTER('__flatlist__'!I$2:I1012,('__flatlist__'!$A$2:$A1012=$A34)))"),4.61904761904762)</f>
        <v>4.619047619</v>
      </c>
      <c r="J34" s="7" t="n">
        <f aca="false">AVERAGE(E34:I34)</f>
        <v>4.0666666668</v>
      </c>
      <c r="K34" s="21"/>
      <c r="M34" s="1"/>
      <c r="N34" s="9"/>
    </row>
    <row r="35" customFormat="false" ht="15.75" hidden="true" customHeight="false" outlineLevel="0" collapsed="false">
      <c r="A35" s="20" t="str">
        <f aca="false">'🤖 Claude Haiku 3.5'!$A$47</f>
        <v>https://www.berria.eus/mundua/aleksei-navalni-hil-da_2120844_102.html</v>
      </c>
      <c r="B35" s="3"/>
      <c r="D35" s="6" t="n">
        <f aca="false">IFERROR(__xludf.dummyfunction("AVERAGE(FILTER('__flatlist__'!D$2:D1012,('__flatlist__'!$A$2:$A1012=$A35)))"),0.240392394822006)</f>
        <v>0.2403923948</v>
      </c>
      <c r="E35" s="7" t="n">
        <f aca="false">IFERROR(__xludf.dummyfunction("AVERAGE(FILTER('__flatlist__'!E$2:E1012,('__flatlist__'!$A$2:$A1012=$A35)))"),3.28571428571429)</f>
        <v>3.285714286</v>
      </c>
      <c r="F35" s="7" t="n">
        <f aca="false">IFERROR(__xludf.dummyfunction("AVERAGE(FILTER('__flatlist__'!F$2:F1012,('__flatlist__'!$A$2:$A1012=$A35)))"),4.14285714285714)</f>
        <v>4.142857143</v>
      </c>
      <c r="G35" s="7" t="n">
        <f aca="false">IFERROR(__xludf.dummyfunction("AVERAGE(FILTER('__flatlist__'!G$2:G1012,('__flatlist__'!$A$2:$A1012=$A35)))"),4.14285714285714)</f>
        <v>4.142857143</v>
      </c>
      <c r="H35" s="7" t="n">
        <f aca="false">IFERROR(__xludf.dummyfunction("AVERAGE(FILTER('__flatlist__'!H$2:H1012,('__flatlist__'!$A$2:$A1012=$A35)))"),3.52380952380952)</f>
        <v>3.523809524</v>
      </c>
      <c r="I35" s="7" t="n">
        <f aca="false">IFERROR(__xludf.dummyfunction("AVERAGE(FILTER('__flatlist__'!I$2:I1012,('__flatlist__'!$A$2:$A1012=$A35)))"),4.28571428571429)</f>
        <v>4.285714286</v>
      </c>
      <c r="J35" s="7" t="n">
        <f aca="false">AVERAGE(E35:I35)</f>
        <v>3.8761904764</v>
      </c>
      <c r="K35" s="21"/>
      <c r="M35" s="1"/>
      <c r="N35" s="9"/>
    </row>
    <row r="36" customFormat="false" ht="15.75" hidden="true" customHeight="false" outlineLevel="0" collapsed="false">
      <c r="A36" s="22"/>
      <c r="B36" s="3" t="s">
        <v>17</v>
      </c>
      <c r="D36" s="6" t="n">
        <f aca="false">IFERROR(__xludf.dummyfunction("AVERAGE(FILTER('__flatlist__'!D$2:D1012,('__flatlist__'!$B$2:$B1012=$B36)))"),0.125898108868971)</f>
        <v>0.1258981089</v>
      </c>
      <c r="E36" s="7" t="n">
        <f aca="false">IFERROR(__xludf.dummyfunction("AVERAGE(FILTER('__flatlist__'!E$2:E1012,('__flatlist__'!$B$2:$B1012=$B36)))"),2.725)</f>
        <v>2.725</v>
      </c>
      <c r="F36" s="7" t="n">
        <f aca="false">IFERROR(__xludf.dummyfunction("AVERAGE(FILTER('__flatlist__'!F$2:F1012,('__flatlist__'!$B$2:$B1012=$B36)))"),4.45)</f>
        <v>4.45</v>
      </c>
      <c r="G36" s="7" t="n">
        <f aca="false">IFERROR(__xludf.dummyfunction("AVERAGE(FILTER('__flatlist__'!G$2:G1012,('__flatlist__'!$B$2:$B1012=$B36)))"),2.975)</f>
        <v>2.975</v>
      </c>
      <c r="H36" s="7" t="n">
        <f aca="false">IFERROR(__xludf.dummyfunction("AVERAGE(FILTER('__flatlist__'!H$2:H1012,('__flatlist__'!$B$2:$B1012=$B36)))"),3.575)</f>
        <v>3.575</v>
      </c>
      <c r="I36" s="7" t="n">
        <f aca="false">IFERROR(__xludf.dummyfunction("AVERAGE(FILTER('__flatlist__'!I$2:I1012,('__flatlist__'!$B$2:$B1012=$B36)))"),4.575)</f>
        <v>4.575</v>
      </c>
      <c r="J36" s="7" t="n">
        <f aca="false">AVERAGE(E36:I36)</f>
        <v>3.66</v>
      </c>
      <c r="K36" s="23" t="n">
        <f aca="false">RANK(J36,$J$36:$J$40,FALSE())</f>
        <v>4</v>
      </c>
      <c r="M36" s="1"/>
      <c r="N36" s="9"/>
    </row>
    <row r="37" customFormat="false" ht="15.75" hidden="false" customHeight="false" outlineLevel="0" collapsed="false">
      <c r="A37" s="22"/>
      <c r="B37" s="3" t="s">
        <v>21</v>
      </c>
      <c r="D37" s="6" t="n">
        <f aca="false">IFERROR(__xludf.dummyfunction("AVERAGE(FILTER('__flatlist__'!D$2:D1012,('__flatlist__'!$B$2:$B1012=$B37)))"),0.143340203150957)</f>
        <v>0.1433402032</v>
      </c>
      <c r="E37" s="7" t="n">
        <f aca="false">IFERROR(__xludf.dummyfunction("AVERAGE(FILTER('__flatlist__'!E$2:E1012,('__flatlist__'!$B$2:$B1012=$B37)))"),2.925)</f>
        <v>2.925</v>
      </c>
      <c r="F37" s="7" t="n">
        <f aca="false">IFERROR(__xludf.dummyfunction("AVERAGE(FILTER('__flatlist__'!F$2:F1012,('__flatlist__'!$B$2:$B1012=$B37)))"),3.65)</f>
        <v>3.65</v>
      </c>
      <c r="G37" s="7" t="n">
        <f aca="false">IFERROR(__xludf.dummyfunction("AVERAGE(FILTER('__flatlist__'!G$2:G1012,('__flatlist__'!$B$2:$B1012=$B37)))"),2.975)</f>
        <v>2.975</v>
      </c>
      <c r="H37" s="7" t="n">
        <f aca="false">IFERROR(__xludf.dummyfunction("AVERAGE(FILTER('__flatlist__'!H$2:H1012,('__flatlist__'!$B$2:$B1012=$B37)))"),3)</f>
        <v>3</v>
      </c>
      <c r="I37" s="7" t="n">
        <f aca="false">IFERROR(__xludf.dummyfunction("AVERAGE(FILTER('__flatlist__'!I$2:I1012,('__flatlist__'!$B$2:$B1012=$B37)))"),3.775)</f>
        <v>3.775</v>
      </c>
      <c r="J37" s="7" t="n">
        <f aca="false">AVERAGE(E37:I37)</f>
        <v>3.265</v>
      </c>
      <c r="K37" s="24" t="n">
        <f aca="false">RANK(J37,$J$36:$J$40,FALSE())</f>
        <v>5</v>
      </c>
      <c r="M37" s="1"/>
      <c r="N37" s="9"/>
    </row>
    <row r="38" customFormat="false" ht="15.75" hidden="false" customHeight="false" outlineLevel="0" collapsed="false">
      <c r="A38" s="22"/>
      <c r="B38" s="3" t="s">
        <v>22</v>
      </c>
      <c r="D38" s="6" t="n">
        <f aca="false">IFERROR(__xludf.dummyfunction("AVERAGE(FILTER('__flatlist__'!D$2:D1012,('__flatlist__'!$B$2:$B1012=$B38)))"),0.126359847533596)</f>
        <v>0.1263598475</v>
      </c>
      <c r="E38" s="7" t="n">
        <f aca="false">IFERROR(__xludf.dummyfunction("AVERAGE(FILTER('__flatlist__'!E$2:E1012,('__flatlist__'!$B$2:$B1012=$B38)))"),3.65)</f>
        <v>3.65</v>
      </c>
      <c r="F38" s="7" t="n">
        <f aca="false">IFERROR(__xludf.dummyfunction("AVERAGE(FILTER('__flatlist__'!F$2:F1012,('__flatlist__'!$B$2:$B1012=$B38)))"),4.4)</f>
        <v>4.4</v>
      </c>
      <c r="G38" s="7" t="n">
        <f aca="false">IFERROR(__xludf.dummyfunction("AVERAGE(FILTER('__flatlist__'!G$2:G1012,('__flatlist__'!$B$2:$B1012=$B38)))"),4.375)</f>
        <v>4.375</v>
      </c>
      <c r="H38" s="7" t="n">
        <f aca="false">IFERROR(__xludf.dummyfunction("AVERAGE(FILTER('__flatlist__'!H$2:H1012,('__flatlist__'!$B$2:$B1012=$B38)))"),3.95)</f>
        <v>3.95</v>
      </c>
      <c r="I38" s="7" t="n">
        <f aca="false">IFERROR(__xludf.dummyfunction("AVERAGE(FILTER('__flatlist__'!I$2:I1012,('__flatlist__'!$B$2:$B1012=$B38)))"),4.675)</f>
        <v>4.675</v>
      </c>
      <c r="J38" s="7" t="n">
        <f aca="false">AVERAGE(E38:I38)</f>
        <v>4.21</v>
      </c>
      <c r="K38" s="24" t="n">
        <f aca="false">RANK(J38,$J$36:$J$40,FALSE())</f>
        <v>1</v>
      </c>
      <c r="M38" s="1"/>
      <c r="N38" s="9"/>
    </row>
    <row r="39" customFormat="false" ht="15.75" hidden="false" customHeight="false" outlineLevel="0" collapsed="false">
      <c r="A39" s="3"/>
      <c r="B39" s="3" t="s">
        <v>23</v>
      </c>
      <c r="D39" s="6" t="n">
        <f aca="false">IFERROR(__xludf.dummyfunction("AVERAGE(FILTER('__flatlist__'!D$2:D1012,('__flatlist__'!$B$2:$B1012=$B39)))"),0.080758079511159)</f>
        <v>0.08075807951</v>
      </c>
      <c r="E39" s="7" t="n">
        <f aca="false">IFERROR(__xludf.dummyfunction("AVERAGE(FILTER('__flatlist__'!E$2:E1012,('__flatlist__'!$B$2:$B1012=$B39)))"),3.6)</f>
        <v>3.6</v>
      </c>
      <c r="F39" s="7" t="n">
        <f aca="false">IFERROR(__xludf.dummyfunction("AVERAGE(FILTER('__flatlist__'!F$2:F1012,('__flatlist__'!$B$2:$B1012=$B39)))"),4.075)</f>
        <v>4.075</v>
      </c>
      <c r="G39" s="7" t="n">
        <f aca="false">IFERROR(__xludf.dummyfunction("AVERAGE(FILTER('__flatlist__'!G$2:G1012,('__flatlist__'!$B$2:$B1012=$B39)))"),4.2)</f>
        <v>4.2</v>
      </c>
      <c r="H39" s="7" t="n">
        <f aca="false">IFERROR(__xludf.dummyfunction("AVERAGE(FILTER('__flatlist__'!H$2:H1012,('__flatlist__'!$B$2:$B1012=$B39)))"),4.15)</f>
        <v>4.15</v>
      </c>
      <c r="I39" s="7" t="n">
        <f aca="false">IFERROR(__xludf.dummyfunction("AVERAGE(FILTER('__flatlist__'!I$2:I1012,('__flatlist__'!$B$2:$B1012=$B39)))"),4.15)</f>
        <v>4.15</v>
      </c>
      <c r="J39" s="7" t="n">
        <f aca="false">AVERAGE(E39:I39)</f>
        <v>4.035</v>
      </c>
      <c r="K39" s="24" t="n">
        <f aca="false">RANK(J39,$J$36:$J$40,FALSE())</f>
        <v>2</v>
      </c>
      <c r="M39" s="1"/>
      <c r="N39" s="9"/>
    </row>
    <row r="40" customFormat="false" ht="15.75" hidden="false" customHeight="false" outlineLevel="0" collapsed="false">
      <c r="A40" s="22"/>
      <c r="B40" s="8" t="s">
        <v>24</v>
      </c>
      <c r="D40" s="6" t="n">
        <f aca="false">IFERROR(__xludf.dummyfunction("AVERAGE(FILTER('__flatlist__'!D$2:D1012,('__flatlist__'!$B$2:$B1012=$B40)))"),0.0492325835028967)</f>
        <v>0.0492325835</v>
      </c>
      <c r="E40" s="7" t="n">
        <f aca="false">IFERROR(__xludf.dummyfunction("AVERAGE(FILTER('__flatlist__'!E$2:E1012,('__flatlist__'!$B$2:$B1012=$B40)))"),3.175)</f>
        <v>3.175</v>
      </c>
      <c r="F40" s="7" t="n">
        <f aca="false">IFERROR(__xludf.dummyfunction("AVERAGE(FILTER('__flatlist__'!F$2:F1012,('__flatlist__'!$B$2:$B1012=$B40)))"),4.1)</f>
        <v>4.1</v>
      </c>
      <c r="G40" s="7" t="n">
        <f aca="false">IFERROR(__xludf.dummyfunction("AVERAGE(FILTER('__flatlist__'!G$2:G1012,('__flatlist__'!$B$2:$B1012=$B40)))"),4.325)</f>
        <v>4.325</v>
      </c>
      <c r="H40" s="7" t="n">
        <f aca="false">IFERROR(__xludf.dummyfunction("AVERAGE(FILTER('__flatlist__'!H$2:H1012,('__flatlist__'!$B$2:$B1012=$B40)))"),4.425)</f>
        <v>4.425</v>
      </c>
      <c r="I40" s="7" t="n">
        <f aca="false">IFERROR(__xludf.dummyfunction("AVERAGE(FILTER('__flatlist__'!I$2:I1012,('__flatlist__'!$B$2:$B1012=$B40)))"),3.425)</f>
        <v>3.425</v>
      </c>
      <c r="J40" s="7" t="n">
        <f aca="false">AVERAGE(E40:I40)</f>
        <v>3.89</v>
      </c>
      <c r="K40" s="25" t="n">
        <f aca="false">RANK(J40,$J$36:$J$40,FALSE())</f>
        <v>3</v>
      </c>
      <c r="M40" s="1"/>
      <c r="N40" s="9"/>
    </row>
    <row r="41" customFormat="false" ht="15.75" hidden="false" customHeight="false" outlineLevel="0" collapsed="false">
      <c r="A41" s="26"/>
      <c r="B41" s="16"/>
      <c r="C41" s="27" t="s">
        <v>18</v>
      </c>
      <c r="D41" s="17" t="n">
        <f aca="false">IFERROR(__xludf.dummyfunction("AVERAGE(FILTER('__flatlist__'!D$2:D1012,('__flatlist__'!$C$2:$C1012=$C41)))"),0.137832122144969)</f>
        <v>0.1378321221</v>
      </c>
      <c r="E41" s="28" t="n">
        <f aca="false">IFERROR(__xludf.dummyfunction("AVERAGE(FILTER('__flatlist__'!E$2:E1012,('__flatlist__'!$C$2:$C1012=$C41)))"),3.56)</f>
        <v>3.56</v>
      </c>
      <c r="F41" s="28" t="n">
        <f aca="false">IFERROR(__xludf.dummyfunction("AVERAGE(FILTER('__flatlist__'!F$2:F1012,('__flatlist__'!$C$2:$C1012=$C41)))"),3.9)</f>
        <v>3.9</v>
      </c>
      <c r="G41" s="28" t="n">
        <f aca="false">IFERROR(__xludf.dummyfunction("AVERAGE(FILTER('__flatlist__'!G$2:G1012,('__flatlist__'!$C$2:$C1012=$C41)))"),3.36)</f>
        <v>3.36</v>
      </c>
      <c r="H41" s="28" t="n">
        <f aca="false">IFERROR(__xludf.dummyfunction("AVERAGE(FILTER('__flatlist__'!H$2:H1012,('__flatlist__'!$C$2:$C1012=$C41)))"),3.4)</f>
        <v>3.4</v>
      </c>
      <c r="I41" s="28" t="n">
        <f aca="false">IFERROR(__xludf.dummyfunction("AVERAGE(FILTER('__flatlist__'!I$2:I1012,('__flatlist__'!$C$2:$C1012=$C41)))"),4.02)</f>
        <v>4.02</v>
      </c>
      <c r="J41" s="28" t="n">
        <f aca="false">AVERAGE(E41:I41)</f>
        <v>3.648</v>
      </c>
      <c r="K41" s="24" t="n">
        <f aca="false">RANK(J41,$J$41:$J$44,FALSE())</f>
        <v>4</v>
      </c>
      <c r="M41" s="1"/>
      <c r="N41" s="9"/>
    </row>
    <row r="42" customFormat="false" ht="15.75" hidden="false" customHeight="false" outlineLevel="0" collapsed="false">
      <c r="A42" s="29"/>
      <c r="C42" s="5" t="s">
        <v>19</v>
      </c>
      <c r="D42" s="6" t="n">
        <f aca="false">IFERROR(__xludf.dummyfunction("AVERAGE(FILTER('__flatlist__'!D$2:D1012,('__flatlist__'!$C$2:$C1012=$C42)))"),0.0700476792944327)</f>
        <v>0.07004767929</v>
      </c>
      <c r="E42" s="9" t="n">
        <f aca="false">IFERROR(__xludf.dummyfunction("AVERAGE(FILTER('__flatlist__'!E$2:E1012,('__flatlist__'!$C$2:$C1012=$C42)))"),3.42)</f>
        <v>3.42</v>
      </c>
      <c r="F42" s="9" t="n">
        <f aca="false">IFERROR(__xludf.dummyfunction("AVERAGE(FILTER('__flatlist__'!F$2:F1012,('__flatlist__'!$C$2:$C1012=$C42)))"),4.28)</f>
        <v>4.28</v>
      </c>
      <c r="G42" s="9" t="n">
        <f aca="false">IFERROR(__xludf.dummyfunction("AVERAGE(FILTER('__flatlist__'!G$2:G1012,('__flatlist__'!$C$2:$C1012=$C42)))"),4.14)</f>
        <v>4.14</v>
      </c>
      <c r="H42" s="9" t="n">
        <f aca="false">IFERROR(__xludf.dummyfunction("AVERAGE(FILTER('__flatlist__'!H$2:H1012,('__flatlist__'!$C$2:$C1012=$C42)))"),3.78)</f>
        <v>3.78</v>
      </c>
      <c r="I42" s="9" t="n">
        <f aca="false">IFERROR(__xludf.dummyfunction("AVERAGE(FILTER('__flatlist__'!I$2:I1012,('__flatlist__'!$C$2:$C1012=$C42)))"),3.64)</f>
        <v>3.64</v>
      </c>
      <c r="J42" s="9" t="n">
        <f aca="false">AVERAGE(E42:I42)</f>
        <v>3.852</v>
      </c>
      <c r="K42" s="24" t="n">
        <f aca="false">RANK(J42,$J$41:$J$44,FALSE())</f>
        <v>2</v>
      </c>
      <c r="M42" s="1"/>
      <c r="N42" s="9"/>
    </row>
    <row r="43" customFormat="false" ht="15.75" hidden="false" customHeight="false" outlineLevel="0" collapsed="false">
      <c r="A43" s="29"/>
      <c r="C43" s="5" t="s">
        <v>8</v>
      </c>
      <c r="D43" s="6" t="n">
        <f aca="false">IFERROR(__xludf.dummyfunction("AVERAGE(FILTER('__flatlist__'!D$2:D1012,('__flatlist__'!$C$2:$C1012=$C43)))"),0.110864098993388)</f>
        <v>0.110864099</v>
      </c>
      <c r="E43" s="9" t="n">
        <f aca="false">IFERROR(__xludf.dummyfunction("AVERAGE(FILTER('__flatlist__'!E$2:E1012,('__flatlist__'!$C$2:$C1012=$C43)))"),2.1)</f>
        <v>2.1</v>
      </c>
      <c r="F43" s="9" t="n">
        <f aca="false">IFERROR(__xludf.dummyfunction("AVERAGE(FILTER('__flatlist__'!F$2:F1012,('__flatlist__'!$C$2:$C1012=$C43)))"),4.06)</f>
        <v>4.06</v>
      </c>
      <c r="G43" s="9" t="n">
        <f aca="false">IFERROR(__xludf.dummyfunction("AVERAGE(FILTER('__flatlist__'!G$2:G1012,('__flatlist__'!$C$2:$C1012=$C43)))"),4.1)</f>
        <v>4.1</v>
      </c>
      <c r="H43" s="9" t="n">
        <f aca="false">IFERROR(__xludf.dummyfunction("AVERAGE(FILTER('__flatlist__'!H$2:H1012,('__flatlist__'!$C$2:$C1012=$C43)))"),3.92)</f>
        <v>3.92</v>
      </c>
      <c r="I43" s="9" t="n">
        <f aca="false">IFERROR(__xludf.dummyfunction("AVERAGE(FILTER('__flatlist__'!I$2:I1012,('__flatlist__'!$C$2:$C1012=$C43)))"),4.66)</f>
        <v>4.66</v>
      </c>
      <c r="J43" s="9" t="n">
        <f aca="false">AVERAGE(E43:I43)</f>
        <v>3.768</v>
      </c>
      <c r="K43" s="24" t="n">
        <f aca="false">RANK(J43,$J$41:$J$44,FALSE())</f>
        <v>3</v>
      </c>
      <c r="M43" s="1"/>
      <c r="N43" s="9"/>
    </row>
    <row r="44" customFormat="false" ht="15.75" hidden="false" customHeight="false" outlineLevel="0" collapsed="false">
      <c r="A44" s="30"/>
      <c r="B44" s="31"/>
      <c r="C44" s="32" t="s">
        <v>20</v>
      </c>
      <c r="D44" s="33" t="n">
        <f aca="false">IFERROR(__xludf.dummyfunction("AVERAGE(FILTER('__flatlist__'!D$2:D1012,('__flatlist__'!$C$2:$C1012=$C44)))"),0.101727157621274)</f>
        <v>0.1017271576</v>
      </c>
      <c r="E44" s="34" t="n">
        <f aca="false">IFERROR(__xludf.dummyfunction("AVERAGE(FILTER('__flatlist__'!E$2:E1012,('__flatlist__'!$C$2:$C1012=$C44)))"),3.78)</f>
        <v>3.78</v>
      </c>
      <c r="F44" s="34" t="n">
        <f aca="false">IFERROR(__xludf.dummyfunction("AVERAGE(FILTER('__flatlist__'!F$2:F1012,('__flatlist__'!$C$2:$C1012=$C44)))"),4.3)</f>
        <v>4.3</v>
      </c>
      <c r="G44" s="34" t="n">
        <f aca="false">IFERROR(__xludf.dummyfunction("AVERAGE(FILTER('__flatlist__'!G$2:G1012,('__flatlist__'!$C$2:$C1012=$C44)))"),3.48)</f>
        <v>3.48</v>
      </c>
      <c r="H44" s="34" t="n">
        <f aca="false">IFERROR(__xludf.dummyfunction("AVERAGE(FILTER('__flatlist__'!H$2:H1012,('__flatlist__'!$C$2:$C1012=$C44)))"),4.18)</f>
        <v>4.18</v>
      </c>
      <c r="I44" s="34" t="n">
        <f aca="false">IFERROR(__xludf.dummyfunction("AVERAGE(FILTER('__flatlist__'!I$2:I1012,('__flatlist__'!$C$2:$C1012=$C44)))"),4.16)</f>
        <v>4.16</v>
      </c>
      <c r="J44" s="34" t="n">
        <f aca="false">AVERAGE(E44:I44)</f>
        <v>3.98</v>
      </c>
      <c r="K44" s="25" t="n">
        <f aca="false">RANK(J44,$J$41:$J$44,FALSE())</f>
        <v>1</v>
      </c>
      <c r="M44" s="1"/>
      <c r="N44" s="9"/>
    </row>
    <row r="45" customFormat="false" ht="15.75" hidden="false" customHeight="false" outlineLevel="0" collapsed="false">
      <c r="A45" s="1"/>
      <c r="B45" s="1"/>
      <c r="C45" s="9"/>
    </row>
    <row r="46" customFormat="false" ht="15.75" hidden="false" customHeight="false" outlineLevel="0" collapsed="false">
      <c r="A46" s="35"/>
      <c r="B46" s="36"/>
      <c r="C46" s="36"/>
      <c r="D46" s="37" t="s">
        <v>26</v>
      </c>
      <c r="E46" s="37"/>
      <c r="F46" s="37"/>
      <c r="G46" s="37"/>
      <c r="H46" s="37"/>
      <c r="I46" s="37"/>
      <c r="M46" s="1"/>
      <c r="N46" s="9"/>
    </row>
    <row r="47" customFormat="false" ht="15.75" hidden="true" customHeight="false" outlineLevel="0" collapsed="false">
      <c r="A47" s="14" t="str">
        <f aca="false">'🤖 Claude Haiku 3.5'!$A$2</f>
        <v>https://www.berria.eus/mundua/aragonesek-lehen-lerro-politikoa-utziko-du_2125045_102.html</v>
      </c>
      <c r="B47" s="15"/>
      <c r="C47" s="16"/>
      <c r="D47" s="17" t="n">
        <f aca="false">IFERROR(__xludf.dummyfunction("STDEV(FILTER('__flatlist__'!D$2:D1012,('__flatlist__'!$A$2:$A1012=$A47)))"),0.243862163305308)</f>
        <v>0.2438621633</v>
      </c>
      <c r="E47" s="28" t="n">
        <f aca="false">IFERROR(__xludf.dummyfunction("STDEV(FILTER('__flatlist__'!E$2:E1012,('__flatlist__'!$A$2:$A1012=$A47)))"),1.28359613882991)</f>
        <v>1.283596139</v>
      </c>
      <c r="F47" s="28" t="n">
        <f aca="false">IFERROR(__xludf.dummyfunction("STDEV(FILTER('__flatlist__'!F$2:F1012,('__flatlist__'!$A$2:$A1012=$A47)))"),0.9102589898328)</f>
        <v>0.9102589898</v>
      </c>
      <c r="G47" s="28" t="n">
        <f aca="false">IFERROR(__xludf.dummyfunction("STDEV(FILTER('__flatlist__'!G$2:G1012,('__flatlist__'!$A$2:$A1012=$A47)))"),1.5039630187956)</f>
        <v>1.503963019</v>
      </c>
      <c r="H47" s="28" t="n">
        <f aca="false">IFERROR(__xludf.dummyfunction("STDEV(FILTER('__flatlist__'!H$2:H1012,('__flatlist__'!$A$2:$A1012=$A47)))"),1.47034171603228)</f>
        <v>1.470341716</v>
      </c>
      <c r="I47" s="38" t="n">
        <f aca="false">IFERROR(__xludf.dummyfunction("STDEV(FILTER('__flatlist__'!I$2:I1012,('__flatlist__'!$A$2:$A1012=$A47)))"),1.36277028773849)</f>
        <v>1.362770288</v>
      </c>
      <c r="M47" s="1"/>
      <c r="N47" s="9"/>
    </row>
    <row r="48" customFormat="false" ht="15.75" hidden="true" customHeight="false" outlineLevel="0" collapsed="false">
      <c r="A48" s="20" t="str">
        <f aca="false">'🤖 Claude Haiku 3.5'!$A$7</f>
        <v>https://www.berria.eus/kirola/derbi-bikoitza_2118881_102.html</v>
      </c>
      <c r="B48" s="3"/>
      <c r="D48" s="6" t="n">
        <f aca="false">IFERROR(__xludf.dummyfunction("STDEV(FILTER('__flatlist__'!D$2:D1012,('__flatlist__'!$A$2:$A1012=$A48)))"),0.258195722659532)</f>
        <v>0.2581957227</v>
      </c>
      <c r="E48" s="9" t="n">
        <f aca="false">IFERROR(__xludf.dummyfunction("STDEV(FILTER('__flatlist__'!E$2:E1012,('__flatlist__'!$A$2:$A1012=$A48)))"),1.00711752754369)</f>
        <v>1.007117528</v>
      </c>
      <c r="F48" s="9" t="n">
        <f aca="false">IFERROR(__xludf.dummyfunction("STDEV(FILTER('__flatlist__'!F$2:F1012,('__flatlist__'!$A$2:$A1012=$A48)))"),0.72702917999997)</f>
        <v>0.72702918</v>
      </c>
      <c r="G48" s="9" t="n">
        <f aca="false">IFERROR(__xludf.dummyfunction("STDEV(FILTER('__flatlist__'!G$2:G1012,('__flatlist__'!$A$2:$A1012=$A48)))"),0.894427190999916)</f>
        <v>0.894427191</v>
      </c>
      <c r="H48" s="9" t="n">
        <f aca="false">IFERROR(__xludf.dummyfunction("STDEV(FILTER('__flatlist__'!H$2:H1012,('__flatlist__'!$A$2:$A1012=$A48)))"),0.830948969838817)</f>
        <v>0.8309489698</v>
      </c>
      <c r="I48" s="39" t="n">
        <f aca="false">IFERROR(__xludf.dummyfunction("STDEV(FILTER('__flatlist__'!I$2:I1012,('__flatlist__'!$A$2:$A1012=$A48)))"),0.853563956930837)</f>
        <v>0.8535639569</v>
      </c>
      <c r="M48" s="1"/>
      <c r="N48" s="9"/>
    </row>
    <row r="49" customFormat="false" ht="15.75" hidden="true" customHeight="false" outlineLevel="0" collapsed="false">
      <c r="A49" s="20" t="str">
        <f aca="false">'🤖 Claude Haiku 3.5'!$A$12</f>
        <v>https://www.berria.eus/kirola/berriro-etxean-sentitzeko_2117830_102.html</v>
      </c>
      <c r="B49" s="3"/>
      <c r="D49" s="6" t="n">
        <f aca="false">IFERROR(__xludf.dummyfunction("STDEV(FILTER('__flatlist__'!D$2:D1012,('__flatlist__'!$A$2:$A1012=$A49)))"),0.210742687978946)</f>
        <v>0.210742688</v>
      </c>
      <c r="E49" s="9" t="n">
        <f aca="false">IFERROR(__xludf.dummyfunction("STDEV(FILTER('__flatlist__'!E$2:E1012,('__flatlist__'!$A$2:$A1012=$A49)))"),1.06458129484475)</f>
        <v>1.064581295</v>
      </c>
      <c r="F49" s="9" t="n">
        <f aca="false">IFERROR(__xludf.dummyfunction("STDEV(FILTER('__flatlist__'!F$2:F1012,('__flatlist__'!$A$2:$A1012=$A49)))"),0.830948969838817)</f>
        <v>0.8309489698</v>
      </c>
      <c r="G49" s="9" t="n">
        <f aca="false">IFERROR(__xludf.dummyfunction("STDEV(FILTER('__flatlist__'!G$2:G1012,('__flatlist__'!$A$2:$A1012=$A49)))"),1.28359613882991)</f>
        <v>1.283596139</v>
      </c>
      <c r="H49" s="9" t="n">
        <f aca="false">IFERROR(__xludf.dummyfunction("STDEV(FILTER('__flatlist__'!H$2:H1012,('__flatlist__'!$A$2:$A1012=$A49)))"),0.920662287496912)</f>
        <v>0.9206622875</v>
      </c>
      <c r="I49" s="39" t="n">
        <f aca="false">IFERROR(__xludf.dummyfunction("STDEV(FILTER('__flatlist__'!I$2:I1012,('__flatlist__'!$A$2:$A1012=$A49)))"),0.679635756787974)</f>
        <v>0.6796357568</v>
      </c>
      <c r="M49" s="1"/>
      <c r="N49" s="9"/>
    </row>
    <row r="50" customFormat="false" ht="15.75" hidden="true" customHeight="false" outlineLevel="0" collapsed="false">
      <c r="A50" s="20" t="str">
        <f aca="false">'🤖 Claude Haiku 3.5'!$A$17</f>
        <v>https://www.berria.eus/komunikazioa/generacion-porno-dokumental-saioa-egin-dute-etbk-eta-tv3ek_1341518_102.html</v>
      </c>
      <c r="B50" s="3"/>
      <c r="D50" s="6" t="n">
        <f aca="false">IFERROR(__xludf.dummyfunction("STDEV(FILTER('__flatlist__'!D$2:D1012,('__flatlist__'!$A$2:$A1012=$A50)))"),0.248851258434117)</f>
        <v>0.2488512584</v>
      </c>
      <c r="E50" s="9" t="n">
        <f aca="false">IFERROR(__xludf.dummyfunction("STDEV(FILTER('__flatlist__'!E$2:E1012,('__flatlist__'!$A$2:$A1012=$A50)))"),1.19522860933439)</f>
        <v>1.195228609</v>
      </c>
      <c r="F50" s="9" t="n">
        <f aca="false">IFERROR(__xludf.dummyfunction("STDEV(FILTER('__flatlist__'!F$2:F1012,('__flatlist__'!$A$2:$A1012=$A50)))"),0.478091443733757)</f>
        <v>0.4780914437</v>
      </c>
      <c r="G50" s="9" t="n">
        <f aca="false">IFERROR(__xludf.dummyfunction("STDEV(FILTER('__flatlist__'!G$2:G1012,('__flatlist__'!$A$2:$A1012=$A50)))"),1.11696868694653)</f>
        <v>1.116968687</v>
      </c>
      <c r="H50" s="9" t="n">
        <f aca="false">IFERROR(__xludf.dummyfunction("STDEV(FILTER('__flatlist__'!H$2:H1012,('__flatlist__'!$A$2:$A1012=$A50)))"),1.1084094137869)</f>
        <v>1.108409414</v>
      </c>
      <c r="I50" s="39" t="n">
        <f aca="false">IFERROR(__xludf.dummyfunction("STDEV(FILTER('__flatlist__'!I$2:I1012,('__flatlist__'!$A$2:$A1012=$A50)))"),0.963624111659432)</f>
        <v>0.9636241117</v>
      </c>
      <c r="M50" s="1"/>
      <c r="N50" s="9"/>
    </row>
    <row r="51" customFormat="false" ht="15.75" hidden="true" customHeight="false" outlineLevel="0" collapsed="false">
      <c r="A51" s="20" t="str">
        <f aca="false">'🤖 Claude Haiku 3.5'!$A$22</f>
        <v>https://www.berria.eus/kirola/artolak-nagusitasunez-irabazi-dio-zabaleri_2124679_102.html</v>
      </c>
      <c r="B51" s="3"/>
      <c r="D51" s="6" t="n">
        <f aca="false">IFERROR(__xludf.dummyfunction("STDEV(FILTER('__flatlist__'!D$2:D1012,('__flatlist__'!$A$2:$A1012=$A51)))"),0.203165844366995)</f>
        <v>0.2031658444</v>
      </c>
      <c r="E51" s="9" t="n">
        <f aca="false">IFERROR(__xludf.dummyfunction("STDEV(FILTER('__flatlist__'!E$2:E1012,('__flatlist__'!$A$2:$A1012=$A51)))"),1.27801930084539)</f>
        <v>1.278019301</v>
      </c>
      <c r="F51" s="9" t="n">
        <f aca="false">IFERROR(__xludf.dummyfunction("STDEV(FILTER('__flatlist__'!F$2:F1012,('__flatlist__'!$A$2:$A1012=$A51)))"),0.597614304667197)</f>
        <v>0.5976143047</v>
      </c>
      <c r="G51" s="9" t="n">
        <f aca="false">IFERROR(__xludf.dummyfunction("STDEV(FILTER('__flatlist__'!G$2:G1012,('__flatlist__'!$A$2:$A1012=$A51)))"),1.22085060121056)</f>
        <v>1.220850601</v>
      </c>
      <c r="H51" s="9" t="n">
        <f aca="false">IFERROR(__xludf.dummyfunction("STDEV(FILTER('__flatlist__'!H$2:H1012,('__flatlist__'!$A$2:$A1012=$A51)))"),0.795822425754221)</f>
        <v>0.7958224258</v>
      </c>
      <c r="I51" s="39" t="n">
        <f aca="false">IFERROR(__xludf.dummyfunction("STDEV(FILTER('__flatlist__'!I$2:I1012,('__flatlist__'!$A$2:$A1012=$A51)))"),1.22085060121056)</f>
        <v>1.220850601</v>
      </c>
      <c r="M51" s="1"/>
      <c r="N51" s="9"/>
    </row>
    <row r="52" customFormat="false" ht="15.75" hidden="true" customHeight="false" outlineLevel="0" collapsed="false">
      <c r="A52" s="20" t="str">
        <f aca="false">'🤖 Claude Haiku 3.5'!$A$27</f>
        <v>https://www.berria.eus/mundua/gutxienez-40-hildako-eta-dozenaka-zauritu-moskun-gertatutako-tiroketa-batean_2122731_102.html</v>
      </c>
      <c r="B52" s="3"/>
      <c r="D52" s="6" t="n">
        <f aca="false">IFERROR(__xludf.dummyfunction("STDEV(FILTER('__flatlist__'!D$2:D1012,('__flatlist__'!$A$2:$A1012=$A52)))"),0.269093674357765)</f>
        <v>0.2690936744</v>
      </c>
      <c r="E52" s="9" t="n">
        <f aca="false">IFERROR(__xludf.dummyfunction("STDEV(FILTER('__flatlist__'!E$2:E1012,('__flatlist__'!$A$2:$A1012=$A52)))"),0.948683298050514)</f>
        <v>0.9486832981</v>
      </c>
      <c r="F52" s="9" t="n">
        <f aca="false">IFERROR(__xludf.dummyfunction("STDEV(FILTER('__flatlist__'!F$2:F1012,('__flatlist__'!$A$2:$A1012=$A52)))"),0.973457265430305)</f>
        <v>0.9734572654</v>
      </c>
      <c r="G52" s="9" t="n">
        <f aca="false">IFERROR(__xludf.dummyfunction("STDEV(FILTER('__flatlist__'!G$2:G1012,('__flatlist__'!$A$2:$A1012=$A52)))"),0.830948969838817)</f>
        <v>0.8309489698</v>
      </c>
      <c r="H52" s="9" t="n">
        <f aca="false">IFERROR(__xludf.dummyfunction("STDEV(FILTER('__flatlist__'!H$2:H1012,('__flatlist__'!$A$2:$A1012=$A52)))"),0.948683298050514)</f>
        <v>0.9486832981</v>
      </c>
      <c r="I52" s="39" t="n">
        <f aca="false">IFERROR(__xludf.dummyfunction("STDEV(FILTER('__flatlist__'!I$2:I1012,('__flatlist__'!$A$2:$A1012=$A52)))"),0.956182887467515)</f>
        <v>0.9561828875</v>
      </c>
      <c r="M52" s="1"/>
      <c r="N52" s="9"/>
    </row>
    <row r="53" customFormat="false" ht="15.75" hidden="true" customHeight="false" outlineLevel="0" collapsed="false">
      <c r="A53" s="20" t="str">
        <f aca="false">'🤖 Claude Haiku 3.5'!$A$32</f>
        <v>https://www.berria.eus/bizigiro/ohartu-behar-dugu-bizi-garen-jendartea-dominazioaren-kultura-batean-oinarritzen-dela_2121952_102.html</v>
      </c>
      <c r="B53" s="3"/>
      <c r="D53" s="6" t="n">
        <f aca="false">IFERROR(__xludf.dummyfunction("STDEV(FILTER('__flatlist__'!D$2:D1012,('__flatlist__'!$A$2:$A1012=$A53)))"),0.118208174149369)</f>
        <v>0.1182081741</v>
      </c>
      <c r="E53" s="9" t="n">
        <f aca="false">IFERROR(__xludf.dummyfunction("STDEV(FILTER('__flatlist__'!E$2:E1012,('__flatlist__'!$A$2:$A1012=$A53)))"),1.30018313728343)</f>
        <v>1.300183137</v>
      </c>
      <c r="F53" s="9" t="n">
        <f aca="false">IFERROR(__xludf.dummyfunction("STDEV(FILTER('__flatlist__'!F$2:F1012,('__flatlist__'!$A$2:$A1012=$A53)))"),0.768424485864545)</f>
        <v>0.7684244859</v>
      </c>
      <c r="G53" s="9" t="n">
        <f aca="false">IFERROR(__xludf.dummyfunction("STDEV(FILTER('__flatlist__'!G$2:G1012,('__flatlist__'!$A$2:$A1012=$A53)))"),1.17918454470714)</f>
        <v>1.179184545</v>
      </c>
      <c r="H53" s="9" t="n">
        <f aca="false">IFERROR(__xludf.dummyfunction("STDEV(FILTER('__flatlist__'!H$2:H1012,('__flatlist__'!$A$2:$A1012=$A53)))"),0.72702917999997)</f>
        <v>0.72702918</v>
      </c>
      <c r="I53" s="39" t="n">
        <f aca="false">IFERROR(__xludf.dummyfunction("STDEV(FILTER('__flatlist__'!I$2:I1012,('__flatlist__'!$A$2:$A1012=$A53)))"),1.02353263143832)</f>
        <v>1.023532631</v>
      </c>
      <c r="M53" s="1"/>
      <c r="N53" s="9"/>
    </row>
    <row r="54" customFormat="false" ht="15.75" hidden="true" customHeight="false" outlineLevel="0" collapsed="false">
      <c r="A54" s="20" t="str">
        <f aca="false">'🤖 Claude Haiku 3.5'!$A$37</f>
        <v>https://www.berria.eus/ekonomia/energiaren-euskal-erakundea-energia-konpainien-zergaren-aurka_234607_102.html</v>
      </c>
      <c r="B54" s="3"/>
      <c r="D54" s="6" t="n">
        <f aca="false">IFERROR(__xludf.dummyfunction("STDEV(FILTER('__flatlist__'!D$2:D1012,('__flatlist__'!$A$2:$A1012=$A54)))"),0.280070539014872)</f>
        <v>0.280070539</v>
      </c>
      <c r="E54" s="9" t="n">
        <f aca="false">IFERROR(__xludf.dummyfunction("STDEV(FILTER('__flatlist__'!E$2:E1012,('__flatlist__'!$A$2:$A1012=$A54)))"),1.32557265253281)</f>
        <v>1.325572653</v>
      </c>
      <c r="F54" s="9" t="n">
        <f aca="false">IFERROR(__xludf.dummyfunction("STDEV(FILTER('__flatlist__'!F$2:F1012,('__flatlist__'!$A$2:$A1012=$A54)))"),0.643650304346789)</f>
        <v>0.6436503043</v>
      </c>
      <c r="G54" s="9" t="n">
        <f aca="false">IFERROR(__xludf.dummyfunction("STDEV(FILTER('__flatlist__'!G$2:G1012,('__flatlist__'!$A$2:$A1012=$A54)))"),1.27054543967767)</f>
        <v>1.27054544</v>
      </c>
      <c r="H54" s="9" t="n">
        <f aca="false">IFERROR(__xludf.dummyfunction("STDEV(FILTER('__flatlist__'!H$2:H1012,('__flatlist__'!$A$2:$A1012=$A54)))"),0.963624111659432)</f>
        <v>0.9636241117</v>
      </c>
      <c r="I54" s="39" t="n">
        <f aca="false">IFERROR(__xludf.dummyfunction("STDEV(FILTER('__flatlist__'!I$2:I1012,('__flatlist__'!$A$2:$A1012=$A54)))"),0.973457265430305)</f>
        <v>0.9734572654</v>
      </c>
      <c r="M54" s="1"/>
      <c r="N54" s="9"/>
    </row>
    <row r="55" customFormat="false" ht="15.75" hidden="true" customHeight="false" outlineLevel="0" collapsed="false">
      <c r="A55" s="20" t="str">
        <f aca="false">'🤖 Claude Haiku 3.5'!$A$42</f>
        <v>https://www.berria.eus/kultura/benat-arrutik-irabazi-du-donostia-kultura-vii-poesia-lehiaketa_2122642_102.html</v>
      </c>
      <c r="B55" s="3"/>
      <c r="D55" s="6" t="n">
        <f aca="false">IFERROR(__xludf.dummyfunction("STDEV(FILTER('__flatlist__'!D$2:D1012,('__flatlist__'!$A$2:$A1012=$A55)))"),0.319564214465615)</f>
        <v>0.3195642145</v>
      </c>
      <c r="E55" s="9" t="n">
        <f aca="false">IFERROR(__xludf.dummyfunction("STDEV(FILTER('__flatlist__'!E$2:E1012,('__flatlist__'!$A$2:$A1012=$A55)))"),1.12334534400814)</f>
        <v>1.123345344</v>
      </c>
      <c r="F55" s="9" t="n">
        <f aca="false">IFERROR(__xludf.dummyfunction("STDEV(FILTER('__flatlist__'!F$2:F1012,('__flatlist__'!$A$2:$A1012=$A55)))"),0.679635756787974)</f>
        <v>0.6796357568</v>
      </c>
      <c r="G55" s="9" t="n">
        <f aca="false">IFERROR(__xludf.dummyfunction("STDEV(FILTER('__flatlist__'!G$2:G1012,('__flatlist__'!$A$2:$A1012=$A55)))"),1.28359613882991)</f>
        <v>1.283596139</v>
      </c>
      <c r="H55" s="9" t="n">
        <f aca="false">IFERROR(__xludf.dummyfunction("STDEV(FILTER('__flatlist__'!H$2:H1012,('__flatlist__'!$A$2:$A1012=$A55)))"),1.07126982951031)</f>
        <v>1.07126983</v>
      </c>
      <c r="I55" s="39" t="n">
        <f aca="false">IFERROR(__xludf.dummyfunction("STDEV(FILTER('__flatlist__'!I$2:I1012,('__flatlist__'!$A$2:$A1012=$A55)))"),0.740012869900955)</f>
        <v>0.7400128699</v>
      </c>
      <c r="M55" s="1"/>
      <c r="N55" s="9"/>
    </row>
    <row r="56" customFormat="false" ht="15.75" hidden="true" customHeight="false" outlineLevel="0" collapsed="false">
      <c r="A56" s="40" t="str">
        <f aca="false">'🤖 Claude Haiku 3.5'!$A$47</f>
        <v>https://www.berria.eus/mundua/aleksei-navalni-hil-da_2120844_102.html</v>
      </c>
      <c r="B56" s="41"/>
      <c r="C56" s="31"/>
      <c r="D56" s="33" t="n">
        <f aca="false">IFERROR(__xludf.dummyfunction("STDEV(FILTER('__flatlist__'!D$2:D1012,('__flatlist__'!$A$2:$A1012=$A56)))"),0.201102512398506)</f>
        <v>0.2011025124</v>
      </c>
      <c r="E56" s="34" t="n">
        <f aca="false">IFERROR(__xludf.dummyfunction("STDEV(FILTER('__flatlist__'!E$2:E1012,('__flatlist__'!$A$2:$A1012=$A56)))"),0.902377811277358)</f>
        <v>0.9023778113</v>
      </c>
      <c r="F56" s="34" t="n">
        <f aca="false">IFERROR(__xludf.dummyfunction("STDEV(FILTER('__flatlist__'!F$2:F1012,('__flatlist__'!$A$2:$A1012=$A56)))"),0.573211504221111)</f>
        <v>0.5732115042</v>
      </c>
      <c r="G56" s="34" t="n">
        <f aca="false">IFERROR(__xludf.dummyfunction("STDEV(FILTER('__flatlist__'!G$2:G1012,('__flatlist__'!$A$2:$A1012=$A56)))"),0.963624111659432)</f>
        <v>0.9636241117</v>
      </c>
      <c r="H56" s="34" t="n">
        <f aca="false">IFERROR(__xludf.dummyfunction("STDEV(FILTER('__flatlist__'!H$2:H1012,('__flatlist__'!$A$2:$A1012=$A56)))"),0.87287156094397)</f>
        <v>0.8728715609</v>
      </c>
      <c r="I56" s="42" t="n">
        <f aca="false">IFERROR(__xludf.dummyfunction("STDEV(FILTER('__flatlist__'!I$2:I1012,('__flatlist__'!$A$2:$A1012=$A56)))"),1.00711752754369)</f>
        <v>1.007117528</v>
      </c>
      <c r="M56" s="1"/>
      <c r="N56" s="9"/>
    </row>
    <row r="57" customFormat="false" ht="15.75" hidden="false" customHeight="false" outlineLevel="0" collapsed="false">
      <c r="A57" s="22"/>
      <c r="B57" s="3" t="s">
        <v>17</v>
      </c>
      <c r="D57" s="6" t="n">
        <f aca="false">IFERROR(__xludf.dummyfunction("STDEV(FILTER('__flatlist__'!D$2:D1012,('__flatlist__'!$B$2:$B1012=$B57)))"),0.228911159557713)</f>
        <v>0.2289111596</v>
      </c>
      <c r="E57" s="9" t="n">
        <f aca="false">IFERROR(__xludf.dummyfunction("STDEV(FILTER('__flatlist__'!E$2:E1012,('__flatlist__'!$B$2:$B1012=$B57)))"),1.26059611458332)</f>
        <v>1.260596115</v>
      </c>
      <c r="F57" s="9" t="n">
        <f aca="false">IFERROR(__xludf.dummyfunction("STDEV(FILTER('__flatlist__'!F$2:F1012,('__flatlist__'!$B$2:$B1012=$B57)))"),0.503831473655779)</f>
        <v>0.5038314737</v>
      </c>
      <c r="G57" s="9" t="n">
        <f aca="false">IFERROR(__xludf.dummyfunction("STDEV(FILTER('__flatlist__'!G$2:G1012,('__flatlist__'!$B$2:$B1012=$B57)))"),1.67159527674338)</f>
        <v>1.671595277</v>
      </c>
      <c r="H57" s="9" t="n">
        <f aca="false">IFERROR(__xludf.dummyfunction("STDEV(FILTER('__flatlist__'!H$2:H1012,('__flatlist__'!$B$2:$B1012=$B57)))"),0.873762861685903)</f>
        <v>0.8737628617</v>
      </c>
      <c r="I57" s="39" t="n">
        <f aca="false">IFERROR(__xludf.dummyfunction("STDEV(FILTER('__flatlist__'!I$2:I1012,('__flatlist__'!$B$2:$B1012=$B57)))"),0.635993065596772)</f>
        <v>0.6359930656</v>
      </c>
      <c r="M57" s="1"/>
      <c r="N57" s="9"/>
    </row>
    <row r="58" customFormat="false" ht="15.75" hidden="false" customHeight="false" outlineLevel="0" collapsed="false">
      <c r="A58" s="22"/>
      <c r="B58" s="3" t="s">
        <v>21</v>
      </c>
      <c r="D58" s="6" t="n">
        <f aca="false">IFERROR(__xludf.dummyfunction("STDEV(FILTER('__flatlist__'!D$2:D1012,('__flatlist__'!$B$2:$B1012=$B58)))"),0.275730263694356)</f>
        <v>0.2757302637</v>
      </c>
      <c r="E58" s="9" t="n">
        <f aca="false">IFERROR(__xludf.dummyfunction("STDEV(FILTER('__flatlist__'!E$2:E1012,('__flatlist__'!$B$2:$B1012=$B58)))"),1.11832062738779)</f>
        <v>1.118320627</v>
      </c>
      <c r="F58" s="9" t="n">
        <f aca="false">IFERROR(__xludf.dummyfunction("STDEV(FILTER('__flatlist__'!F$2:F1012,('__flatlist__'!$B$2:$B1012=$B58)))"),0.735544452107173)</f>
        <v>0.7355444521</v>
      </c>
      <c r="G58" s="9" t="n">
        <f aca="false">IFERROR(__xludf.dummyfunction("STDEV(FILTER('__flatlist__'!G$2:G1012,('__flatlist__'!$B$2:$B1012=$B58)))"),0.999679435798784)</f>
        <v>0.9996794358</v>
      </c>
      <c r="H58" s="9" t="n">
        <f aca="false">IFERROR(__xludf.dummyfunction("STDEV(FILTER('__flatlist__'!H$2:H1012,('__flatlist__'!$B$2:$B1012=$B58)))"),1.01273936708367)</f>
        <v>1.012739367</v>
      </c>
      <c r="I58" s="39" t="n">
        <f aca="false">IFERROR(__xludf.dummyfunction("STDEV(FILTER('__flatlist__'!I$2:I1012,('__flatlist__'!$B$2:$B1012=$B58)))"),1.29074615669606)</f>
        <v>1.290746157</v>
      </c>
      <c r="M58" s="1"/>
      <c r="N58" s="9"/>
    </row>
    <row r="59" customFormat="false" ht="15.75" hidden="false" customHeight="false" outlineLevel="0" collapsed="false">
      <c r="A59" s="22"/>
      <c r="B59" s="3" t="s">
        <v>22</v>
      </c>
      <c r="D59" s="6" t="n">
        <f aca="false">IFERROR(__xludf.dummyfunction("STDEV(FILTER('__flatlist__'!D$2:D1012,('__flatlist__'!$B$2:$B1012=$B59)))"),0.238037444536403)</f>
        <v>0.2380374445</v>
      </c>
      <c r="E59" s="9" t="n">
        <f aca="false">IFERROR(__xludf.dummyfunction("STDEV(FILTER('__flatlist__'!E$2:E1012,('__flatlist__'!$B$2:$B1012=$B59)))"),1.12204026620009)</f>
        <v>1.122040266</v>
      </c>
      <c r="F59" s="9" t="n">
        <f aca="false">IFERROR(__xludf.dummyfunction("STDEV(FILTER('__flatlist__'!F$2:F1012,('__flatlist__'!$B$2:$B1012=$B59)))"),0.590523453148094)</f>
        <v>0.5905234531</v>
      </c>
      <c r="G59" s="9" t="n">
        <f aca="false">IFERROR(__xludf.dummyfunction("STDEV(FILTER('__flatlist__'!G$2:G1012,('__flatlist__'!$B$2:$B1012=$B59)))"),0.49029033784546)</f>
        <v>0.4902903378</v>
      </c>
      <c r="H59" s="9" t="n">
        <f aca="false">IFERROR(__xludf.dummyfunction("STDEV(FILTER('__flatlist__'!H$2:H1012,('__flatlist__'!$B$2:$B1012=$B59)))"),1.03651289155465)</f>
        <v>1.036512892</v>
      </c>
      <c r="I59" s="39" t="n">
        <f aca="false">IFERROR(__xludf.dummyfunction("STDEV(FILTER('__flatlist__'!I$2:I1012,('__flatlist__'!$B$2:$B1012=$B59)))"),0.525625390636765)</f>
        <v>0.5256253906</v>
      </c>
      <c r="M59" s="1"/>
      <c r="N59" s="9"/>
    </row>
    <row r="60" customFormat="false" ht="15.75" hidden="false" customHeight="false" outlineLevel="0" collapsed="false">
      <c r="A60" s="3"/>
      <c r="B60" s="3" t="s">
        <v>23</v>
      </c>
      <c r="D60" s="6" t="n">
        <f aca="false">IFERROR(__xludf.dummyfunction("STDEV(FILTER('__flatlist__'!D$2:D1012,('__flatlist__'!$B$2:$B1012=$B60)))"),0.135917923515556)</f>
        <v>0.1359179235</v>
      </c>
      <c r="E60" s="9" t="n">
        <f aca="false">IFERROR(__xludf.dummyfunction("STDEV(FILTER('__flatlist__'!E$2:E1012,('__flatlist__'!$B$2:$B1012=$B60)))"),0.841244499353373)</f>
        <v>0.8412444994</v>
      </c>
      <c r="F60" s="9" t="n">
        <f aca="false">IFERROR(__xludf.dummyfunction("STDEV(FILTER('__flatlist__'!F$2:F1012,('__flatlist__'!$B$2:$B1012=$B60)))"),0.525625390636765)</f>
        <v>0.5256253906</v>
      </c>
      <c r="G60" s="9" t="n">
        <f aca="false">IFERROR(__xludf.dummyfunction("STDEV(FILTER('__flatlist__'!G$2:G1012,('__flatlist__'!$B$2:$B1012=$B60)))"),0.405095746833467)</f>
        <v>0.4050957468</v>
      </c>
      <c r="H60" s="9" t="n">
        <f aca="false">IFERROR(__xludf.dummyfunction("STDEV(FILTER('__flatlist__'!H$2:H1012,('__flatlist__'!$B$2:$B1012=$B60)))"),0.622237484550302)</f>
        <v>0.6222374846</v>
      </c>
      <c r="I60" s="39" t="n">
        <f aca="false">IFERROR(__xludf.dummyfunction("STDEV(FILTER('__flatlist__'!I$2:I1012,('__flatlist__'!$B$2:$B1012=$B60)))"),0.735544452107173)</f>
        <v>0.7355444521</v>
      </c>
      <c r="M60" s="1"/>
      <c r="N60" s="9"/>
    </row>
    <row r="61" customFormat="false" ht="15.75" hidden="false" customHeight="false" outlineLevel="0" collapsed="false">
      <c r="A61" s="22"/>
      <c r="B61" s="3" t="s">
        <v>24</v>
      </c>
      <c r="D61" s="6" t="n">
        <f aca="false">IFERROR(__xludf.dummyfunction("STDEV(FILTER('__flatlist__'!D$2:D1012,('__flatlist__'!$B$2:$B1012=$B61)))"),0.0895362288891359)</f>
        <v>0.08953622889</v>
      </c>
      <c r="E61" s="9" t="n">
        <f aca="false">IFERROR(__xludf.dummyfunction("STDEV(FILTER('__flatlist__'!E$2:E1012,('__flatlist__'!$B$2:$B1012=$B61)))"),1.25856043119683)</f>
        <v>1.258560431</v>
      </c>
      <c r="F61" s="9" t="n">
        <f aca="false">IFERROR(__xludf.dummyfunction("STDEV(FILTER('__flatlist__'!F$2:F1012,('__flatlist__'!$B$2:$B1012=$B61)))"),1.00766294731156)</f>
        <v>1.007662947</v>
      </c>
      <c r="G61" s="9" t="n">
        <f aca="false">IFERROR(__xludf.dummyfunction("STDEV(FILTER('__flatlist__'!G$2:G1012,('__flatlist__'!$B$2:$B1012=$B61)))"),0.764182150389787)</f>
        <v>0.7641821504</v>
      </c>
      <c r="H61" s="9" t="n">
        <f aca="false">IFERROR(__xludf.dummyfunction("STDEV(FILTER('__flatlist__'!H$2:H1012,('__flatlist__'!$B$2:$B1012=$B61)))"),0.843907274041104)</f>
        <v>0.843907274</v>
      </c>
      <c r="I61" s="39" t="n">
        <f aca="false">IFERROR(__xludf.dummyfunction("STDEV(FILTER('__flatlist__'!I$2:I1012,('__flatlist__'!$B$2:$B1012=$B61)))"),1.17424280021048)</f>
        <v>1.1742428</v>
      </c>
      <c r="M61" s="1"/>
      <c r="N61" s="9"/>
    </row>
    <row r="62" customFormat="false" ht="15.75" hidden="false" customHeight="false" outlineLevel="0" collapsed="false">
      <c r="A62" s="26"/>
      <c r="B62" s="16"/>
      <c r="C62" s="27" t="s">
        <v>18</v>
      </c>
      <c r="D62" s="17" t="n">
        <f aca="false">IFERROR(__xludf.dummyfunction("STDEV(FILTER('__flatlist__'!D$2:D1012,('__flatlist__'!$C$2:$C1012=$C62)))"),0.269471245287561)</f>
        <v>0.2694712453</v>
      </c>
      <c r="E62" s="28" t="n">
        <f aca="false">IFERROR(__xludf.dummyfunction("STDEV(FILTER('__flatlist__'!E$2:E1012,('__flatlist__'!$C$2:$C1012=$C62)))"),1.21487380716967)</f>
        <v>1.214873807</v>
      </c>
      <c r="F62" s="28" t="n">
        <f aca="false">IFERROR(__xludf.dummyfunction("STDEV(FILTER('__flatlist__'!F$2:F1012,('__flatlist__'!$C$2:$C1012=$C62)))"),0.863074712399612)</f>
        <v>0.8630747124</v>
      </c>
      <c r="G62" s="28" t="n">
        <f aca="false">IFERROR(__xludf.dummyfunction("STDEV(FILTER('__flatlist__'!G$2:G1012,('__flatlist__'!$C$2:$C1012=$C62)))"),1.39620476832807)</f>
        <v>1.396204768</v>
      </c>
      <c r="H62" s="28" t="n">
        <f aca="false">IFERROR(__xludf.dummyfunction("STDEV(FILTER('__flatlist__'!H$2:H1012,('__flatlist__'!$C$2:$C1012=$C62)))"),1.22890360957752)</f>
        <v>1.22890361</v>
      </c>
      <c r="I62" s="38" t="n">
        <f aca="false">IFERROR(__xludf.dummyfunction("STDEV(FILTER('__flatlist__'!I$2:I1012,('__flatlist__'!$C$2:$C1012=$C62)))"),1.20356612970432)</f>
        <v>1.20356613</v>
      </c>
      <c r="M62" s="1"/>
      <c r="N62" s="9"/>
    </row>
    <row r="63" customFormat="false" ht="15.75" hidden="false" customHeight="false" outlineLevel="0" collapsed="false">
      <c r="A63" s="29"/>
      <c r="C63" s="5" t="s">
        <v>19</v>
      </c>
      <c r="D63" s="6" t="n">
        <f aca="false">IFERROR(__xludf.dummyfunction("STDEV(FILTER('__flatlist__'!D$2:D1012,('__flatlist__'!$C$2:$C1012=$C63)))"),0.121264437216546)</f>
        <v>0.1212644372</v>
      </c>
      <c r="E63" s="9" t="n">
        <f aca="false">IFERROR(__xludf.dummyfunction("STDEV(FILTER('__flatlist__'!E$2:E1012,('__flatlist__'!$C$2:$C1012=$C63)))"),0.859283042389861)</f>
        <v>0.8592830424</v>
      </c>
      <c r="F63" s="9" t="n">
        <f aca="false">IFERROR(__xludf.dummyfunction("STDEV(FILTER('__flatlist__'!F$2:F1012,('__flatlist__'!$C$2:$C1012=$C63)))"),0.640153042925945)</f>
        <v>0.6401530429</v>
      </c>
      <c r="G63" s="9" t="n">
        <f aca="false">IFERROR(__xludf.dummyfunction("STDEV(FILTER('__flatlist__'!G$2:G1012,('__flatlist__'!$C$2:$C1012=$C63)))"),0.670363897522861)</f>
        <v>0.6703638975</v>
      </c>
      <c r="H63" s="9" t="n">
        <f aca="false">IFERROR(__xludf.dummyfunction("STDEV(FILTER('__flatlist__'!H$2:H1012,('__flatlist__'!$C$2:$C1012=$C63)))"),0.910034760493314)</f>
        <v>0.9100347605</v>
      </c>
      <c r="I63" s="39" t="n">
        <f aca="false">IFERROR(__xludf.dummyfunction("STDEV(FILTER('__flatlist__'!I$2:I1012,('__flatlist__'!$C$2:$C1012=$C63)))"),1.04510520903839)</f>
        <v>1.045105209</v>
      </c>
      <c r="M63" s="1"/>
      <c r="N63" s="9"/>
    </row>
    <row r="64" customFormat="false" ht="15.75" hidden="false" customHeight="false" outlineLevel="0" collapsed="false">
      <c r="A64" s="29"/>
      <c r="C64" s="5" t="s">
        <v>8</v>
      </c>
      <c r="D64" s="6" t="n">
        <f aca="false">IFERROR(__xludf.dummyfunction("STDEV(FILTER('__flatlist__'!D$2:D1012,('__flatlist__'!$C$2:$C1012=$C64)))"),0.191324904586931)</f>
        <v>0.1913249046</v>
      </c>
      <c r="E64" s="9" t="n">
        <f aca="false">IFERROR(__xludf.dummyfunction("STDEV(FILTER('__flatlist__'!E$2:E1012,('__flatlist__'!$C$2:$C1012=$C64)))"),0.646813224152673)</f>
        <v>0.6468132242</v>
      </c>
      <c r="F64" s="9" t="n">
        <f aca="false">IFERROR(__xludf.dummyfunction("STDEV(FILTER('__flatlist__'!F$2:F1012,('__flatlist__'!$C$2:$C1012=$C64)))"),0.585888475840282)</f>
        <v>0.5858884758</v>
      </c>
      <c r="G64" s="9" t="n">
        <f aca="false">IFERROR(__xludf.dummyfunction("STDEV(FILTER('__flatlist__'!G$2:G1012,('__flatlist__'!$C$2:$C1012=$C64)))"),0.707106781186547)</f>
        <v>0.7071067812</v>
      </c>
      <c r="H64" s="9" t="n">
        <f aca="false">IFERROR(__xludf.dummyfunction("STDEV(FILTER('__flatlist__'!H$2:H1012,('__flatlist__'!$C$2:$C1012=$C64)))"),0.600679886903675)</f>
        <v>0.6006798869</v>
      </c>
      <c r="I64" s="39" t="n">
        <f aca="false">IFERROR(__xludf.dummyfunction("STDEV(FILTER('__flatlist__'!I$2:I1012,('__flatlist__'!$C$2:$C1012=$C64)))"),0.65807387464463)</f>
        <v>0.6580738746</v>
      </c>
      <c r="M64" s="1"/>
      <c r="N64" s="9"/>
    </row>
    <row r="65" customFormat="false" ht="15.75" hidden="false" customHeight="false" outlineLevel="0" collapsed="false">
      <c r="A65" s="30"/>
      <c r="B65" s="31"/>
      <c r="C65" s="32" t="s">
        <v>20</v>
      </c>
      <c r="D65" s="33" t="n">
        <f aca="false">IFERROR(__xludf.dummyfunction("STDEV(FILTER('__flatlist__'!D$2:D1012,('__flatlist__'!$C$2:$C1012=$C65)))"),0.218173749194551)</f>
        <v>0.2181737492</v>
      </c>
      <c r="E65" s="34" t="n">
        <f aca="false">IFERROR(__xludf.dummyfunction("STDEV(FILTER('__flatlist__'!E$2:E1012,('__flatlist__'!$C$2:$C1012=$C65)))"),1.11190221270229)</f>
        <v>1.111902213</v>
      </c>
      <c r="F65" s="34" t="n">
        <f aca="false">IFERROR(__xludf.dummyfunction("STDEV(FILTER('__flatlist__'!F$2:F1012,('__flatlist__'!$C$2:$C1012=$C65)))"),0.814411017927956)</f>
        <v>0.8144110179</v>
      </c>
      <c r="G65" s="34" t="n">
        <f aca="false">IFERROR(__xludf.dummyfunction("STDEV(FILTER('__flatlist__'!G$2:G1012,('__flatlist__'!$C$2:$C1012=$C65)))"),1.4602208387635)</f>
        <v>1.460220839</v>
      </c>
      <c r="H65" s="34" t="n">
        <f aca="false">IFERROR(__xludf.dummyfunction("STDEV(FILTER('__flatlist__'!H$2:H1012,('__flatlist__'!$C$2:$C1012=$C65)))"),1.06311056886509)</f>
        <v>1.063110569</v>
      </c>
      <c r="I65" s="42" t="n">
        <f aca="false">IFERROR(__xludf.dummyfunction("STDEV(FILTER('__flatlist__'!I$2:I1012,('__flatlist__'!$C$2:$C1012=$C65)))"),0.888934239205945)</f>
        <v>0.8889342392</v>
      </c>
      <c r="M65" s="1"/>
      <c r="N65" s="9"/>
    </row>
    <row r="66" customFormat="false" ht="15.75" hidden="false" customHeight="false" outlineLevel="0" collapsed="false">
      <c r="M66" s="1"/>
      <c r="N66" s="9"/>
    </row>
    <row r="67" customFormat="false" ht="15.75" hidden="false" customHeight="false" outlineLevel="0" collapsed="false">
      <c r="M67" s="1"/>
      <c r="N67" s="9"/>
    </row>
    <row r="68" customFormat="false" ht="15.75" hidden="false" customHeight="false" outlineLevel="0" collapsed="false">
      <c r="M68" s="1"/>
      <c r="N68" s="9"/>
    </row>
    <row r="69" customFormat="false" ht="15.75" hidden="false" customHeight="false" outlineLevel="0" collapsed="false">
      <c r="M69" s="1"/>
      <c r="N69" s="9"/>
    </row>
    <row r="70" customFormat="false" ht="15.75" hidden="false" customHeight="false" outlineLevel="0" collapsed="false">
      <c r="D70" s="43"/>
      <c r="M70" s="1"/>
      <c r="N70" s="9"/>
    </row>
    <row r="71" customFormat="false" ht="15.75" hidden="false" customHeight="false" outlineLevel="0" collapsed="false">
      <c r="M71" s="1"/>
      <c r="N71" s="9"/>
    </row>
    <row r="72" customFormat="false" ht="15.75" hidden="false" customHeight="false" outlineLevel="0" collapsed="false">
      <c r="M72" s="1"/>
      <c r="N72" s="9"/>
    </row>
    <row r="73" customFormat="false" ht="15.75" hidden="false" customHeight="false" outlineLevel="0" collapsed="false">
      <c r="M73" s="1"/>
      <c r="N73" s="9"/>
    </row>
    <row r="74" customFormat="false" ht="15.75" hidden="false" customHeight="false" outlineLevel="0" collapsed="false">
      <c r="M74" s="1"/>
      <c r="N74" s="9"/>
    </row>
    <row r="75" customFormat="false" ht="15.75" hidden="false" customHeight="false" outlineLevel="0" collapsed="false">
      <c r="M75" s="1"/>
      <c r="N75" s="9"/>
    </row>
    <row r="76" customFormat="false" ht="15.75" hidden="false" customHeight="false" outlineLevel="0" collapsed="false">
      <c r="M76" s="1"/>
      <c r="N76" s="9"/>
    </row>
    <row r="77" customFormat="false" ht="15.75" hidden="false" customHeight="false" outlineLevel="0" collapsed="false">
      <c r="M77" s="1"/>
      <c r="N77" s="9"/>
    </row>
    <row r="78" customFormat="false" ht="15.75" hidden="false" customHeight="false" outlineLevel="0" collapsed="false">
      <c r="M78" s="1"/>
      <c r="N78" s="9"/>
    </row>
    <row r="79" customFormat="false" ht="15.75" hidden="false" customHeight="false" outlineLevel="0" collapsed="false">
      <c r="M79" s="1"/>
      <c r="N79" s="9"/>
    </row>
    <row r="80" customFormat="false" ht="15.75" hidden="false" customHeight="false" outlineLevel="0" collapsed="false">
      <c r="M80" s="1"/>
      <c r="N80" s="9"/>
    </row>
    <row r="81" customFormat="false" ht="15.75" hidden="false" customHeight="false" outlineLevel="0" collapsed="false">
      <c r="M81" s="1"/>
      <c r="N81" s="9"/>
    </row>
    <row r="82" customFormat="false" ht="15.75" hidden="false" customHeight="false" outlineLevel="0" collapsed="false">
      <c r="M82" s="1"/>
      <c r="N82" s="9"/>
    </row>
    <row r="83" customFormat="false" ht="15.75" hidden="false" customHeight="false" outlineLevel="0" collapsed="false">
      <c r="M83" s="1"/>
      <c r="N83" s="9"/>
    </row>
    <row r="84" customFormat="false" ht="15.75" hidden="false" customHeight="false" outlineLevel="0" collapsed="false">
      <c r="M84" s="1"/>
      <c r="N84" s="9"/>
    </row>
    <row r="85" customFormat="false" ht="15.75" hidden="false" customHeight="false" outlineLevel="0" collapsed="false">
      <c r="M85" s="1"/>
      <c r="N85" s="9"/>
    </row>
    <row r="86" customFormat="false" ht="15.75" hidden="false" customHeight="false" outlineLevel="0" collapsed="false">
      <c r="M86" s="1"/>
      <c r="N86" s="9"/>
    </row>
    <row r="87" customFormat="false" ht="15.75" hidden="false" customHeight="false" outlineLevel="0" collapsed="false">
      <c r="M87" s="1"/>
      <c r="N87" s="9"/>
    </row>
    <row r="88" customFormat="false" ht="15.75" hidden="false" customHeight="false" outlineLevel="0" collapsed="false">
      <c r="M88" s="1"/>
      <c r="N88" s="9"/>
    </row>
    <row r="89" customFormat="false" ht="15.75" hidden="false" customHeight="false" outlineLevel="0" collapsed="false">
      <c r="M89" s="1"/>
      <c r="N89" s="9"/>
    </row>
    <row r="90" customFormat="false" ht="15.75" hidden="false" customHeight="false" outlineLevel="0" collapsed="false">
      <c r="M90" s="1"/>
      <c r="N90" s="9"/>
    </row>
    <row r="91" customFormat="false" ht="15.75" hidden="false" customHeight="false" outlineLevel="0" collapsed="false">
      <c r="M91" s="1"/>
      <c r="N91" s="9"/>
    </row>
    <row r="92" customFormat="false" ht="15.75" hidden="false" customHeight="false" outlineLevel="0" collapsed="false">
      <c r="M92" s="1"/>
      <c r="N92" s="9"/>
    </row>
    <row r="93" customFormat="false" ht="15.75" hidden="false" customHeight="false" outlineLevel="0" collapsed="false">
      <c r="M93" s="1"/>
      <c r="N93" s="9"/>
    </row>
    <row r="94" customFormat="false" ht="15.75" hidden="false" customHeight="false" outlineLevel="0" collapsed="false">
      <c r="M94" s="1"/>
      <c r="N94" s="9"/>
    </row>
    <row r="95" customFormat="false" ht="15.75" hidden="false" customHeight="false" outlineLevel="0" collapsed="false">
      <c r="M95" s="1"/>
      <c r="N95" s="9"/>
    </row>
    <row r="96" customFormat="false" ht="15.75" hidden="false" customHeight="false" outlineLevel="0" collapsed="false">
      <c r="M96" s="1"/>
      <c r="N96" s="9"/>
    </row>
    <row r="97" customFormat="false" ht="15.75" hidden="false" customHeight="false" outlineLevel="0" collapsed="false">
      <c r="M97" s="1"/>
      <c r="N97" s="9"/>
    </row>
    <row r="98" customFormat="false" ht="15.75" hidden="false" customHeight="false" outlineLevel="0" collapsed="false">
      <c r="M98" s="1"/>
      <c r="N98" s="9"/>
    </row>
    <row r="99" customFormat="false" ht="15.75" hidden="false" customHeight="false" outlineLevel="0" collapsed="false">
      <c r="M99" s="1"/>
      <c r="N99" s="9"/>
    </row>
    <row r="100" customFormat="false" ht="15.75" hidden="false" customHeight="false" outlineLevel="0" collapsed="false">
      <c r="M100" s="1"/>
      <c r="N100" s="9"/>
    </row>
    <row r="101" customFormat="false" ht="15.75" hidden="false" customHeight="false" outlineLevel="0" collapsed="false">
      <c r="M101" s="1"/>
      <c r="N101" s="9"/>
    </row>
    <row r="102" customFormat="false" ht="15.75" hidden="false" customHeight="false" outlineLevel="0" collapsed="false">
      <c r="M102" s="1"/>
      <c r="N102" s="9"/>
    </row>
    <row r="103" customFormat="false" ht="15.75" hidden="false" customHeight="false" outlineLevel="0" collapsed="false">
      <c r="M103" s="1"/>
      <c r="N103" s="9"/>
    </row>
    <row r="104" customFormat="false" ht="15.75" hidden="false" customHeight="false" outlineLevel="0" collapsed="false">
      <c r="M104" s="1"/>
      <c r="N104" s="9"/>
    </row>
    <row r="105" customFormat="false" ht="15.75" hidden="false" customHeight="false" outlineLevel="0" collapsed="false">
      <c r="M105" s="1"/>
      <c r="N105" s="9"/>
    </row>
    <row r="106" customFormat="false" ht="15.75" hidden="false" customHeight="false" outlineLevel="0" collapsed="false">
      <c r="M106" s="1"/>
      <c r="N106" s="9"/>
    </row>
    <row r="107" customFormat="false" ht="15.75" hidden="false" customHeight="false" outlineLevel="0" collapsed="false">
      <c r="M107" s="1"/>
      <c r="N107" s="9"/>
    </row>
    <row r="108" customFormat="false" ht="15.75" hidden="false" customHeight="false" outlineLevel="0" collapsed="false">
      <c r="M108" s="1"/>
      <c r="N108" s="9"/>
    </row>
    <row r="109" customFormat="false" ht="15.75" hidden="false" customHeight="false" outlineLevel="0" collapsed="false">
      <c r="M109" s="1"/>
      <c r="N109" s="9"/>
    </row>
    <row r="110" customFormat="false" ht="15.75" hidden="false" customHeight="false" outlineLevel="0" collapsed="false">
      <c r="M110" s="1"/>
      <c r="N110" s="9"/>
    </row>
    <row r="111" customFormat="false" ht="15.75" hidden="false" customHeight="false" outlineLevel="0" collapsed="false">
      <c r="M111" s="1"/>
      <c r="N111" s="9"/>
    </row>
    <row r="112" customFormat="false" ht="15.75" hidden="false" customHeight="false" outlineLevel="0" collapsed="false">
      <c r="M112" s="1"/>
      <c r="N112" s="9"/>
    </row>
    <row r="113" customFormat="false" ht="15.75" hidden="false" customHeight="false" outlineLevel="0" collapsed="false">
      <c r="M113" s="1"/>
      <c r="N113" s="9"/>
    </row>
    <row r="114" customFormat="false" ht="15.75" hidden="false" customHeight="false" outlineLevel="0" collapsed="false">
      <c r="M114" s="1"/>
      <c r="N114" s="9"/>
    </row>
    <row r="115" customFormat="false" ht="15.75" hidden="false" customHeight="false" outlineLevel="0" collapsed="false">
      <c r="M115" s="1"/>
      <c r="N115" s="9"/>
    </row>
    <row r="116" customFormat="false" ht="15.75" hidden="false" customHeight="false" outlineLevel="0" collapsed="false">
      <c r="M116" s="1"/>
      <c r="N116" s="9"/>
    </row>
    <row r="117" customFormat="false" ht="15.75" hidden="false" customHeight="false" outlineLevel="0" collapsed="false">
      <c r="M117" s="1"/>
      <c r="N117" s="9"/>
    </row>
    <row r="118" customFormat="false" ht="15.75" hidden="false" customHeight="false" outlineLevel="0" collapsed="false">
      <c r="M118" s="1"/>
      <c r="N118" s="9"/>
    </row>
    <row r="119" customFormat="false" ht="15.75" hidden="false" customHeight="false" outlineLevel="0" collapsed="false">
      <c r="M119" s="1"/>
      <c r="N119" s="9"/>
    </row>
    <row r="120" customFormat="false" ht="15.75" hidden="false" customHeight="false" outlineLevel="0" collapsed="false">
      <c r="M120" s="1"/>
      <c r="N120" s="9"/>
    </row>
    <row r="121" customFormat="false" ht="15.75" hidden="false" customHeight="false" outlineLevel="0" collapsed="false">
      <c r="M121" s="1"/>
      <c r="N121" s="9"/>
    </row>
    <row r="122" customFormat="false" ht="15.75" hidden="false" customHeight="false" outlineLevel="0" collapsed="false">
      <c r="M122" s="1"/>
      <c r="N122" s="9"/>
    </row>
    <row r="123" customFormat="false" ht="15.75" hidden="false" customHeight="false" outlineLevel="0" collapsed="false">
      <c r="M123" s="1"/>
      <c r="N123" s="9"/>
    </row>
    <row r="124" customFormat="false" ht="15.75" hidden="false" customHeight="false" outlineLevel="0" collapsed="false">
      <c r="M124" s="1"/>
      <c r="N124" s="9"/>
    </row>
    <row r="125" customFormat="false" ht="15.75" hidden="false" customHeight="false" outlineLevel="0" collapsed="false">
      <c r="M125" s="1"/>
      <c r="N125" s="9"/>
    </row>
    <row r="126" customFormat="false" ht="15.75" hidden="false" customHeight="false" outlineLevel="0" collapsed="false">
      <c r="M126" s="1"/>
      <c r="N126" s="9"/>
    </row>
    <row r="127" customFormat="false" ht="15.75" hidden="false" customHeight="false" outlineLevel="0" collapsed="false">
      <c r="M127" s="1"/>
      <c r="N127" s="9"/>
    </row>
    <row r="128" customFormat="false" ht="15.75" hidden="false" customHeight="false" outlineLevel="0" collapsed="false">
      <c r="M128" s="1"/>
      <c r="N128" s="9"/>
    </row>
    <row r="129" customFormat="false" ht="15.75" hidden="false" customHeight="false" outlineLevel="0" collapsed="false">
      <c r="M129" s="1"/>
      <c r="N129" s="9"/>
    </row>
    <row r="130" customFormat="false" ht="15.75" hidden="false" customHeight="false" outlineLevel="0" collapsed="false">
      <c r="M130" s="1"/>
      <c r="N130" s="9"/>
    </row>
    <row r="131" customFormat="false" ht="15.75" hidden="false" customHeight="false" outlineLevel="0" collapsed="false">
      <c r="M131" s="1"/>
      <c r="N131" s="9"/>
    </row>
    <row r="132" customFormat="false" ht="15.75" hidden="false" customHeight="false" outlineLevel="0" collapsed="false">
      <c r="M132" s="1"/>
      <c r="N132" s="9"/>
    </row>
    <row r="133" customFormat="false" ht="15.75" hidden="false" customHeight="false" outlineLevel="0" collapsed="false">
      <c r="M133" s="1"/>
      <c r="N133" s="9"/>
    </row>
    <row r="134" customFormat="false" ht="15.75" hidden="false" customHeight="false" outlineLevel="0" collapsed="false">
      <c r="M134" s="1"/>
      <c r="N134" s="9"/>
    </row>
    <row r="135" customFormat="false" ht="15.75" hidden="false" customHeight="false" outlineLevel="0" collapsed="false">
      <c r="M135" s="1"/>
      <c r="N135" s="9"/>
    </row>
    <row r="136" customFormat="false" ht="15.75" hidden="false" customHeight="false" outlineLevel="0" collapsed="false">
      <c r="M136" s="1"/>
      <c r="N136" s="9"/>
    </row>
    <row r="137" customFormat="false" ht="15.75" hidden="false" customHeight="false" outlineLevel="0" collapsed="false">
      <c r="M137" s="1"/>
      <c r="N137" s="9"/>
    </row>
    <row r="138" customFormat="false" ht="15.75" hidden="false" customHeight="false" outlineLevel="0" collapsed="false">
      <c r="M138" s="1"/>
      <c r="N138" s="9"/>
    </row>
    <row r="139" customFormat="false" ht="15.75" hidden="false" customHeight="false" outlineLevel="0" collapsed="false">
      <c r="M139" s="1"/>
      <c r="N139" s="9"/>
    </row>
    <row r="140" customFormat="false" ht="15.75" hidden="false" customHeight="false" outlineLevel="0" collapsed="false">
      <c r="M140" s="1"/>
      <c r="N140" s="9"/>
    </row>
    <row r="141" customFormat="false" ht="15.75" hidden="false" customHeight="false" outlineLevel="0" collapsed="false">
      <c r="M141" s="1"/>
      <c r="N141" s="9"/>
    </row>
    <row r="142" customFormat="false" ht="15.75" hidden="false" customHeight="false" outlineLevel="0" collapsed="false">
      <c r="M142" s="1"/>
      <c r="N142" s="9"/>
    </row>
    <row r="143" customFormat="false" ht="15.75" hidden="false" customHeight="false" outlineLevel="0" collapsed="false">
      <c r="M143" s="1"/>
      <c r="N143" s="9"/>
    </row>
    <row r="144" customFormat="false" ht="15.75" hidden="false" customHeight="false" outlineLevel="0" collapsed="false">
      <c r="M144" s="1"/>
      <c r="N144" s="9"/>
    </row>
    <row r="145" customFormat="false" ht="15.75" hidden="false" customHeight="false" outlineLevel="0" collapsed="false">
      <c r="M145" s="1"/>
      <c r="N145" s="9"/>
    </row>
    <row r="146" customFormat="false" ht="15.75" hidden="false" customHeight="false" outlineLevel="0" collapsed="false">
      <c r="M146" s="1"/>
      <c r="N146" s="9"/>
    </row>
    <row r="147" customFormat="false" ht="15.75" hidden="false" customHeight="false" outlineLevel="0" collapsed="false">
      <c r="M147" s="1"/>
      <c r="N147" s="9"/>
    </row>
    <row r="148" customFormat="false" ht="15.75" hidden="false" customHeight="false" outlineLevel="0" collapsed="false">
      <c r="M148" s="1"/>
      <c r="N148" s="9"/>
    </row>
    <row r="149" customFormat="false" ht="15.75" hidden="false" customHeight="false" outlineLevel="0" collapsed="false">
      <c r="M149" s="1"/>
      <c r="N149" s="9"/>
    </row>
    <row r="150" customFormat="false" ht="15.75" hidden="false" customHeight="false" outlineLevel="0" collapsed="false">
      <c r="M150" s="1"/>
      <c r="N150" s="9"/>
    </row>
    <row r="151" customFormat="false" ht="15.75" hidden="false" customHeight="false" outlineLevel="0" collapsed="false">
      <c r="M151" s="1"/>
      <c r="N151" s="9"/>
    </row>
    <row r="152" customFormat="false" ht="15.75" hidden="false" customHeight="false" outlineLevel="0" collapsed="false">
      <c r="M152" s="1"/>
      <c r="N152" s="9"/>
    </row>
    <row r="153" customFormat="false" ht="15.75" hidden="false" customHeight="false" outlineLevel="0" collapsed="false">
      <c r="M153" s="1"/>
      <c r="N153" s="9"/>
    </row>
    <row r="154" customFormat="false" ht="15.75" hidden="false" customHeight="false" outlineLevel="0" collapsed="false">
      <c r="M154" s="1"/>
      <c r="N154" s="9"/>
    </row>
    <row r="155" customFormat="false" ht="15.75" hidden="false" customHeight="false" outlineLevel="0" collapsed="false">
      <c r="M155" s="1"/>
      <c r="N155" s="9"/>
    </row>
    <row r="156" customFormat="false" ht="15.75" hidden="false" customHeight="false" outlineLevel="0" collapsed="false">
      <c r="M156" s="1"/>
      <c r="N156" s="9"/>
    </row>
    <row r="157" customFormat="false" ht="15.75" hidden="false" customHeight="false" outlineLevel="0" collapsed="false">
      <c r="M157" s="1"/>
      <c r="N157" s="9"/>
    </row>
    <row r="158" customFormat="false" ht="15.75" hidden="false" customHeight="false" outlineLevel="0" collapsed="false">
      <c r="M158" s="1"/>
      <c r="N158" s="9"/>
    </row>
    <row r="159" customFormat="false" ht="15.75" hidden="false" customHeight="false" outlineLevel="0" collapsed="false">
      <c r="M159" s="1"/>
      <c r="N159" s="9"/>
    </row>
    <row r="160" customFormat="false" ht="15.75" hidden="false" customHeight="false" outlineLevel="0" collapsed="false">
      <c r="M160" s="1"/>
      <c r="N160" s="9"/>
    </row>
    <row r="161" customFormat="false" ht="15.75" hidden="false" customHeight="false" outlineLevel="0" collapsed="false">
      <c r="M161" s="1"/>
      <c r="N161" s="9"/>
    </row>
    <row r="162" customFormat="false" ht="15.75" hidden="false" customHeight="false" outlineLevel="0" collapsed="false">
      <c r="M162" s="1"/>
      <c r="N162" s="9"/>
    </row>
    <row r="163" customFormat="false" ht="15.75" hidden="false" customHeight="false" outlineLevel="0" collapsed="false">
      <c r="M163" s="1"/>
      <c r="N163" s="9"/>
    </row>
    <row r="164" customFormat="false" ht="15.75" hidden="false" customHeight="false" outlineLevel="0" collapsed="false">
      <c r="M164" s="1"/>
      <c r="N164" s="9"/>
    </row>
    <row r="165" customFormat="false" ht="15.75" hidden="false" customHeight="false" outlineLevel="0" collapsed="false">
      <c r="M165" s="1"/>
      <c r="N165" s="9"/>
    </row>
    <row r="166" customFormat="false" ht="15.75" hidden="false" customHeight="false" outlineLevel="0" collapsed="false">
      <c r="M166" s="1"/>
      <c r="N166" s="9"/>
    </row>
    <row r="167" customFormat="false" ht="15.75" hidden="false" customHeight="false" outlineLevel="0" collapsed="false">
      <c r="M167" s="1"/>
      <c r="N167" s="9"/>
    </row>
    <row r="168" customFormat="false" ht="15.75" hidden="false" customHeight="false" outlineLevel="0" collapsed="false">
      <c r="M168" s="1"/>
      <c r="N168" s="9"/>
    </row>
    <row r="169" customFormat="false" ht="15.75" hidden="false" customHeight="false" outlineLevel="0" collapsed="false">
      <c r="M169" s="1"/>
      <c r="N169" s="9"/>
    </row>
    <row r="170" customFormat="false" ht="15.75" hidden="false" customHeight="false" outlineLevel="0" collapsed="false">
      <c r="M170" s="1"/>
      <c r="N170" s="9"/>
    </row>
    <row r="171" customFormat="false" ht="15.75" hidden="false" customHeight="false" outlineLevel="0" collapsed="false">
      <c r="M171" s="1"/>
      <c r="N171" s="9"/>
    </row>
    <row r="172" customFormat="false" ht="15.75" hidden="false" customHeight="false" outlineLevel="0" collapsed="false">
      <c r="M172" s="1"/>
      <c r="N172" s="9"/>
    </row>
    <row r="173" customFormat="false" ht="15.75" hidden="false" customHeight="false" outlineLevel="0" collapsed="false">
      <c r="M173" s="1"/>
      <c r="N173" s="9"/>
    </row>
    <row r="174" customFormat="false" ht="15.75" hidden="false" customHeight="false" outlineLevel="0" collapsed="false">
      <c r="M174" s="1"/>
      <c r="N174" s="9"/>
    </row>
    <row r="175" customFormat="false" ht="15.75" hidden="false" customHeight="false" outlineLevel="0" collapsed="false">
      <c r="M175" s="1"/>
      <c r="N175" s="9"/>
    </row>
    <row r="176" customFormat="false" ht="15.75" hidden="false" customHeight="false" outlineLevel="0" collapsed="false">
      <c r="M176" s="1"/>
      <c r="N176" s="9"/>
    </row>
    <row r="177" customFormat="false" ht="15.75" hidden="false" customHeight="false" outlineLevel="0" collapsed="false">
      <c r="M177" s="1"/>
      <c r="N177" s="9"/>
    </row>
    <row r="178" customFormat="false" ht="15.75" hidden="false" customHeight="false" outlineLevel="0" collapsed="false">
      <c r="M178" s="1"/>
      <c r="N178" s="9"/>
    </row>
    <row r="179" customFormat="false" ht="15.75" hidden="false" customHeight="false" outlineLevel="0" collapsed="false">
      <c r="M179" s="1"/>
      <c r="N179" s="9"/>
    </row>
    <row r="180" customFormat="false" ht="15.75" hidden="false" customHeight="false" outlineLevel="0" collapsed="false">
      <c r="M180" s="1"/>
      <c r="N180" s="9"/>
    </row>
    <row r="181" customFormat="false" ht="15.75" hidden="false" customHeight="false" outlineLevel="0" collapsed="false">
      <c r="M181" s="1"/>
      <c r="N181" s="9"/>
    </row>
    <row r="182" customFormat="false" ht="15.75" hidden="false" customHeight="false" outlineLevel="0" collapsed="false">
      <c r="M182" s="1"/>
      <c r="N182" s="9"/>
    </row>
    <row r="183" customFormat="false" ht="15.75" hidden="false" customHeight="false" outlineLevel="0" collapsed="false">
      <c r="M183" s="1"/>
      <c r="N183" s="9"/>
    </row>
    <row r="184" customFormat="false" ht="15.75" hidden="false" customHeight="false" outlineLevel="0" collapsed="false">
      <c r="M184" s="1"/>
      <c r="N184" s="9"/>
    </row>
    <row r="185" customFormat="false" ht="15.75" hidden="false" customHeight="false" outlineLevel="0" collapsed="false">
      <c r="M185" s="1"/>
      <c r="N185" s="9"/>
    </row>
    <row r="186" customFormat="false" ht="15.75" hidden="false" customHeight="false" outlineLevel="0" collapsed="false">
      <c r="M186" s="1"/>
      <c r="N186" s="9"/>
    </row>
    <row r="187" customFormat="false" ht="15.75" hidden="false" customHeight="false" outlineLevel="0" collapsed="false">
      <c r="M187" s="1"/>
      <c r="N187" s="9"/>
    </row>
    <row r="188" customFormat="false" ht="15.75" hidden="false" customHeight="false" outlineLevel="0" collapsed="false">
      <c r="M188" s="1"/>
      <c r="N188" s="9"/>
    </row>
    <row r="189" customFormat="false" ht="15.75" hidden="false" customHeight="false" outlineLevel="0" collapsed="false">
      <c r="M189" s="1"/>
      <c r="N189" s="9"/>
    </row>
    <row r="190" customFormat="false" ht="15.75" hidden="false" customHeight="false" outlineLevel="0" collapsed="false">
      <c r="M190" s="1"/>
      <c r="N190" s="9"/>
    </row>
    <row r="191" customFormat="false" ht="15.75" hidden="false" customHeight="false" outlineLevel="0" collapsed="false">
      <c r="M191" s="1"/>
      <c r="N191" s="9"/>
    </row>
    <row r="192" customFormat="false" ht="15.75" hidden="false" customHeight="false" outlineLevel="0" collapsed="false">
      <c r="M192" s="1"/>
      <c r="N192" s="9"/>
    </row>
    <row r="193" customFormat="false" ht="15.75" hidden="false" customHeight="false" outlineLevel="0" collapsed="false">
      <c r="M193" s="1"/>
      <c r="N193" s="9"/>
    </row>
    <row r="194" customFormat="false" ht="15.75" hidden="false" customHeight="false" outlineLevel="0" collapsed="false">
      <c r="M194" s="1"/>
      <c r="N194" s="9"/>
    </row>
    <row r="195" customFormat="false" ht="15.75" hidden="false" customHeight="false" outlineLevel="0" collapsed="false">
      <c r="M195" s="1"/>
      <c r="N195" s="9"/>
    </row>
    <row r="196" customFormat="false" ht="15.75" hidden="false" customHeight="false" outlineLevel="0" collapsed="false">
      <c r="M196" s="1"/>
      <c r="N196" s="9"/>
    </row>
    <row r="197" customFormat="false" ht="15.75" hidden="false" customHeight="false" outlineLevel="0" collapsed="false">
      <c r="M197" s="1"/>
      <c r="N197" s="9"/>
    </row>
    <row r="198" customFormat="false" ht="15.75" hidden="false" customHeight="false" outlineLevel="0" collapsed="false">
      <c r="M198" s="1"/>
      <c r="N198" s="9"/>
    </row>
    <row r="199" customFormat="false" ht="15.75" hidden="false" customHeight="false" outlineLevel="0" collapsed="false">
      <c r="M199" s="1"/>
      <c r="N199" s="9"/>
    </row>
    <row r="200" customFormat="false" ht="15.75" hidden="false" customHeight="false" outlineLevel="0" collapsed="false">
      <c r="M200" s="1"/>
      <c r="N200" s="9"/>
    </row>
    <row r="201" customFormat="false" ht="15.75" hidden="false" customHeight="false" outlineLevel="0" collapsed="false">
      <c r="M201" s="1"/>
      <c r="N201" s="9"/>
    </row>
    <row r="202" customFormat="false" ht="15.75" hidden="false" customHeight="false" outlineLevel="0" collapsed="false">
      <c r="M202" s="1"/>
      <c r="N202" s="9"/>
    </row>
    <row r="203" customFormat="false" ht="15.75" hidden="false" customHeight="false" outlineLevel="0" collapsed="false">
      <c r="M203" s="1"/>
      <c r="N203" s="9"/>
    </row>
    <row r="204" customFormat="false" ht="15.75" hidden="false" customHeight="false" outlineLevel="0" collapsed="false">
      <c r="M204" s="1"/>
      <c r="N204" s="9"/>
    </row>
    <row r="205" customFormat="false" ht="15.75" hidden="false" customHeight="false" outlineLevel="0" collapsed="false">
      <c r="M205" s="1"/>
      <c r="N205" s="9"/>
    </row>
    <row r="206" customFormat="false" ht="15.75" hidden="false" customHeight="false" outlineLevel="0" collapsed="false">
      <c r="M206" s="1"/>
      <c r="N206" s="9"/>
    </row>
    <row r="207" customFormat="false" ht="15.75" hidden="false" customHeight="false" outlineLevel="0" collapsed="false">
      <c r="M207" s="1"/>
      <c r="N207" s="9"/>
    </row>
    <row r="208" customFormat="false" ht="15.75" hidden="false" customHeight="false" outlineLevel="0" collapsed="false">
      <c r="M208" s="1"/>
      <c r="N208" s="9"/>
    </row>
    <row r="209" customFormat="false" ht="15.75" hidden="false" customHeight="false" outlineLevel="0" collapsed="false">
      <c r="M209" s="1"/>
      <c r="N209" s="9"/>
    </row>
    <row r="210" customFormat="false" ht="15.75" hidden="false" customHeight="false" outlineLevel="0" collapsed="false">
      <c r="M210" s="1"/>
      <c r="N210" s="9"/>
    </row>
    <row r="211" customFormat="false" ht="15.75" hidden="false" customHeight="false" outlineLevel="0" collapsed="false">
      <c r="M211" s="1"/>
      <c r="N211" s="9"/>
    </row>
    <row r="212" customFormat="false" ht="15.75" hidden="false" customHeight="false" outlineLevel="0" collapsed="false">
      <c r="M212" s="1"/>
      <c r="N212" s="9"/>
    </row>
    <row r="213" customFormat="false" ht="15.75" hidden="false" customHeight="false" outlineLevel="0" collapsed="false">
      <c r="M213" s="1"/>
      <c r="N213" s="9"/>
    </row>
    <row r="214" customFormat="false" ht="15.75" hidden="false" customHeight="false" outlineLevel="0" collapsed="false">
      <c r="M214" s="1"/>
      <c r="N214" s="9"/>
    </row>
    <row r="215" customFormat="false" ht="15.75" hidden="false" customHeight="false" outlineLevel="0" collapsed="false">
      <c r="M215" s="1"/>
      <c r="N215" s="9"/>
    </row>
    <row r="216" customFormat="false" ht="15.75" hidden="false" customHeight="false" outlineLevel="0" collapsed="false">
      <c r="M216" s="1"/>
      <c r="N216" s="9"/>
    </row>
    <row r="217" customFormat="false" ht="15.75" hidden="false" customHeight="false" outlineLevel="0" collapsed="false">
      <c r="M217" s="1"/>
      <c r="N217" s="9"/>
    </row>
    <row r="218" customFormat="false" ht="15.75" hidden="false" customHeight="false" outlineLevel="0" collapsed="false">
      <c r="M218" s="1"/>
      <c r="N218" s="9"/>
    </row>
    <row r="219" customFormat="false" ht="15.75" hidden="false" customHeight="false" outlineLevel="0" collapsed="false">
      <c r="M219" s="1"/>
      <c r="N219" s="9"/>
    </row>
    <row r="220" customFormat="false" ht="15.75" hidden="false" customHeight="false" outlineLevel="0" collapsed="false">
      <c r="M220" s="1"/>
      <c r="N220" s="9"/>
    </row>
    <row r="221" customFormat="false" ht="15.75" hidden="false" customHeight="false" outlineLevel="0" collapsed="false">
      <c r="M221" s="1"/>
      <c r="N221" s="9"/>
    </row>
    <row r="222" customFormat="false" ht="15.75" hidden="false" customHeight="false" outlineLevel="0" collapsed="false">
      <c r="M222" s="1"/>
      <c r="N222" s="9"/>
    </row>
    <row r="223" customFormat="false" ht="15.75" hidden="false" customHeight="false" outlineLevel="0" collapsed="false">
      <c r="M223" s="1"/>
      <c r="N223" s="9"/>
    </row>
    <row r="224" customFormat="false" ht="15.75" hidden="false" customHeight="false" outlineLevel="0" collapsed="false">
      <c r="M224" s="1"/>
      <c r="N224" s="9"/>
    </row>
    <row r="225" customFormat="false" ht="15.75" hidden="false" customHeight="false" outlineLevel="0" collapsed="false">
      <c r="M225" s="1"/>
      <c r="N225" s="9"/>
    </row>
    <row r="226" customFormat="false" ht="15.75" hidden="false" customHeight="false" outlineLevel="0" collapsed="false">
      <c r="M226" s="1"/>
      <c r="N226" s="9"/>
    </row>
    <row r="227" customFormat="false" ht="15.75" hidden="false" customHeight="false" outlineLevel="0" collapsed="false">
      <c r="M227" s="1"/>
      <c r="N227" s="9"/>
    </row>
    <row r="228" customFormat="false" ht="15.75" hidden="false" customHeight="false" outlineLevel="0" collapsed="false">
      <c r="M228" s="1"/>
      <c r="N228" s="9"/>
    </row>
    <row r="229" customFormat="false" ht="15.75" hidden="false" customHeight="false" outlineLevel="0" collapsed="false">
      <c r="M229" s="1"/>
      <c r="N229" s="9"/>
    </row>
    <row r="230" customFormat="false" ht="15.75" hidden="false" customHeight="false" outlineLevel="0" collapsed="false">
      <c r="M230" s="1"/>
      <c r="N230" s="9"/>
    </row>
    <row r="231" customFormat="false" ht="15.75" hidden="false" customHeight="false" outlineLevel="0" collapsed="false">
      <c r="M231" s="1"/>
      <c r="N231" s="9"/>
    </row>
    <row r="232" customFormat="false" ht="15.75" hidden="false" customHeight="false" outlineLevel="0" collapsed="false">
      <c r="M232" s="1"/>
      <c r="N232" s="9"/>
    </row>
    <row r="233" customFormat="false" ht="15.75" hidden="false" customHeight="false" outlineLevel="0" collapsed="false">
      <c r="M233" s="1"/>
      <c r="N233" s="9"/>
    </row>
    <row r="234" customFormat="false" ht="15.75" hidden="false" customHeight="false" outlineLevel="0" collapsed="false">
      <c r="M234" s="1"/>
      <c r="N234" s="9"/>
    </row>
    <row r="235" customFormat="false" ht="15.75" hidden="false" customHeight="false" outlineLevel="0" collapsed="false">
      <c r="M235" s="1"/>
      <c r="N235" s="9"/>
    </row>
    <row r="236" customFormat="false" ht="15.75" hidden="false" customHeight="false" outlineLevel="0" collapsed="false">
      <c r="M236" s="1"/>
      <c r="N236" s="9"/>
    </row>
    <row r="237" customFormat="false" ht="15.75" hidden="false" customHeight="false" outlineLevel="0" collapsed="false">
      <c r="M237" s="1"/>
      <c r="N237" s="9"/>
    </row>
    <row r="238" customFormat="false" ht="15.75" hidden="false" customHeight="false" outlineLevel="0" collapsed="false">
      <c r="M238" s="1"/>
      <c r="N238" s="9"/>
    </row>
    <row r="239" customFormat="false" ht="15.75" hidden="false" customHeight="false" outlineLevel="0" collapsed="false">
      <c r="M239" s="1"/>
      <c r="N239" s="9"/>
    </row>
    <row r="240" customFormat="false" ht="15.75" hidden="false" customHeight="false" outlineLevel="0" collapsed="false">
      <c r="M240" s="1"/>
      <c r="N240" s="9"/>
    </row>
    <row r="241" customFormat="false" ht="15.75" hidden="false" customHeight="false" outlineLevel="0" collapsed="false">
      <c r="M241" s="1"/>
      <c r="N241" s="9"/>
    </row>
    <row r="242" customFormat="false" ht="15.75" hidden="false" customHeight="false" outlineLevel="0" collapsed="false">
      <c r="M242" s="1"/>
      <c r="N242" s="9"/>
    </row>
    <row r="243" customFormat="false" ht="15.75" hidden="false" customHeight="false" outlineLevel="0" collapsed="false">
      <c r="M243" s="1"/>
      <c r="N243" s="9"/>
    </row>
    <row r="244" customFormat="false" ht="15.75" hidden="false" customHeight="false" outlineLevel="0" collapsed="false">
      <c r="M244" s="1"/>
      <c r="N244" s="9"/>
    </row>
    <row r="245" customFormat="false" ht="15.75" hidden="false" customHeight="false" outlineLevel="0" collapsed="false">
      <c r="M245" s="1"/>
      <c r="N245" s="9"/>
    </row>
    <row r="246" customFormat="false" ht="15.75" hidden="false" customHeight="false" outlineLevel="0" collapsed="false">
      <c r="M246" s="1"/>
      <c r="N246" s="9"/>
    </row>
    <row r="247" customFormat="false" ht="15.75" hidden="false" customHeight="false" outlineLevel="0" collapsed="false">
      <c r="M247" s="1"/>
      <c r="N247" s="9"/>
    </row>
    <row r="248" customFormat="false" ht="15.75" hidden="false" customHeight="false" outlineLevel="0" collapsed="false">
      <c r="M248" s="1"/>
      <c r="N248" s="9"/>
    </row>
    <row r="249" customFormat="false" ht="15.75" hidden="false" customHeight="false" outlineLevel="0" collapsed="false">
      <c r="M249" s="1"/>
      <c r="N249" s="9"/>
    </row>
    <row r="250" customFormat="false" ht="15.75" hidden="false" customHeight="false" outlineLevel="0" collapsed="false">
      <c r="M250" s="1"/>
      <c r="N250" s="9"/>
    </row>
    <row r="251" customFormat="false" ht="15.75" hidden="false" customHeight="false" outlineLevel="0" collapsed="false">
      <c r="M251" s="1"/>
      <c r="N251" s="9"/>
    </row>
    <row r="252" customFormat="false" ht="15.75" hidden="false" customHeight="false" outlineLevel="0" collapsed="false">
      <c r="M252" s="1"/>
      <c r="N252" s="9"/>
    </row>
    <row r="253" customFormat="false" ht="15.75" hidden="false" customHeight="false" outlineLevel="0" collapsed="false">
      <c r="M253" s="1"/>
      <c r="N253" s="9"/>
    </row>
    <row r="254" customFormat="false" ht="15.75" hidden="false" customHeight="false" outlineLevel="0" collapsed="false">
      <c r="M254" s="1"/>
      <c r="N254" s="9"/>
    </row>
    <row r="255" customFormat="false" ht="15.75" hidden="false" customHeight="false" outlineLevel="0" collapsed="false">
      <c r="M255" s="1"/>
      <c r="N255" s="9"/>
    </row>
    <row r="256" customFormat="false" ht="15.75" hidden="false" customHeight="false" outlineLevel="0" collapsed="false">
      <c r="M256" s="1"/>
      <c r="N256" s="9"/>
    </row>
    <row r="257" customFormat="false" ht="15.75" hidden="false" customHeight="false" outlineLevel="0" collapsed="false">
      <c r="M257" s="1"/>
      <c r="N257" s="9"/>
    </row>
    <row r="258" customFormat="false" ht="15.75" hidden="false" customHeight="false" outlineLevel="0" collapsed="false">
      <c r="M258" s="1"/>
      <c r="N258" s="9"/>
    </row>
    <row r="259" customFormat="false" ht="15.75" hidden="false" customHeight="false" outlineLevel="0" collapsed="false">
      <c r="M259" s="1"/>
      <c r="N259" s="9"/>
    </row>
    <row r="260" customFormat="false" ht="15.75" hidden="false" customHeight="false" outlineLevel="0" collapsed="false">
      <c r="M260" s="1"/>
      <c r="N260" s="9"/>
    </row>
    <row r="261" customFormat="false" ht="15.75" hidden="false" customHeight="false" outlineLevel="0" collapsed="false">
      <c r="M261" s="1"/>
      <c r="N261" s="9"/>
    </row>
    <row r="262" customFormat="false" ht="15.75" hidden="false" customHeight="false" outlineLevel="0" collapsed="false">
      <c r="M262" s="1"/>
      <c r="N262" s="9"/>
    </row>
    <row r="263" customFormat="false" ht="15.75" hidden="false" customHeight="false" outlineLevel="0" collapsed="false">
      <c r="M263" s="1"/>
      <c r="N263" s="9"/>
    </row>
    <row r="264" customFormat="false" ht="15.75" hidden="false" customHeight="false" outlineLevel="0" collapsed="false">
      <c r="M264" s="1"/>
      <c r="N264" s="9"/>
    </row>
    <row r="265" customFormat="false" ht="15.75" hidden="false" customHeight="false" outlineLevel="0" collapsed="false">
      <c r="M265" s="1"/>
      <c r="N265" s="9"/>
    </row>
    <row r="266" customFormat="false" ht="15.75" hidden="false" customHeight="false" outlineLevel="0" collapsed="false">
      <c r="M266" s="1"/>
      <c r="N266" s="9"/>
    </row>
    <row r="267" customFormat="false" ht="15.75" hidden="false" customHeight="false" outlineLevel="0" collapsed="false">
      <c r="M267" s="1"/>
      <c r="N267" s="9"/>
    </row>
    <row r="268" customFormat="false" ht="15.75" hidden="false" customHeight="false" outlineLevel="0" collapsed="false">
      <c r="M268" s="1"/>
      <c r="N268" s="9"/>
    </row>
    <row r="269" customFormat="false" ht="15.75" hidden="false" customHeight="false" outlineLevel="0" collapsed="false">
      <c r="M269" s="1"/>
      <c r="N269" s="9"/>
    </row>
    <row r="270" customFormat="false" ht="15.75" hidden="false" customHeight="false" outlineLevel="0" collapsed="false">
      <c r="M270" s="1"/>
      <c r="N270" s="9"/>
    </row>
    <row r="271" customFormat="false" ht="15.75" hidden="false" customHeight="false" outlineLevel="0" collapsed="false">
      <c r="M271" s="1"/>
      <c r="N271" s="9"/>
    </row>
    <row r="272" customFormat="false" ht="15.75" hidden="false" customHeight="false" outlineLevel="0" collapsed="false">
      <c r="M272" s="1"/>
      <c r="N272" s="9"/>
    </row>
    <row r="273" customFormat="false" ht="15.75" hidden="false" customHeight="false" outlineLevel="0" collapsed="false">
      <c r="M273" s="1"/>
      <c r="N273" s="9"/>
    </row>
    <row r="274" customFormat="false" ht="15.75" hidden="false" customHeight="false" outlineLevel="0" collapsed="false">
      <c r="M274" s="1"/>
      <c r="N274" s="9"/>
    </row>
    <row r="275" customFormat="false" ht="15.75" hidden="false" customHeight="false" outlineLevel="0" collapsed="false">
      <c r="M275" s="1"/>
      <c r="N275" s="9"/>
    </row>
    <row r="276" customFormat="false" ht="15.75" hidden="false" customHeight="false" outlineLevel="0" collapsed="false">
      <c r="M276" s="1"/>
      <c r="N276" s="9"/>
    </row>
    <row r="277" customFormat="false" ht="15.75" hidden="false" customHeight="false" outlineLevel="0" collapsed="false">
      <c r="M277" s="1"/>
      <c r="N277" s="9"/>
    </row>
    <row r="278" customFormat="false" ht="15.75" hidden="false" customHeight="false" outlineLevel="0" collapsed="false">
      <c r="M278" s="1"/>
      <c r="N278" s="9"/>
    </row>
    <row r="279" customFormat="false" ht="15.75" hidden="false" customHeight="false" outlineLevel="0" collapsed="false">
      <c r="M279" s="1"/>
      <c r="N279" s="9"/>
    </row>
    <row r="280" customFormat="false" ht="15.75" hidden="false" customHeight="false" outlineLevel="0" collapsed="false">
      <c r="M280" s="1"/>
      <c r="N280" s="9"/>
    </row>
    <row r="281" customFormat="false" ht="15.75" hidden="false" customHeight="false" outlineLevel="0" collapsed="false">
      <c r="M281" s="1"/>
      <c r="N281" s="9"/>
    </row>
    <row r="282" customFormat="false" ht="15.75" hidden="false" customHeight="false" outlineLevel="0" collapsed="false">
      <c r="M282" s="1"/>
      <c r="N282" s="9"/>
    </row>
    <row r="283" customFormat="false" ht="15.75" hidden="false" customHeight="false" outlineLevel="0" collapsed="false">
      <c r="M283" s="1"/>
      <c r="N283" s="9"/>
    </row>
    <row r="284" customFormat="false" ht="15.75" hidden="false" customHeight="false" outlineLevel="0" collapsed="false">
      <c r="M284" s="1"/>
      <c r="N284" s="9"/>
    </row>
    <row r="285" customFormat="false" ht="15.75" hidden="false" customHeight="false" outlineLevel="0" collapsed="false">
      <c r="M285" s="1"/>
      <c r="N285" s="9"/>
    </row>
    <row r="286" customFormat="false" ht="15.75" hidden="false" customHeight="false" outlineLevel="0" collapsed="false">
      <c r="M286" s="1"/>
      <c r="N286" s="9"/>
    </row>
    <row r="287" customFormat="false" ht="15.75" hidden="false" customHeight="false" outlineLevel="0" collapsed="false">
      <c r="M287" s="1"/>
      <c r="N287" s="9"/>
    </row>
    <row r="288" customFormat="false" ht="15.75" hidden="false" customHeight="false" outlineLevel="0" collapsed="false">
      <c r="M288" s="1"/>
      <c r="N288" s="9"/>
    </row>
    <row r="289" customFormat="false" ht="15.75" hidden="false" customHeight="false" outlineLevel="0" collapsed="false">
      <c r="M289" s="1"/>
      <c r="N289" s="9"/>
    </row>
    <row r="290" customFormat="false" ht="15.75" hidden="false" customHeight="false" outlineLevel="0" collapsed="false">
      <c r="M290" s="1"/>
      <c r="N290" s="9"/>
    </row>
    <row r="291" customFormat="false" ht="15.75" hidden="false" customHeight="false" outlineLevel="0" collapsed="false">
      <c r="M291" s="1"/>
      <c r="N291" s="9"/>
    </row>
    <row r="292" customFormat="false" ht="15.75" hidden="false" customHeight="false" outlineLevel="0" collapsed="false">
      <c r="M292" s="1"/>
      <c r="N292" s="9"/>
    </row>
    <row r="293" customFormat="false" ht="15.75" hidden="false" customHeight="false" outlineLevel="0" collapsed="false">
      <c r="M293" s="1"/>
      <c r="N293" s="9"/>
    </row>
    <row r="294" customFormat="false" ht="15.75" hidden="false" customHeight="false" outlineLevel="0" collapsed="false">
      <c r="M294" s="1"/>
      <c r="N294" s="9"/>
    </row>
    <row r="295" customFormat="false" ht="15.75" hidden="false" customHeight="false" outlineLevel="0" collapsed="false">
      <c r="M295" s="1"/>
      <c r="N295" s="9"/>
    </row>
    <row r="296" customFormat="false" ht="15.75" hidden="false" customHeight="false" outlineLevel="0" collapsed="false">
      <c r="M296" s="1"/>
      <c r="N296" s="9"/>
    </row>
    <row r="297" customFormat="false" ht="15.75" hidden="false" customHeight="false" outlineLevel="0" collapsed="false">
      <c r="M297" s="1"/>
      <c r="N297" s="9"/>
    </row>
    <row r="298" customFormat="false" ht="15.75" hidden="false" customHeight="false" outlineLevel="0" collapsed="false">
      <c r="M298" s="1"/>
      <c r="N298" s="9"/>
    </row>
    <row r="299" customFormat="false" ht="15.75" hidden="false" customHeight="false" outlineLevel="0" collapsed="false">
      <c r="M299" s="1"/>
      <c r="N299" s="9"/>
    </row>
    <row r="300" customFormat="false" ht="15.75" hidden="false" customHeight="false" outlineLevel="0" collapsed="false">
      <c r="M300" s="1"/>
      <c r="N300" s="9"/>
    </row>
    <row r="301" customFormat="false" ht="15.75" hidden="false" customHeight="false" outlineLevel="0" collapsed="false">
      <c r="M301" s="1"/>
      <c r="N301" s="9"/>
    </row>
    <row r="302" customFormat="false" ht="15.75" hidden="false" customHeight="false" outlineLevel="0" collapsed="false">
      <c r="M302" s="1"/>
      <c r="N302" s="9"/>
    </row>
    <row r="303" customFormat="false" ht="15.75" hidden="false" customHeight="false" outlineLevel="0" collapsed="false">
      <c r="M303" s="1"/>
      <c r="N303" s="9"/>
    </row>
    <row r="304" customFormat="false" ht="15.75" hidden="false" customHeight="false" outlineLevel="0" collapsed="false">
      <c r="M304" s="1"/>
      <c r="N304" s="9"/>
    </row>
    <row r="305" customFormat="false" ht="15.75" hidden="false" customHeight="false" outlineLevel="0" collapsed="false">
      <c r="M305" s="1"/>
      <c r="N305" s="9"/>
    </row>
    <row r="306" customFormat="false" ht="15.75" hidden="false" customHeight="false" outlineLevel="0" collapsed="false">
      <c r="M306" s="1"/>
      <c r="N306" s="9"/>
    </row>
    <row r="307" customFormat="false" ht="15.75" hidden="false" customHeight="false" outlineLevel="0" collapsed="false">
      <c r="M307" s="1"/>
      <c r="N307" s="9"/>
    </row>
    <row r="308" customFormat="false" ht="15.75" hidden="false" customHeight="false" outlineLevel="0" collapsed="false">
      <c r="M308" s="1"/>
      <c r="N308" s="9"/>
    </row>
    <row r="309" customFormat="false" ht="15.75" hidden="false" customHeight="false" outlineLevel="0" collapsed="false">
      <c r="M309" s="1"/>
      <c r="N309" s="9"/>
    </row>
    <row r="310" customFormat="false" ht="15.75" hidden="false" customHeight="false" outlineLevel="0" collapsed="false">
      <c r="M310" s="1"/>
      <c r="N310" s="9"/>
    </row>
    <row r="311" customFormat="false" ht="15.75" hidden="false" customHeight="false" outlineLevel="0" collapsed="false">
      <c r="M311" s="1"/>
      <c r="N311" s="9"/>
    </row>
    <row r="312" customFormat="false" ht="15.75" hidden="false" customHeight="false" outlineLevel="0" collapsed="false">
      <c r="M312" s="1"/>
      <c r="N312" s="9"/>
    </row>
    <row r="313" customFormat="false" ht="15.75" hidden="false" customHeight="false" outlineLevel="0" collapsed="false">
      <c r="M313" s="1"/>
      <c r="N313" s="9"/>
    </row>
    <row r="314" customFormat="false" ht="15.75" hidden="false" customHeight="false" outlineLevel="0" collapsed="false">
      <c r="M314" s="1"/>
      <c r="N314" s="9"/>
    </row>
    <row r="315" customFormat="false" ht="15.75" hidden="false" customHeight="false" outlineLevel="0" collapsed="false">
      <c r="M315" s="1"/>
      <c r="N315" s="9"/>
    </row>
    <row r="316" customFormat="false" ht="15.75" hidden="false" customHeight="false" outlineLevel="0" collapsed="false">
      <c r="M316" s="1"/>
      <c r="N316" s="9"/>
    </row>
    <row r="317" customFormat="false" ht="15.75" hidden="false" customHeight="false" outlineLevel="0" collapsed="false">
      <c r="M317" s="1"/>
      <c r="N317" s="9"/>
    </row>
    <row r="318" customFormat="false" ht="15.75" hidden="false" customHeight="false" outlineLevel="0" collapsed="false">
      <c r="M318" s="1"/>
      <c r="N318" s="9"/>
    </row>
    <row r="319" customFormat="false" ht="15.75" hidden="false" customHeight="false" outlineLevel="0" collapsed="false">
      <c r="M319" s="1"/>
      <c r="N319" s="9"/>
    </row>
    <row r="320" customFormat="false" ht="15.75" hidden="false" customHeight="false" outlineLevel="0" collapsed="false">
      <c r="M320" s="1"/>
      <c r="N320" s="9"/>
    </row>
    <row r="321" customFormat="false" ht="15.75" hidden="false" customHeight="false" outlineLevel="0" collapsed="false">
      <c r="M321" s="1"/>
      <c r="N321" s="9"/>
    </row>
    <row r="322" customFormat="false" ht="15.75" hidden="false" customHeight="false" outlineLevel="0" collapsed="false">
      <c r="M322" s="1"/>
      <c r="N322" s="9"/>
    </row>
    <row r="323" customFormat="false" ht="15.75" hidden="false" customHeight="false" outlineLevel="0" collapsed="false">
      <c r="M323" s="1"/>
      <c r="N323" s="9"/>
    </row>
    <row r="324" customFormat="false" ht="15.75" hidden="false" customHeight="false" outlineLevel="0" collapsed="false">
      <c r="M324" s="1"/>
      <c r="N324" s="9"/>
    </row>
    <row r="325" customFormat="false" ht="15.75" hidden="false" customHeight="false" outlineLevel="0" collapsed="false">
      <c r="M325" s="1"/>
      <c r="N325" s="9"/>
    </row>
    <row r="326" customFormat="false" ht="15.75" hidden="false" customHeight="false" outlineLevel="0" collapsed="false">
      <c r="M326" s="1"/>
      <c r="N326" s="9"/>
    </row>
    <row r="327" customFormat="false" ht="15.75" hidden="false" customHeight="false" outlineLevel="0" collapsed="false">
      <c r="M327" s="1"/>
      <c r="N327" s="9"/>
    </row>
    <row r="328" customFormat="false" ht="15.75" hidden="false" customHeight="false" outlineLevel="0" collapsed="false">
      <c r="M328" s="1"/>
      <c r="N328" s="9"/>
    </row>
    <row r="329" customFormat="false" ht="15.75" hidden="false" customHeight="false" outlineLevel="0" collapsed="false">
      <c r="M329" s="1"/>
      <c r="N329" s="9"/>
    </row>
    <row r="330" customFormat="false" ht="15.75" hidden="false" customHeight="false" outlineLevel="0" collapsed="false">
      <c r="M330" s="1"/>
      <c r="N330" s="9"/>
    </row>
    <row r="331" customFormat="false" ht="15.75" hidden="false" customHeight="false" outlineLevel="0" collapsed="false">
      <c r="M331" s="1"/>
      <c r="N331" s="9"/>
    </row>
    <row r="332" customFormat="false" ht="15.75" hidden="false" customHeight="false" outlineLevel="0" collapsed="false">
      <c r="M332" s="1"/>
      <c r="N332" s="9"/>
    </row>
    <row r="333" customFormat="false" ht="15.75" hidden="false" customHeight="false" outlineLevel="0" collapsed="false">
      <c r="M333" s="1"/>
      <c r="N333" s="9"/>
    </row>
    <row r="334" customFormat="false" ht="15.75" hidden="false" customHeight="false" outlineLevel="0" collapsed="false">
      <c r="M334" s="1"/>
      <c r="N334" s="9"/>
    </row>
    <row r="335" customFormat="false" ht="15.75" hidden="false" customHeight="false" outlineLevel="0" collapsed="false">
      <c r="M335" s="1"/>
      <c r="N335" s="9"/>
    </row>
    <row r="336" customFormat="false" ht="15.75" hidden="false" customHeight="false" outlineLevel="0" collapsed="false">
      <c r="M336" s="1"/>
      <c r="N336" s="9"/>
    </row>
    <row r="337" customFormat="false" ht="15.75" hidden="false" customHeight="false" outlineLevel="0" collapsed="false">
      <c r="M337" s="1"/>
      <c r="N337" s="9"/>
    </row>
    <row r="338" customFormat="false" ht="15.75" hidden="false" customHeight="false" outlineLevel="0" collapsed="false">
      <c r="M338" s="1"/>
      <c r="N338" s="9"/>
    </row>
    <row r="339" customFormat="false" ht="15.75" hidden="false" customHeight="false" outlineLevel="0" collapsed="false">
      <c r="M339" s="1"/>
      <c r="N339" s="9"/>
    </row>
    <row r="340" customFormat="false" ht="15.75" hidden="false" customHeight="false" outlineLevel="0" collapsed="false">
      <c r="M340" s="1"/>
      <c r="N340" s="9"/>
    </row>
    <row r="341" customFormat="false" ht="15.75" hidden="false" customHeight="false" outlineLevel="0" collapsed="false">
      <c r="M341" s="1"/>
      <c r="N341" s="9"/>
    </row>
    <row r="342" customFormat="false" ht="15.75" hidden="false" customHeight="false" outlineLevel="0" collapsed="false">
      <c r="M342" s="1"/>
      <c r="N342" s="9"/>
    </row>
    <row r="343" customFormat="false" ht="15.75" hidden="false" customHeight="false" outlineLevel="0" collapsed="false">
      <c r="M343" s="1"/>
      <c r="N343" s="9"/>
    </row>
    <row r="344" customFormat="false" ht="15.75" hidden="false" customHeight="false" outlineLevel="0" collapsed="false">
      <c r="M344" s="1"/>
      <c r="N344" s="9"/>
    </row>
    <row r="345" customFormat="false" ht="15.75" hidden="false" customHeight="false" outlineLevel="0" collapsed="false">
      <c r="M345" s="1"/>
      <c r="N345" s="9"/>
    </row>
    <row r="346" customFormat="false" ht="15.75" hidden="false" customHeight="false" outlineLevel="0" collapsed="false">
      <c r="M346" s="1"/>
      <c r="N346" s="9"/>
    </row>
    <row r="347" customFormat="false" ht="15.75" hidden="false" customHeight="false" outlineLevel="0" collapsed="false">
      <c r="M347" s="1"/>
      <c r="N347" s="9"/>
    </row>
    <row r="348" customFormat="false" ht="15.75" hidden="false" customHeight="false" outlineLevel="0" collapsed="false">
      <c r="M348" s="1"/>
      <c r="N348" s="9"/>
    </row>
    <row r="349" customFormat="false" ht="15.75" hidden="false" customHeight="false" outlineLevel="0" collapsed="false">
      <c r="M349" s="1"/>
      <c r="N349" s="9"/>
    </row>
    <row r="350" customFormat="false" ht="15.75" hidden="false" customHeight="false" outlineLevel="0" collapsed="false">
      <c r="M350" s="1"/>
      <c r="N350" s="9"/>
    </row>
    <row r="351" customFormat="false" ht="15.75" hidden="false" customHeight="false" outlineLevel="0" collapsed="false">
      <c r="M351" s="1"/>
      <c r="N351" s="9"/>
    </row>
    <row r="352" customFormat="false" ht="15.75" hidden="false" customHeight="false" outlineLevel="0" collapsed="false">
      <c r="M352" s="1"/>
      <c r="N352" s="9"/>
    </row>
    <row r="353" customFormat="false" ht="15.75" hidden="false" customHeight="false" outlineLevel="0" collapsed="false">
      <c r="M353" s="1"/>
      <c r="N353" s="9"/>
    </row>
    <row r="354" customFormat="false" ht="15.75" hidden="false" customHeight="false" outlineLevel="0" collapsed="false">
      <c r="M354" s="1"/>
      <c r="N354" s="9"/>
    </row>
    <row r="355" customFormat="false" ht="15.75" hidden="false" customHeight="false" outlineLevel="0" collapsed="false">
      <c r="M355" s="1"/>
      <c r="N355" s="9"/>
    </row>
    <row r="356" customFormat="false" ht="15.75" hidden="false" customHeight="false" outlineLevel="0" collapsed="false">
      <c r="M356" s="1"/>
      <c r="N356" s="9"/>
    </row>
    <row r="357" customFormat="false" ht="15.75" hidden="false" customHeight="false" outlineLevel="0" collapsed="false">
      <c r="M357" s="1"/>
      <c r="N357" s="9"/>
    </row>
    <row r="358" customFormat="false" ht="15.75" hidden="false" customHeight="false" outlineLevel="0" collapsed="false">
      <c r="M358" s="1"/>
      <c r="N358" s="9"/>
    </row>
    <row r="359" customFormat="false" ht="15.75" hidden="false" customHeight="false" outlineLevel="0" collapsed="false">
      <c r="M359" s="1"/>
      <c r="N359" s="9"/>
    </row>
    <row r="360" customFormat="false" ht="15.75" hidden="false" customHeight="false" outlineLevel="0" collapsed="false">
      <c r="M360" s="1"/>
      <c r="N360" s="9"/>
    </row>
    <row r="361" customFormat="false" ht="15.75" hidden="false" customHeight="false" outlineLevel="0" collapsed="false">
      <c r="M361" s="1"/>
      <c r="N361" s="9"/>
    </row>
    <row r="362" customFormat="false" ht="15.75" hidden="false" customHeight="false" outlineLevel="0" collapsed="false">
      <c r="M362" s="1"/>
      <c r="N362" s="9"/>
    </row>
    <row r="363" customFormat="false" ht="15.75" hidden="false" customHeight="false" outlineLevel="0" collapsed="false">
      <c r="M363" s="1"/>
      <c r="N363" s="9"/>
    </row>
    <row r="364" customFormat="false" ht="15.75" hidden="false" customHeight="false" outlineLevel="0" collapsed="false">
      <c r="M364" s="1"/>
      <c r="N364" s="9"/>
    </row>
    <row r="365" customFormat="false" ht="15.75" hidden="false" customHeight="false" outlineLevel="0" collapsed="false">
      <c r="M365" s="1"/>
      <c r="N365" s="9"/>
    </row>
    <row r="366" customFormat="false" ht="15.75" hidden="false" customHeight="false" outlineLevel="0" collapsed="false">
      <c r="M366" s="1"/>
      <c r="N366" s="9"/>
    </row>
    <row r="367" customFormat="false" ht="15.75" hidden="false" customHeight="false" outlineLevel="0" collapsed="false">
      <c r="M367" s="1"/>
      <c r="N367" s="9"/>
    </row>
    <row r="368" customFormat="false" ht="15.75" hidden="false" customHeight="false" outlineLevel="0" collapsed="false">
      <c r="M368" s="1"/>
      <c r="N368" s="9"/>
    </row>
    <row r="369" customFormat="false" ht="15.75" hidden="false" customHeight="false" outlineLevel="0" collapsed="false">
      <c r="M369" s="1"/>
      <c r="N369" s="9"/>
    </row>
    <row r="370" customFormat="false" ht="15.75" hidden="false" customHeight="false" outlineLevel="0" collapsed="false">
      <c r="M370" s="1"/>
      <c r="N370" s="9"/>
    </row>
    <row r="371" customFormat="false" ht="15.75" hidden="false" customHeight="false" outlineLevel="0" collapsed="false">
      <c r="M371" s="1"/>
      <c r="N371" s="9"/>
    </row>
    <row r="372" customFormat="false" ht="15.75" hidden="false" customHeight="false" outlineLevel="0" collapsed="false">
      <c r="M372" s="1"/>
      <c r="N372" s="9"/>
    </row>
    <row r="373" customFormat="false" ht="15.75" hidden="false" customHeight="false" outlineLevel="0" collapsed="false">
      <c r="M373" s="1"/>
      <c r="N373" s="9"/>
    </row>
    <row r="374" customFormat="false" ht="15.75" hidden="false" customHeight="false" outlineLevel="0" collapsed="false">
      <c r="M374" s="1"/>
      <c r="N374" s="9"/>
    </row>
    <row r="375" customFormat="false" ht="15.75" hidden="false" customHeight="false" outlineLevel="0" collapsed="false">
      <c r="M375" s="1"/>
      <c r="N375" s="9"/>
    </row>
    <row r="376" customFormat="false" ht="15.75" hidden="false" customHeight="false" outlineLevel="0" collapsed="false">
      <c r="M376" s="1"/>
      <c r="N376" s="9"/>
    </row>
    <row r="377" customFormat="false" ht="15.75" hidden="false" customHeight="false" outlineLevel="0" collapsed="false">
      <c r="M377" s="1"/>
      <c r="N377" s="9"/>
    </row>
    <row r="378" customFormat="false" ht="15.75" hidden="false" customHeight="false" outlineLevel="0" collapsed="false">
      <c r="M378" s="1"/>
      <c r="N378" s="9"/>
    </row>
    <row r="379" customFormat="false" ht="15.75" hidden="false" customHeight="false" outlineLevel="0" collapsed="false">
      <c r="M379" s="1"/>
      <c r="N379" s="9"/>
    </row>
    <row r="380" customFormat="false" ht="15.75" hidden="false" customHeight="false" outlineLevel="0" collapsed="false">
      <c r="M380" s="1"/>
      <c r="N380" s="9"/>
    </row>
    <row r="381" customFormat="false" ht="15.75" hidden="false" customHeight="false" outlineLevel="0" collapsed="false">
      <c r="M381" s="1"/>
      <c r="N381" s="9"/>
    </row>
    <row r="382" customFormat="false" ht="15.75" hidden="false" customHeight="false" outlineLevel="0" collapsed="false">
      <c r="M382" s="1"/>
      <c r="N382" s="9"/>
    </row>
    <row r="383" customFormat="false" ht="15.75" hidden="false" customHeight="false" outlineLevel="0" collapsed="false">
      <c r="M383" s="1"/>
      <c r="N383" s="9"/>
    </row>
    <row r="384" customFormat="false" ht="15.75" hidden="false" customHeight="false" outlineLevel="0" collapsed="false">
      <c r="M384" s="1"/>
      <c r="N384" s="9"/>
    </row>
    <row r="385" customFormat="false" ht="15.75" hidden="false" customHeight="false" outlineLevel="0" collapsed="false">
      <c r="M385" s="1"/>
      <c r="N385" s="9"/>
    </row>
    <row r="386" customFormat="false" ht="15.75" hidden="false" customHeight="false" outlineLevel="0" collapsed="false">
      <c r="M386" s="1"/>
      <c r="N386" s="9"/>
    </row>
    <row r="387" customFormat="false" ht="15.75" hidden="false" customHeight="false" outlineLevel="0" collapsed="false">
      <c r="M387" s="1"/>
      <c r="N387" s="9"/>
    </row>
    <row r="388" customFormat="false" ht="15.75" hidden="false" customHeight="false" outlineLevel="0" collapsed="false">
      <c r="M388" s="1"/>
      <c r="N388" s="9"/>
    </row>
    <row r="389" customFormat="false" ht="15.75" hidden="false" customHeight="false" outlineLevel="0" collapsed="false">
      <c r="M389" s="1"/>
      <c r="N389" s="9"/>
    </row>
    <row r="390" customFormat="false" ht="15.75" hidden="false" customHeight="false" outlineLevel="0" collapsed="false">
      <c r="M390" s="1"/>
      <c r="N390" s="9"/>
    </row>
    <row r="391" customFormat="false" ht="15.75" hidden="false" customHeight="false" outlineLevel="0" collapsed="false">
      <c r="M391" s="1"/>
      <c r="N391" s="9"/>
    </row>
    <row r="392" customFormat="false" ht="15.75" hidden="false" customHeight="false" outlineLevel="0" collapsed="false">
      <c r="M392" s="1"/>
      <c r="N392" s="9"/>
    </row>
    <row r="393" customFormat="false" ht="15.75" hidden="false" customHeight="false" outlineLevel="0" collapsed="false">
      <c r="M393" s="1"/>
      <c r="N393" s="9"/>
    </row>
    <row r="394" customFormat="false" ht="15.75" hidden="false" customHeight="false" outlineLevel="0" collapsed="false">
      <c r="M394" s="1"/>
      <c r="N394" s="9"/>
    </row>
    <row r="395" customFormat="false" ht="15.75" hidden="false" customHeight="false" outlineLevel="0" collapsed="false">
      <c r="M395" s="1"/>
      <c r="N395" s="9"/>
    </row>
    <row r="396" customFormat="false" ht="15.75" hidden="false" customHeight="false" outlineLevel="0" collapsed="false">
      <c r="M396" s="1"/>
      <c r="N396" s="9"/>
    </row>
    <row r="397" customFormat="false" ht="15.75" hidden="false" customHeight="false" outlineLevel="0" collapsed="false">
      <c r="M397" s="1"/>
      <c r="N397" s="9"/>
    </row>
    <row r="398" customFormat="false" ht="15.75" hidden="false" customHeight="false" outlineLevel="0" collapsed="false">
      <c r="M398" s="1"/>
      <c r="N398" s="9"/>
    </row>
    <row r="399" customFormat="false" ht="15.75" hidden="false" customHeight="false" outlineLevel="0" collapsed="false">
      <c r="M399" s="1"/>
      <c r="N399" s="9"/>
    </row>
    <row r="400" customFormat="false" ht="15.75" hidden="false" customHeight="false" outlineLevel="0" collapsed="false">
      <c r="M400" s="1"/>
      <c r="N400" s="9"/>
    </row>
    <row r="401" customFormat="false" ht="15.75" hidden="false" customHeight="false" outlineLevel="0" collapsed="false">
      <c r="M401" s="1"/>
      <c r="N401" s="9"/>
    </row>
    <row r="402" customFormat="false" ht="15.75" hidden="false" customHeight="false" outlineLevel="0" collapsed="false">
      <c r="M402" s="1"/>
      <c r="N402" s="9"/>
    </row>
    <row r="403" customFormat="false" ht="15.75" hidden="false" customHeight="false" outlineLevel="0" collapsed="false">
      <c r="M403" s="1"/>
      <c r="N403" s="9"/>
    </row>
    <row r="404" customFormat="false" ht="15.75" hidden="false" customHeight="false" outlineLevel="0" collapsed="false">
      <c r="M404" s="1"/>
      <c r="N404" s="9"/>
    </row>
    <row r="405" customFormat="false" ht="15.75" hidden="false" customHeight="false" outlineLevel="0" collapsed="false">
      <c r="M405" s="1"/>
      <c r="N405" s="9"/>
    </row>
    <row r="406" customFormat="false" ht="15.75" hidden="false" customHeight="false" outlineLevel="0" collapsed="false">
      <c r="M406" s="1"/>
      <c r="N406" s="9"/>
    </row>
    <row r="407" customFormat="false" ht="15.75" hidden="false" customHeight="false" outlineLevel="0" collapsed="false">
      <c r="M407" s="1"/>
      <c r="N407" s="9"/>
    </row>
    <row r="408" customFormat="false" ht="15.75" hidden="false" customHeight="false" outlineLevel="0" collapsed="false">
      <c r="M408" s="1"/>
      <c r="N408" s="9"/>
    </row>
    <row r="409" customFormat="false" ht="15.75" hidden="false" customHeight="false" outlineLevel="0" collapsed="false">
      <c r="M409" s="1"/>
      <c r="N409" s="9"/>
    </row>
    <row r="410" customFormat="false" ht="15.75" hidden="false" customHeight="false" outlineLevel="0" collapsed="false">
      <c r="M410" s="1"/>
      <c r="N410" s="9"/>
    </row>
    <row r="411" customFormat="false" ht="15.75" hidden="false" customHeight="false" outlineLevel="0" collapsed="false">
      <c r="M411" s="1"/>
      <c r="N411" s="9"/>
    </row>
    <row r="412" customFormat="false" ht="15.75" hidden="false" customHeight="false" outlineLevel="0" collapsed="false">
      <c r="M412" s="1"/>
      <c r="N412" s="9"/>
    </row>
    <row r="413" customFormat="false" ht="15.75" hidden="false" customHeight="false" outlineLevel="0" collapsed="false">
      <c r="M413" s="1"/>
      <c r="N413" s="9"/>
    </row>
    <row r="414" customFormat="false" ht="15.75" hidden="false" customHeight="false" outlineLevel="0" collapsed="false">
      <c r="M414" s="1"/>
      <c r="N414" s="9"/>
    </row>
    <row r="415" customFormat="false" ht="15.75" hidden="false" customHeight="false" outlineLevel="0" collapsed="false">
      <c r="M415" s="1"/>
      <c r="N415" s="9"/>
    </row>
    <row r="416" customFormat="false" ht="15.75" hidden="false" customHeight="false" outlineLevel="0" collapsed="false">
      <c r="M416" s="1"/>
      <c r="N416" s="9"/>
    </row>
    <row r="417" customFormat="false" ht="15.75" hidden="false" customHeight="false" outlineLevel="0" collapsed="false">
      <c r="M417" s="1"/>
      <c r="N417" s="9"/>
    </row>
    <row r="418" customFormat="false" ht="15.75" hidden="false" customHeight="false" outlineLevel="0" collapsed="false">
      <c r="M418" s="1"/>
      <c r="N418" s="9"/>
    </row>
    <row r="419" customFormat="false" ht="15.75" hidden="false" customHeight="false" outlineLevel="0" collapsed="false">
      <c r="M419" s="1"/>
      <c r="N419" s="9"/>
    </row>
    <row r="420" customFormat="false" ht="15.75" hidden="false" customHeight="false" outlineLevel="0" collapsed="false">
      <c r="M420" s="1"/>
      <c r="N420" s="9"/>
    </row>
    <row r="421" customFormat="false" ht="15.75" hidden="false" customHeight="false" outlineLevel="0" collapsed="false">
      <c r="M421" s="1"/>
      <c r="N421" s="9"/>
    </row>
    <row r="422" customFormat="false" ht="15.75" hidden="false" customHeight="false" outlineLevel="0" collapsed="false">
      <c r="M422" s="1"/>
      <c r="N422" s="9"/>
    </row>
    <row r="423" customFormat="false" ht="15.75" hidden="false" customHeight="false" outlineLevel="0" collapsed="false">
      <c r="M423" s="1"/>
      <c r="N423" s="9"/>
    </row>
    <row r="424" customFormat="false" ht="15.75" hidden="false" customHeight="false" outlineLevel="0" collapsed="false">
      <c r="M424" s="1"/>
      <c r="N424" s="9"/>
    </row>
    <row r="425" customFormat="false" ht="15.75" hidden="false" customHeight="false" outlineLevel="0" collapsed="false">
      <c r="M425" s="1"/>
      <c r="N425" s="9"/>
    </row>
    <row r="426" customFormat="false" ht="15.75" hidden="false" customHeight="false" outlineLevel="0" collapsed="false">
      <c r="M426" s="1"/>
      <c r="N426" s="9"/>
    </row>
    <row r="427" customFormat="false" ht="15.75" hidden="false" customHeight="false" outlineLevel="0" collapsed="false">
      <c r="M427" s="1"/>
      <c r="N427" s="9"/>
    </row>
    <row r="428" customFormat="false" ht="15.75" hidden="false" customHeight="false" outlineLevel="0" collapsed="false">
      <c r="M428" s="1"/>
      <c r="N428" s="9"/>
    </row>
    <row r="429" customFormat="false" ht="15.75" hidden="false" customHeight="false" outlineLevel="0" collapsed="false">
      <c r="M429" s="1"/>
      <c r="N429" s="9"/>
    </row>
    <row r="430" customFormat="false" ht="15.75" hidden="false" customHeight="false" outlineLevel="0" collapsed="false">
      <c r="M430" s="1"/>
      <c r="N430" s="9"/>
    </row>
    <row r="431" customFormat="false" ht="15.75" hidden="false" customHeight="false" outlineLevel="0" collapsed="false">
      <c r="M431" s="1"/>
      <c r="N431" s="9"/>
    </row>
    <row r="432" customFormat="false" ht="15.75" hidden="false" customHeight="false" outlineLevel="0" collapsed="false">
      <c r="M432" s="1"/>
      <c r="N432" s="9"/>
    </row>
    <row r="433" customFormat="false" ht="15.75" hidden="false" customHeight="false" outlineLevel="0" collapsed="false">
      <c r="M433" s="1"/>
      <c r="N433" s="9"/>
    </row>
    <row r="434" customFormat="false" ht="15.75" hidden="false" customHeight="false" outlineLevel="0" collapsed="false">
      <c r="M434" s="1"/>
      <c r="N434" s="9"/>
    </row>
    <row r="435" customFormat="false" ht="15.75" hidden="false" customHeight="false" outlineLevel="0" collapsed="false">
      <c r="M435" s="1"/>
      <c r="N435" s="9"/>
    </row>
    <row r="436" customFormat="false" ht="15.75" hidden="false" customHeight="false" outlineLevel="0" collapsed="false">
      <c r="M436" s="1"/>
      <c r="N436" s="9"/>
    </row>
    <row r="437" customFormat="false" ht="15.75" hidden="false" customHeight="false" outlineLevel="0" collapsed="false">
      <c r="M437" s="1"/>
      <c r="N437" s="9"/>
    </row>
    <row r="438" customFormat="false" ht="15.75" hidden="false" customHeight="false" outlineLevel="0" collapsed="false">
      <c r="M438" s="1"/>
      <c r="N438" s="9"/>
    </row>
    <row r="439" customFormat="false" ht="15.75" hidden="false" customHeight="false" outlineLevel="0" collapsed="false">
      <c r="M439" s="1"/>
      <c r="N439" s="9"/>
    </row>
    <row r="440" customFormat="false" ht="15.75" hidden="false" customHeight="false" outlineLevel="0" collapsed="false">
      <c r="M440" s="1"/>
      <c r="N440" s="9"/>
    </row>
    <row r="441" customFormat="false" ht="15.75" hidden="false" customHeight="false" outlineLevel="0" collapsed="false">
      <c r="M441" s="1"/>
      <c r="N441" s="9"/>
    </row>
    <row r="442" customFormat="false" ht="15.75" hidden="false" customHeight="false" outlineLevel="0" collapsed="false">
      <c r="M442" s="1"/>
      <c r="N442" s="9"/>
    </row>
    <row r="443" customFormat="false" ht="15.75" hidden="false" customHeight="false" outlineLevel="0" collapsed="false">
      <c r="M443" s="1"/>
      <c r="N443" s="9"/>
    </row>
    <row r="444" customFormat="false" ht="15.75" hidden="false" customHeight="false" outlineLevel="0" collapsed="false">
      <c r="M444" s="1"/>
      <c r="N444" s="9"/>
    </row>
    <row r="445" customFormat="false" ht="15.75" hidden="false" customHeight="false" outlineLevel="0" collapsed="false">
      <c r="M445" s="1"/>
      <c r="N445" s="9"/>
    </row>
    <row r="446" customFormat="false" ht="15.75" hidden="false" customHeight="false" outlineLevel="0" collapsed="false">
      <c r="M446" s="1"/>
      <c r="N446" s="9"/>
    </row>
    <row r="447" customFormat="false" ht="15.75" hidden="false" customHeight="false" outlineLevel="0" collapsed="false">
      <c r="M447" s="1"/>
      <c r="N447" s="9"/>
    </row>
    <row r="448" customFormat="false" ht="15.75" hidden="false" customHeight="false" outlineLevel="0" collapsed="false">
      <c r="M448" s="1"/>
      <c r="N448" s="9"/>
    </row>
    <row r="449" customFormat="false" ht="15.75" hidden="false" customHeight="false" outlineLevel="0" collapsed="false">
      <c r="M449" s="1"/>
      <c r="N449" s="9"/>
    </row>
    <row r="450" customFormat="false" ht="15.75" hidden="false" customHeight="false" outlineLevel="0" collapsed="false">
      <c r="M450" s="1"/>
      <c r="N450" s="9"/>
    </row>
    <row r="451" customFormat="false" ht="15.75" hidden="false" customHeight="false" outlineLevel="0" collapsed="false">
      <c r="M451" s="1"/>
      <c r="N451" s="9"/>
    </row>
    <row r="452" customFormat="false" ht="15.75" hidden="false" customHeight="false" outlineLevel="0" collapsed="false">
      <c r="M452" s="1"/>
      <c r="N452" s="9"/>
    </row>
    <row r="453" customFormat="false" ht="15.75" hidden="false" customHeight="false" outlineLevel="0" collapsed="false">
      <c r="M453" s="1"/>
      <c r="N453" s="9"/>
    </row>
    <row r="454" customFormat="false" ht="15.75" hidden="false" customHeight="false" outlineLevel="0" collapsed="false">
      <c r="M454" s="1"/>
      <c r="N454" s="9"/>
    </row>
    <row r="455" customFormat="false" ht="15.75" hidden="false" customHeight="false" outlineLevel="0" collapsed="false">
      <c r="M455" s="1"/>
      <c r="N455" s="9"/>
    </row>
    <row r="456" customFormat="false" ht="15.75" hidden="false" customHeight="false" outlineLevel="0" collapsed="false">
      <c r="M456" s="1"/>
      <c r="N456" s="9"/>
    </row>
    <row r="457" customFormat="false" ht="15.75" hidden="false" customHeight="false" outlineLevel="0" collapsed="false">
      <c r="M457" s="1"/>
      <c r="N457" s="9"/>
    </row>
    <row r="458" customFormat="false" ht="15.75" hidden="false" customHeight="false" outlineLevel="0" collapsed="false">
      <c r="M458" s="1"/>
      <c r="N458" s="9"/>
    </row>
    <row r="459" customFormat="false" ht="15.75" hidden="false" customHeight="false" outlineLevel="0" collapsed="false">
      <c r="M459" s="1"/>
      <c r="N459" s="9"/>
    </row>
    <row r="460" customFormat="false" ht="15.75" hidden="false" customHeight="false" outlineLevel="0" collapsed="false">
      <c r="M460" s="1"/>
      <c r="N460" s="9"/>
    </row>
    <row r="461" customFormat="false" ht="15.75" hidden="false" customHeight="false" outlineLevel="0" collapsed="false">
      <c r="M461" s="1"/>
      <c r="N461" s="9"/>
    </row>
    <row r="462" customFormat="false" ht="15.75" hidden="false" customHeight="false" outlineLevel="0" collapsed="false">
      <c r="M462" s="1"/>
      <c r="N462" s="9"/>
    </row>
    <row r="463" customFormat="false" ht="15.75" hidden="false" customHeight="false" outlineLevel="0" collapsed="false">
      <c r="M463" s="1"/>
      <c r="N463" s="9"/>
    </row>
    <row r="464" customFormat="false" ht="15.75" hidden="false" customHeight="false" outlineLevel="0" collapsed="false">
      <c r="M464" s="1"/>
      <c r="N464" s="9"/>
    </row>
    <row r="465" customFormat="false" ht="15.75" hidden="false" customHeight="false" outlineLevel="0" collapsed="false">
      <c r="M465" s="1"/>
      <c r="N465" s="9"/>
    </row>
    <row r="466" customFormat="false" ht="15.75" hidden="false" customHeight="false" outlineLevel="0" collapsed="false">
      <c r="M466" s="1"/>
      <c r="N466" s="9"/>
    </row>
    <row r="467" customFormat="false" ht="15.75" hidden="false" customHeight="false" outlineLevel="0" collapsed="false">
      <c r="M467" s="1"/>
      <c r="N467" s="9"/>
    </row>
    <row r="468" customFormat="false" ht="15.75" hidden="false" customHeight="false" outlineLevel="0" collapsed="false">
      <c r="M468" s="1"/>
      <c r="N468" s="9"/>
    </row>
    <row r="469" customFormat="false" ht="15.75" hidden="false" customHeight="false" outlineLevel="0" collapsed="false">
      <c r="M469" s="1"/>
      <c r="N469" s="9"/>
    </row>
    <row r="470" customFormat="false" ht="15.75" hidden="false" customHeight="false" outlineLevel="0" collapsed="false">
      <c r="M470" s="1"/>
      <c r="N470" s="9"/>
    </row>
    <row r="471" customFormat="false" ht="15.75" hidden="false" customHeight="false" outlineLevel="0" collapsed="false">
      <c r="M471" s="1"/>
      <c r="N471" s="9"/>
    </row>
    <row r="472" customFormat="false" ht="15.75" hidden="false" customHeight="false" outlineLevel="0" collapsed="false">
      <c r="M472" s="1"/>
      <c r="N472" s="9"/>
    </row>
    <row r="473" customFormat="false" ht="15.75" hidden="false" customHeight="false" outlineLevel="0" collapsed="false">
      <c r="M473" s="1"/>
      <c r="N473" s="9"/>
    </row>
    <row r="474" customFormat="false" ht="15.75" hidden="false" customHeight="false" outlineLevel="0" collapsed="false">
      <c r="M474" s="1"/>
      <c r="N474" s="9"/>
    </row>
    <row r="475" customFormat="false" ht="15.75" hidden="false" customHeight="false" outlineLevel="0" collapsed="false">
      <c r="M475" s="1"/>
      <c r="N475" s="9"/>
    </row>
    <row r="476" customFormat="false" ht="15.75" hidden="false" customHeight="false" outlineLevel="0" collapsed="false">
      <c r="M476" s="1"/>
      <c r="N476" s="9"/>
    </row>
    <row r="477" customFormat="false" ht="15.75" hidden="false" customHeight="false" outlineLevel="0" collapsed="false">
      <c r="M477" s="1"/>
      <c r="N477" s="9"/>
    </row>
    <row r="478" customFormat="false" ht="15.75" hidden="false" customHeight="false" outlineLevel="0" collapsed="false">
      <c r="M478" s="1"/>
      <c r="N478" s="9"/>
    </row>
    <row r="479" customFormat="false" ht="15.75" hidden="false" customHeight="false" outlineLevel="0" collapsed="false">
      <c r="M479" s="1"/>
      <c r="N479" s="9"/>
    </row>
    <row r="480" customFormat="false" ht="15.75" hidden="false" customHeight="false" outlineLevel="0" collapsed="false">
      <c r="M480" s="1"/>
      <c r="N480" s="9"/>
    </row>
    <row r="481" customFormat="false" ht="15.75" hidden="false" customHeight="false" outlineLevel="0" collapsed="false">
      <c r="M481" s="1"/>
      <c r="N481" s="9"/>
    </row>
    <row r="482" customFormat="false" ht="15.75" hidden="false" customHeight="false" outlineLevel="0" collapsed="false">
      <c r="M482" s="1"/>
      <c r="N482" s="9"/>
    </row>
    <row r="483" customFormat="false" ht="15.75" hidden="false" customHeight="false" outlineLevel="0" collapsed="false">
      <c r="M483" s="1"/>
      <c r="N483" s="9"/>
    </row>
    <row r="484" customFormat="false" ht="15.75" hidden="false" customHeight="false" outlineLevel="0" collapsed="false">
      <c r="M484" s="1"/>
      <c r="N484" s="9"/>
    </row>
    <row r="485" customFormat="false" ht="15.75" hidden="false" customHeight="false" outlineLevel="0" collapsed="false">
      <c r="M485" s="1"/>
      <c r="N485" s="9"/>
    </row>
    <row r="486" customFormat="false" ht="15.75" hidden="false" customHeight="false" outlineLevel="0" collapsed="false">
      <c r="M486" s="1"/>
      <c r="N486" s="9"/>
    </row>
    <row r="487" customFormat="false" ht="15.75" hidden="false" customHeight="false" outlineLevel="0" collapsed="false">
      <c r="M487" s="1"/>
      <c r="N487" s="9"/>
    </row>
    <row r="488" customFormat="false" ht="15.75" hidden="false" customHeight="false" outlineLevel="0" collapsed="false">
      <c r="M488" s="1"/>
      <c r="N488" s="9"/>
    </row>
    <row r="489" customFormat="false" ht="15.75" hidden="false" customHeight="false" outlineLevel="0" collapsed="false">
      <c r="M489" s="1"/>
      <c r="N489" s="9"/>
    </row>
    <row r="490" customFormat="false" ht="15.75" hidden="false" customHeight="false" outlineLevel="0" collapsed="false">
      <c r="M490" s="1"/>
      <c r="N490" s="9"/>
    </row>
    <row r="491" customFormat="false" ht="15.75" hidden="false" customHeight="false" outlineLevel="0" collapsed="false">
      <c r="M491" s="1"/>
      <c r="N491" s="9"/>
    </row>
    <row r="492" customFormat="false" ht="15.75" hidden="false" customHeight="false" outlineLevel="0" collapsed="false">
      <c r="M492" s="1"/>
      <c r="N492" s="9"/>
    </row>
    <row r="493" customFormat="false" ht="15.75" hidden="false" customHeight="false" outlineLevel="0" collapsed="false">
      <c r="M493" s="1"/>
      <c r="N493" s="9"/>
    </row>
    <row r="494" customFormat="false" ht="15.75" hidden="false" customHeight="false" outlineLevel="0" collapsed="false">
      <c r="M494" s="1"/>
      <c r="N494" s="9"/>
    </row>
    <row r="495" customFormat="false" ht="15.75" hidden="false" customHeight="false" outlineLevel="0" collapsed="false">
      <c r="M495" s="1"/>
      <c r="N495" s="9"/>
    </row>
    <row r="496" customFormat="false" ht="15.75" hidden="false" customHeight="false" outlineLevel="0" collapsed="false">
      <c r="M496" s="1"/>
      <c r="N496" s="9"/>
    </row>
    <row r="497" customFormat="false" ht="15.75" hidden="false" customHeight="false" outlineLevel="0" collapsed="false">
      <c r="M497" s="1"/>
      <c r="N497" s="9"/>
    </row>
    <row r="498" customFormat="false" ht="15.75" hidden="false" customHeight="false" outlineLevel="0" collapsed="false">
      <c r="M498" s="1"/>
      <c r="N498" s="9"/>
    </row>
    <row r="499" customFormat="false" ht="15.75" hidden="false" customHeight="false" outlineLevel="0" collapsed="false">
      <c r="M499" s="1"/>
      <c r="N499" s="9"/>
    </row>
    <row r="500" customFormat="false" ht="15.75" hidden="false" customHeight="false" outlineLevel="0" collapsed="false">
      <c r="M500" s="1"/>
      <c r="N500" s="9"/>
    </row>
    <row r="501" customFormat="false" ht="15.75" hidden="false" customHeight="false" outlineLevel="0" collapsed="false">
      <c r="M501" s="1"/>
      <c r="N501" s="9"/>
    </row>
    <row r="502" customFormat="false" ht="15.75" hidden="false" customHeight="false" outlineLevel="0" collapsed="false">
      <c r="M502" s="1"/>
      <c r="N502" s="9"/>
    </row>
    <row r="503" customFormat="false" ht="15.75" hidden="false" customHeight="false" outlineLevel="0" collapsed="false">
      <c r="M503" s="1"/>
      <c r="N503" s="9"/>
    </row>
    <row r="504" customFormat="false" ht="15.75" hidden="false" customHeight="false" outlineLevel="0" collapsed="false">
      <c r="M504" s="1"/>
      <c r="N504" s="9"/>
    </row>
    <row r="505" customFormat="false" ht="15.75" hidden="false" customHeight="false" outlineLevel="0" collapsed="false">
      <c r="M505" s="1"/>
      <c r="N505" s="9"/>
    </row>
    <row r="506" customFormat="false" ht="15.75" hidden="false" customHeight="false" outlineLevel="0" collapsed="false">
      <c r="M506" s="1"/>
      <c r="N506" s="9"/>
    </row>
    <row r="507" customFormat="false" ht="15.75" hidden="false" customHeight="false" outlineLevel="0" collapsed="false">
      <c r="M507" s="1"/>
      <c r="N507" s="9"/>
    </row>
    <row r="508" customFormat="false" ht="15.75" hidden="false" customHeight="false" outlineLevel="0" collapsed="false">
      <c r="M508" s="1"/>
      <c r="N508" s="9"/>
    </row>
    <row r="509" customFormat="false" ht="15.75" hidden="false" customHeight="false" outlineLevel="0" collapsed="false">
      <c r="M509" s="1"/>
      <c r="N509" s="9"/>
    </row>
    <row r="510" customFormat="false" ht="15.75" hidden="false" customHeight="false" outlineLevel="0" collapsed="false">
      <c r="M510" s="1"/>
      <c r="N510" s="9"/>
    </row>
    <row r="511" customFormat="false" ht="15.75" hidden="false" customHeight="false" outlineLevel="0" collapsed="false">
      <c r="M511" s="1"/>
      <c r="N511" s="9"/>
    </row>
    <row r="512" customFormat="false" ht="15.75" hidden="false" customHeight="false" outlineLevel="0" collapsed="false">
      <c r="M512" s="1"/>
      <c r="N512" s="9"/>
    </row>
    <row r="513" customFormat="false" ht="15.75" hidden="false" customHeight="false" outlineLevel="0" collapsed="false">
      <c r="M513" s="1"/>
      <c r="N513" s="9"/>
    </row>
    <row r="514" customFormat="false" ht="15.75" hidden="false" customHeight="false" outlineLevel="0" collapsed="false">
      <c r="M514" s="1"/>
      <c r="N514" s="9"/>
    </row>
    <row r="515" customFormat="false" ht="15.75" hidden="false" customHeight="false" outlineLevel="0" collapsed="false">
      <c r="M515" s="1"/>
      <c r="N515" s="9"/>
    </row>
    <row r="516" customFormat="false" ht="15.75" hidden="false" customHeight="false" outlineLevel="0" collapsed="false">
      <c r="M516" s="1"/>
      <c r="N516" s="9"/>
    </row>
    <row r="517" customFormat="false" ht="15.75" hidden="false" customHeight="false" outlineLevel="0" collapsed="false">
      <c r="M517" s="1"/>
      <c r="N517" s="9"/>
    </row>
    <row r="518" customFormat="false" ht="15.75" hidden="false" customHeight="false" outlineLevel="0" collapsed="false">
      <c r="M518" s="1"/>
      <c r="N518" s="9"/>
    </row>
    <row r="519" customFormat="false" ht="15.75" hidden="false" customHeight="false" outlineLevel="0" collapsed="false">
      <c r="M519" s="1"/>
      <c r="N519" s="9"/>
    </row>
    <row r="520" customFormat="false" ht="15.75" hidden="false" customHeight="false" outlineLevel="0" collapsed="false">
      <c r="M520" s="1"/>
      <c r="N520" s="9"/>
    </row>
    <row r="521" customFormat="false" ht="15.75" hidden="false" customHeight="false" outlineLevel="0" collapsed="false">
      <c r="M521" s="1"/>
      <c r="N521" s="9"/>
    </row>
    <row r="522" customFormat="false" ht="15.75" hidden="false" customHeight="false" outlineLevel="0" collapsed="false">
      <c r="M522" s="1"/>
      <c r="N522" s="9"/>
    </row>
    <row r="523" customFormat="false" ht="15.75" hidden="false" customHeight="false" outlineLevel="0" collapsed="false">
      <c r="M523" s="1"/>
      <c r="N523" s="9"/>
    </row>
    <row r="524" customFormat="false" ht="15.75" hidden="false" customHeight="false" outlineLevel="0" collapsed="false">
      <c r="M524" s="1"/>
      <c r="N524" s="9"/>
    </row>
    <row r="525" customFormat="false" ht="15.75" hidden="false" customHeight="false" outlineLevel="0" collapsed="false">
      <c r="M525" s="1"/>
      <c r="N525" s="9"/>
    </row>
    <row r="526" customFormat="false" ht="15.75" hidden="false" customHeight="false" outlineLevel="0" collapsed="false">
      <c r="M526" s="1"/>
      <c r="N526" s="9"/>
    </row>
    <row r="527" customFormat="false" ht="15.75" hidden="false" customHeight="false" outlineLevel="0" collapsed="false">
      <c r="M527" s="1"/>
      <c r="N527" s="9"/>
    </row>
    <row r="528" customFormat="false" ht="15.75" hidden="false" customHeight="false" outlineLevel="0" collapsed="false">
      <c r="M528" s="1"/>
      <c r="N528" s="9"/>
    </row>
    <row r="529" customFormat="false" ht="15.75" hidden="false" customHeight="false" outlineLevel="0" collapsed="false">
      <c r="M529" s="1"/>
      <c r="N529" s="9"/>
    </row>
    <row r="530" customFormat="false" ht="15.75" hidden="false" customHeight="false" outlineLevel="0" collapsed="false">
      <c r="M530" s="1"/>
      <c r="N530" s="9"/>
    </row>
    <row r="531" customFormat="false" ht="15.75" hidden="false" customHeight="false" outlineLevel="0" collapsed="false">
      <c r="M531" s="1"/>
      <c r="N531" s="9"/>
    </row>
    <row r="532" customFormat="false" ht="15.75" hidden="false" customHeight="false" outlineLevel="0" collapsed="false">
      <c r="M532" s="1"/>
      <c r="N532" s="9"/>
    </row>
    <row r="533" customFormat="false" ht="15.75" hidden="false" customHeight="false" outlineLevel="0" collapsed="false">
      <c r="M533" s="1"/>
      <c r="N533" s="9"/>
    </row>
    <row r="534" customFormat="false" ht="15.75" hidden="false" customHeight="false" outlineLevel="0" collapsed="false">
      <c r="M534" s="1"/>
      <c r="N534" s="9"/>
    </row>
    <row r="535" customFormat="false" ht="15.75" hidden="false" customHeight="false" outlineLevel="0" collapsed="false">
      <c r="M535" s="1"/>
      <c r="N535" s="9"/>
    </row>
    <row r="536" customFormat="false" ht="15.75" hidden="false" customHeight="false" outlineLevel="0" collapsed="false">
      <c r="M536" s="1"/>
      <c r="N536" s="9"/>
    </row>
    <row r="537" customFormat="false" ht="15.75" hidden="false" customHeight="false" outlineLevel="0" collapsed="false">
      <c r="M537" s="1"/>
      <c r="N537" s="9"/>
    </row>
    <row r="538" customFormat="false" ht="15.75" hidden="false" customHeight="false" outlineLevel="0" collapsed="false">
      <c r="M538" s="1"/>
      <c r="N538" s="9"/>
    </row>
    <row r="539" customFormat="false" ht="15.75" hidden="false" customHeight="false" outlineLevel="0" collapsed="false">
      <c r="M539" s="1"/>
      <c r="N539" s="9"/>
    </row>
    <row r="540" customFormat="false" ht="15.75" hidden="false" customHeight="false" outlineLevel="0" collapsed="false">
      <c r="M540" s="1"/>
      <c r="N540" s="9"/>
    </row>
    <row r="541" customFormat="false" ht="15.75" hidden="false" customHeight="false" outlineLevel="0" collapsed="false">
      <c r="M541" s="1"/>
      <c r="N541" s="9"/>
    </row>
    <row r="542" customFormat="false" ht="15.75" hidden="false" customHeight="false" outlineLevel="0" collapsed="false">
      <c r="M542" s="1"/>
      <c r="N542" s="9"/>
    </row>
    <row r="543" customFormat="false" ht="15.75" hidden="false" customHeight="false" outlineLevel="0" collapsed="false">
      <c r="M543" s="1"/>
      <c r="N543" s="9"/>
    </row>
    <row r="544" customFormat="false" ht="15.75" hidden="false" customHeight="false" outlineLevel="0" collapsed="false">
      <c r="M544" s="1"/>
      <c r="N544" s="9"/>
    </row>
    <row r="545" customFormat="false" ht="15.75" hidden="false" customHeight="false" outlineLevel="0" collapsed="false">
      <c r="M545" s="1"/>
      <c r="N545" s="9"/>
    </row>
    <row r="546" customFormat="false" ht="15.75" hidden="false" customHeight="false" outlineLevel="0" collapsed="false">
      <c r="M546" s="1"/>
      <c r="N546" s="9"/>
    </row>
    <row r="547" customFormat="false" ht="15.75" hidden="false" customHeight="false" outlineLevel="0" collapsed="false">
      <c r="M547" s="1"/>
      <c r="N547" s="9"/>
    </row>
    <row r="548" customFormat="false" ht="15.75" hidden="false" customHeight="false" outlineLevel="0" collapsed="false">
      <c r="M548" s="1"/>
      <c r="N548" s="9"/>
    </row>
    <row r="549" customFormat="false" ht="15.75" hidden="false" customHeight="false" outlineLevel="0" collapsed="false">
      <c r="M549" s="1"/>
      <c r="N549" s="9"/>
    </row>
    <row r="550" customFormat="false" ht="15.75" hidden="false" customHeight="false" outlineLevel="0" collapsed="false">
      <c r="M550" s="1"/>
      <c r="N550" s="9"/>
    </row>
    <row r="551" customFormat="false" ht="15.75" hidden="false" customHeight="false" outlineLevel="0" collapsed="false">
      <c r="M551" s="1"/>
      <c r="N551" s="9"/>
    </row>
    <row r="552" customFormat="false" ht="15.75" hidden="false" customHeight="false" outlineLevel="0" collapsed="false">
      <c r="M552" s="1"/>
      <c r="N552" s="9"/>
    </row>
    <row r="553" customFormat="false" ht="15.75" hidden="false" customHeight="false" outlineLevel="0" collapsed="false">
      <c r="M553" s="1"/>
      <c r="N553" s="9"/>
    </row>
    <row r="554" customFormat="false" ht="15.75" hidden="false" customHeight="false" outlineLevel="0" collapsed="false">
      <c r="M554" s="1"/>
      <c r="N554" s="9"/>
    </row>
    <row r="555" customFormat="false" ht="15.75" hidden="false" customHeight="false" outlineLevel="0" collapsed="false">
      <c r="M555" s="1"/>
      <c r="N555" s="9"/>
    </row>
    <row r="556" customFormat="false" ht="15.75" hidden="false" customHeight="false" outlineLevel="0" collapsed="false">
      <c r="M556" s="1"/>
      <c r="N556" s="9"/>
    </row>
    <row r="557" customFormat="false" ht="15.75" hidden="false" customHeight="false" outlineLevel="0" collapsed="false">
      <c r="M557" s="1"/>
      <c r="N557" s="9"/>
    </row>
    <row r="558" customFormat="false" ht="15.75" hidden="false" customHeight="false" outlineLevel="0" collapsed="false">
      <c r="M558" s="1"/>
      <c r="N558" s="9"/>
    </row>
    <row r="559" customFormat="false" ht="15.75" hidden="false" customHeight="false" outlineLevel="0" collapsed="false">
      <c r="M559" s="1"/>
      <c r="N559" s="9"/>
    </row>
    <row r="560" customFormat="false" ht="15.75" hidden="false" customHeight="false" outlineLevel="0" collapsed="false">
      <c r="M560" s="1"/>
      <c r="N560" s="9"/>
    </row>
    <row r="561" customFormat="false" ht="15.75" hidden="false" customHeight="false" outlineLevel="0" collapsed="false">
      <c r="M561" s="1"/>
      <c r="N561" s="9"/>
    </row>
    <row r="562" customFormat="false" ht="15.75" hidden="false" customHeight="false" outlineLevel="0" collapsed="false">
      <c r="M562" s="1"/>
      <c r="N562" s="9"/>
    </row>
    <row r="563" customFormat="false" ht="15.75" hidden="false" customHeight="false" outlineLevel="0" collapsed="false">
      <c r="M563" s="1"/>
      <c r="N563" s="9"/>
    </row>
    <row r="564" customFormat="false" ht="15.75" hidden="false" customHeight="false" outlineLevel="0" collapsed="false">
      <c r="M564" s="1"/>
      <c r="N564" s="9"/>
    </row>
    <row r="565" customFormat="false" ht="15.75" hidden="false" customHeight="false" outlineLevel="0" collapsed="false">
      <c r="M565" s="1"/>
      <c r="N565" s="9"/>
    </row>
    <row r="566" customFormat="false" ht="15.75" hidden="false" customHeight="false" outlineLevel="0" collapsed="false">
      <c r="M566" s="1"/>
      <c r="N566" s="9"/>
    </row>
    <row r="567" customFormat="false" ht="15.75" hidden="false" customHeight="false" outlineLevel="0" collapsed="false">
      <c r="M567" s="1"/>
      <c r="N567" s="9"/>
    </row>
    <row r="568" customFormat="false" ht="15.75" hidden="false" customHeight="false" outlineLevel="0" collapsed="false">
      <c r="M568" s="1"/>
      <c r="N568" s="9"/>
    </row>
    <row r="569" customFormat="false" ht="15.75" hidden="false" customHeight="false" outlineLevel="0" collapsed="false">
      <c r="M569" s="1"/>
      <c r="N569" s="9"/>
    </row>
    <row r="570" customFormat="false" ht="15.75" hidden="false" customHeight="false" outlineLevel="0" collapsed="false">
      <c r="M570" s="1"/>
      <c r="N570" s="9"/>
    </row>
    <row r="571" customFormat="false" ht="15.75" hidden="false" customHeight="false" outlineLevel="0" collapsed="false">
      <c r="M571" s="1"/>
      <c r="N571" s="9"/>
    </row>
    <row r="572" customFormat="false" ht="15.75" hidden="false" customHeight="false" outlineLevel="0" collapsed="false">
      <c r="M572" s="1"/>
      <c r="N572" s="9"/>
    </row>
    <row r="573" customFormat="false" ht="15.75" hidden="false" customHeight="false" outlineLevel="0" collapsed="false">
      <c r="M573" s="1"/>
      <c r="N573" s="9"/>
    </row>
    <row r="574" customFormat="false" ht="15.75" hidden="false" customHeight="false" outlineLevel="0" collapsed="false">
      <c r="M574" s="1"/>
      <c r="N574" s="9"/>
    </row>
    <row r="575" customFormat="false" ht="15.75" hidden="false" customHeight="false" outlineLevel="0" collapsed="false">
      <c r="M575" s="1"/>
      <c r="N575" s="9"/>
    </row>
    <row r="576" customFormat="false" ht="15.75" hidden="false" customHeight="false" outlineLevel="0" collapsed="false">
      <c r="M576" s="1"/>
      <c r="N576" s="9"/>
    </row>
    <row r="577" customFormat="false" ht="15.75" hidden="false" customHeight="false" outlineLevel="0" collapsed="false">
      <c r="M577" s="1"/>
      <c r="N577" s="9"/>
    </row>
    <row r="578" customFormat="false" ht="15.75" hidden="false" customHeight="false" outlineLevel="0" collapsed="false">
      <c r="M578" s="1"/>
      <c r="N578" s="9"/>
    </row>
    <row r="579" customFormat="false" ht="15.75" hidden="false" customHeight="false" outlineLevel="0" collapsed="false">
      <c r="M579" s="1"/>
      <c r="N579" s="9"/>
    </row>
    <row r="580" customFormat="false" ht="15.75" hidden="false" customHeight="false" outlineLevel="0" collapsed="false">
      <c r="M580" s="1"/>
      <c r="N580" s="9"/>
    </row>
    <row r="581" customFormat="false" ht="15.75" hidden="false" customHeight="false" outlineLevel="0" collapsed="false">
      <c r="M581" s="1"/>
      <c r="N581" s="9"/>
    </row>
    <row r="582" customFormat="false" ht="15.75" hidden="false" customHeight="false" outlineLevel="0" collapsed="false">
      <c r="M582" s="1"/>
      <c r="N582" s="9"/>
    </row>
    <row r="583" customFormat="false" ht="15.75" hidden="false" customHeight="false" outlineLevel="0" collapsed="false">
      <c r="M583" s="1"/>
      <c r="N583" s="9"/>
    </row>
    <row r="584" customFormat="false" ht="15.75" hidden="false" customHeight="false" outlineLevel="0" collapsed="false">
      <c r="M584" s="1"/>
      <c r="N584" s="9"/>
    </row>
    <row r="585" customFormat="false" ht="15.75" hidden="false" customHeight="false" outlineLevel="0" collapsed="false">
      <c r="M585" s="1"/>
      <c r="N585" s="9"/>
    </row>
    <row r="586" customFormat="false" ht="15.75" hidden="false" customHeight="false" outlineLevel="0" collapsed="false">
      <c r="M586" s="1"/>
      <c r="N586" s="9"/>
    </row>
    <row r="587" customFormat="false" ht="15.75" hidden="false" customHeight="false" outlineLevel="0" collapsed="false">
      <c r="M587" s="1"/>
      <c r="N587" s="9"/>
    </row>
    <row r="588" customFormat="false" ht="15.75" hidden="false" customHeight="false" outlineLevel="0" collapsed="false">
      <c r="M588" s="1"/>
      <c r="N588" s="9"/>
    </row>
    <row r="589" customFormat="false" ht="15.75" hidden="false" customHeight="false" outlineLevel="0" collapsed="false">
      <c r="M589" s="1"/>
      <c r="N589" s="9"/>
    </row>
    <row r="590" customFormat="false" ht="15.75" hidden="false" customHeight="false" outlineLevel="0" collapsed="false">
      <c r="M590" s="1"/>
      <c r="N590" s="9"/>
    </row>
    <row r="591" customFormat="false" ht="15.75" hidden="false" customHeight="false" outlineLevel="0" collapsed="false">
      <c r="M591" s="1"/>
      <c r="N591" s="9"/>
    </row>
    <row r="592" customFormat="false" ht="15.75" hidden="false" customHeight="false" outlineLevel="0" collapsed="false">
      <c r="M592" s="1"/>
      <c r="N592" s="9"/>
    </row>
    <row r="593" customFormat="false" ht="15.75" hidden="false" customHeight="false" outlineLevel="0" collapsed="false">
      <c r="M593" s="1"/>
      <c r="N593" s="9"/>
    </row>
    <row r="594" customFormat="false" ht="15.75" hidden="false" customHeight="false" outlineLevel="0" collapsed="false">
      <c r="M594" s="1"/>
      <c r="N594" s="9"/>
    </row>
    <row r="595" customFormat="false" ht="15.75" hidden="false" customHeight="false" outlineLevel="0" collapsed="false">
      <c r="M595" s="1"/>
      <c r="N595" s="9"/>
    </row>
    <row r="596" customFormat="false" ht="15.75" hidden="false" customHeight="false" outlineLevel="0" collapsed="false">
      <c r="M596" s="1"/>
      <c r="N596" s="9"/>
    </row>
    <row r="597" customFormat="false" ht="15.75" hidden="false" customHeight="false" outlineLevel="0" collapsed="false">
      <c r="M597" s="1"/>
      <c r="N597" s="9"/>
    </row>
    <row r="598" customFormat="false" ht="15.75" hidden="false" customHeight="false" outlineLevel="0" collapsed="false">
      <c r="M598" s="1"/>
      <c r="N598" s="9"/>
    </row>
    <row r="599" customFormat="false" ht="15.75" hidden="false" customHeight="false" outlineLevel="0" collapsed="false">
      <c r="M599" s="1"/>
      <c r="N599" s="9"/>
    </row>
    <row r="600" customFormat="false" ht="15.75" hidden="false" customHeight="false" outlineLevel="0" collapsed="false">
      <c r="M600" s="1"/>
      <c r="N600" s="9"/>
    </row>
    <row r="601" customFormat="false" ht="15.75" hidden="false" customHeight="false" outlineLevel="0" collapsed="false">
      <c r="M601" s="1"/>
      <c r="N601" s="9"/>
    </row>
    <row r="602" customFormat="false" ht="15.75" hidden="false" customHeight="false" outlineLevel="0" collapsed="false">
      <c r="M602" s="1"/>
      <c r="N602" s="9"/>
    </row>
    <row r="603" customFormat="false" ht="15.75" hidden="false" customHeight="false" outlineLevel="0" collapsed="false">
      <c r="M603" s="1"/>
      <c r="N603" s="9"/>
    </row>
    <row r="604" customFormat="false" ht="15.75" hidden="false" customHeight="false" outlineLevel="0" collapsed="false">
      <c r="M604" s="1"/>
      <c r="N604" s="9"/>
    </row>
    <row r="605" customFormat="false" ht="15.75" hidden="false" customHeight="false" outlineLevel="0" collapsed="false">
      <c r="M605" s="1"/>
      <c r="N605" s="9"/>
    </row>
    <row r="606" customFormat="false" ht="15.75" hidden="false" customHeight="false" outlineLevel="0" collapsed="false">
      <c r="M606" s="1"/>
      <c r="N606" s="9"/>
    </row>
    <row r="607" customFormat="false" ht="15.75" hidden="false" customHeight="false" outlineLevel="0" collapsed="false">
      <c r="M607" s="1"/>
      <c r="N607" s="9"/>
    </row>
    <row r="608" customFormat="false" ht="15.75" hidden="false" customHeight="false" outlineLevel="0" collapsed="false">
      <c r="M608" s="1"/>
      <c r="N608" s="9"/>
    </row>
    <row r="609" customFormat="false" ht="15.75" hidden="false" customHeight="false" outlineLevel="0" collapsed="false">
      <c r="M609" s="1"/>
      <c r="N609" s="9"/>
    </row>
    <row r="610" customFormat="false" ht="15.75" hidden="false" customHeight="false" outlineLevel="0" collapsed="false">
      <c r="M610" s="1"/>
      <c r="N610" s="9"/>
    </row>
    <row r="611" customFormat="false" ht="15.75" hidden="false" customHeight="false" outlineLevel="0" collapsed="false">
      <c r="M611" s="1"/>
      <c r="N611" s="9"/>
    </row>
    <row r="612" customFormat="false" ht="15.75" hidden="false" customHeight="false" outlineLevel="0" collapsed="false">
      <c r="M612" s="1"/>
      <c r="N612" s="9"/>
    </row>
    <row r="613" customFormat="false" ht="15.75" hidden="false" customHeight="false" outlineLevel="0" collapsed="false">
      <c r="M613" s="1"/>
      <c r="N613" s="9"/>
    </row>
    <row r="614" customFormat="false" ht="15.75" hidden="false" customHeight="false" outlineLevel="0" collapsed="false">
      <c r="M614" s="1"/>
      <c r="N614" s="9"/>
    </row>
    <row r="615" customFormat="false" ht="15.75" hidden="false" customHeight="false" outlineLevel="0" collapsed="false">
      <c r="M615" s="1"/>
      <c r="N615" s="9"/>
    </row>
    <row r="616" customFormat="false" ht="15.75" hidden="false" customHeight="false" outlineLevel="0" collapsed="false">
      <c r="M616" s="1"/>
      <c r="N616" s="9"/>
    </row>
    <row r="617" customFormat="false" ht="15.75" hidden="false" customHeight="false" outlineLevel="0" collapsed="false">
      <c r="M617" s="1"/>
      <c r="N617" s="9"/>
    </row>
    <row r="618" customFormat="false" ht="15.75" hidden="false" customHeight="false" outlineLevel="0" collapsed="false">
      <c r="M618" s="1"/>
      <c r="N618" s="9"/>
    </row>
    <row r="619" customFormat="false" ht="15.75" hidden="false" customHeight="false" outlineLevel="0" collapsed="false">
      <c r="M619" s="1"/>
      <c r="N619" s="9"/>
    </row>
    <row r="620" customFormat="false" ht="15.75" hidden="false" customHeight="false" outlineLevel="0" collapsed="false">
      <c r="M620" s="1"/>
      <c r="N620" s="9"/>
    </row>
    <row r="621" customFormat="false" ht="15.75" hidden="false" customHeight="false" outlineLevel="0" collapsed="false">
      <c r="M621" s="1"/>
      <c r="N621" s="9"/>
    </row>
    <row r="622" customFormat="false" ht="15.75" hidden="false" customHeight="false" outlineLevel="0" collapsed="false">
      <c r="M622" s="1"/>
      <c r="N622" s="9"/>
    </row>
    <row r="623" customFormat="false" ht="15.75" hidden="false" customHeight="false" outlineLevel="0" collapsed="false">
      <c r="M623" s="1"/>
      <c r="N623" s="9"/>
    </row>
    <row r="624" customFormat="false" ht="15.75" hidden="false" customHeight="false" outlineLevel="0" collapsed="false">
      <c r="M624" s="1"/>
      <c r="N624" s="9"/>
    </row>
    <row r="625" customFormat="false" ht="15.75" hidden="false" customHeight="false" outlineLevel="0" collapsed="false">
      <c r="M625" s="1"/>
      <c r="N625" s="9"/>
    </row>
    <row r="626" customFormat="false" ht="15.75" hidden="false" customHeight="false" outlineLevel="0" collapsed="false">
      <c r="M626" s="1"/>
      <c r="N626" s="9"/>
    </row>
    <row r="627" customFormat="false" ht="15.75" hidden="false" customHeight="false" outlineLevel="0" collapsed="false">
      <c r="M627" s="1"/>
      <c r="N627" s="9"/>
    </row>
    <row r="628" customFormat="false" ht="15.75" hidden="false" customHeight="false" outlineLevel="0" collapsed="false">
      <c r="M628" s="1"/>
      <c r="N628" s="9"/>
    </row>
    <row r="629" customFormat="false" ht="15.75" hidden="false" customHeight="false" outlineLevel="0" collapsed="false">
      <c r="M629" s="1"/>
      <c r="N629" s="9"/>
    </row>
    <row r="630" customFormat="false" ht="15.75" hidden="false" customHeight="false" outlineLevel="0" collapsed="false">
      <c r="M630" s="1"/>
      <c r="N630" s="9"/>
    </row>
    <row r="631" customFormat="false" ht="15.75" hidden="false" customHeight="false" outlineLevel="0" collapsed="false">
      <c r="M631" s="1"/>
      <c r="N631" s="9"/>
    </row>
    <row r="632" customFormat="false" ht="15.75" hidden="false" customHeight="false" outlineLevel="0" collapsed="false">
      <c r="M632" s="1"/>
      <c r="N632" s="9"/>
    </row>
    <row r="633" customFormat="false" ht="15.75" hidden="false" customHeight="false" outlineLevel="0" collapsed="false">
      <c r="M633" s="1"/>
      <c r="N633" s="9"/>
    </row>
    <row r="634" customFormat="false" ht="15.75" hidden="false" customHeight="false" outlineLevel="0" collapsed="false">
      <c r="M634" s="1"/>
      <c r="N634" s="9"/>
    </row>
    <row r="635" customFormat="false" ht="15.75" hidden="false" customHeight="false" outlineLevel="0" collapsed="false">
      <c r="M635" s="1"/>
      <c r="N635" s="9"/>
    </row>
    <row r="636" customFormat="false" ht="15.75" hidden="false" customHeight="false" outlineLevel="0" collapsed="false">
      <c r="M636" s="1"/>
      <c r="N636" s="9"/>
    </row>
    <row r="637" customFormat="false" ht="15.75" hidden="false" customHeight="false" outlineLevel="0" collapsed="false">
      <c r="M637" s="1"/>
      <c r="N637" s="9"/>
    </row>
    <row r="638" customFormat="false" ht="15.75" hidden="false" customHeight="false" outlineLevel="0" collapsed="false">
      <c r="M638" s="1"/>
      <c r="N638" s="9"/>
    </row>
    <row r="639" customFormat="false" ht="15.75" hidden="false" customHeight="false" outlineLevel="0" collapsed="false">
      <c r="M639" s="1"/>
      <c r="N639" s="9"/>
    </row>
    <row r="640" customFormat="false" ht="15.75" hidden="false" customHeight="false" outlineLevel="0" collapsed="false">
      <c r="M640" s="1"/>
      <c r="N640" s="9"/>
    </row>
    <row r="641" customFormat="false" ht="15.75" hidden="false" customHeight="false" outlineLevel="0" collapsed="false">
      <c r="M641" s="1"/>
      <c r="N641" s="9"/>
    </row>
    <row r="642" customFormat="false" ht="15.75" hidden="false" customHeight="false" outlineLevel="0" collapsed="false">
      <c r="M642" s="1"/>
      <c r="N642" s="9"/>
    </row>
    <row r="643" customFormat="false" ht="15.75" hidden="false" customHeight="false" outlineLevel="0" collapsed="false">
      <c r="M643" s="1"/>
      <c r="N643" s="9"/>
    </row>
    <row r="644" customFormat="false" ht="15.75" hidden="false" customHeight="false" outlineLevel="0" collapsed="false">
      <c r="M644" s="1"/>
      <c r="N644" s="9"/>
    </row>
    <row r="645" customFormat="false" ht="15.75" hidden="false" customHeight="false" outlineLevel="0" collapsed="false">
      <c r="M645" s="1"/>
      <c r="N645" s="9"/>
    </row>
    <row r="646" customFormat="false" ht="15.75" hidden="false" customHeight="false" outlineLevel="0" collapsed="false">
      <c r="M646" s="1"/>
      <c r="N646" s="9"/>
    </row>
    <row r="647" customFormat="false" ht="15.75" hidden="false" customHeight="false" outlineLevel="0" collapsed="false">
      <c r="M647" s="1"/>
      <c r="N647" s="9"/>
    </row>
    <row r="648" customFormat="false" ht="15.75" hidden="false" customHeight="false" outlineLevel="0" collapsed="false">
      <c r="M648" s="1"/>
      <c r="N648" s="9"/>
    </row>
    <row r="649" customFormat="false" ht="15.75" hidden="false" customHeight="false" outlineLevel="0" collapsed="false">
      <c r="M649" s="1"/>
      <c r="N649" s="9"/>
    </row>
    <row r="650" customFormat="false" ht="15.75" hidden="false" customHeight="false" outlineLevel="0" collapsed="false">
      <c r="M650" s="1"/>
      <c r="N650" s="9"/>
    </row>
    <row r="651" customFormat="false" ht="15.75" hidden="false" customHeight="false" outlineLevel="0" collapsed="false">
      <c r="M651" s="1"/>
      <c r="N651" s="9"/>
    </row>
    <row r="652" customFormat="false" ht="15.75" hidden="false" customHeight="false" outlineLevel="0" collapsed="false">
      <c r="M652" s="1"/>
      <c r="N652" s="9"/>
    </row>
    <row r="653" customFormat="false" ht="15.75" hidden="false" customHeight="false" outlineLevel="0" collapsed="false">
      <c r="M653" s="1"/>
      <c r="N653" s="9"/>
    </row>
    <row r="654" customFormat="false" ht="15.75" hidden="false" customHeight="false" outlineLevel="0" collapsed="false">
      <c r="M654" s="1"/>
      <c r="N654" s="9"/>
    </row>
    <row r="655" customFormat="false" ht="15.75" hidden="false" customHeight="false" outlineLevel="0" collapsed="false">
      <c r="M655" s="1"/>
      <c r="N655" s="9"/>
    </row>
    <row r="656" customFormat="false" ht="15.75" hidden="false" customHeight="false" outlineLevel="0" collapsed="false">
      <c r="M656" s="1"/>
      <c r="N656" s="9"/>
    </row>
    <row r="657" customFormat="false" ht="15.75" hidden="false" customHeight="false" outlineLevel="0" collapsed="false">
      <c r="M657" s="1"/>
      <c r="N657" s="9"/>
    </row>
    <row r="658" customFormat="false" ht="15.75" hidden="false" customHeight="false" outlineLevel="0" collapsed="false">
      <c r="M658" s="1"/>
      <c r="N658" s="9"/>
    </row>
    <row r="659" customFormat="false" ht="15.75" hidden="false" customHeight="false" outlineLevel="0" collapsed="false">
      <c r="M659" s="1"/>
      <c r="N659" s="9"/>
    </row>
    <row r="660" customFormat="false" ht="15.75" hidden="false" customHeight="false" outlineLevel="0" collapsed="false">
      <c r="M660" s="1"/>
      <c r="N660" s="9"/>
    </row>
    <row r="661" customFormat="false" ht="15.75" hidden="false" customHeight="false" outlineLevel="0" collapsed="false">
      <c r="M661" s="1"/>
      <c r="N661" s="9"/>
    </row>
    <row r="662" customFormat="false" ht="15.75" hidden="false" customHeight="false" outlineLevel="0" collapsed="false">
      <c r="M662" s="1"/>
      <c r="N662" s="9"/>
    </row>
    <row r="663" customFormat="false" ht="15.75" hidden="false" customHeight="false" outlineLevel="0" collapsed="false">
      <c r="M663" s="1"/>
      <c r="N663" s="9"/>
    </row>
    <row r="664" customFormat="false" ht="15.75" hidden="false" customHeight="false" outlineLevel="0" collapsed="false">
      <c r="M664" s="1"/>
      <c r="N664" s="9"/>
    </row>
    <row r="665" customFormat="false" ht="15.75" hidden="false" customHeight="false" outlineLevel="0" collapsed="false">
      <c r="M665" s="1"/>
      <c r="N665" s="9"/>
    </row>
    <row r="666" customFormat="false" ht="15.75" hidden="false" customHeight="false" outlineLevel="0" collapsed="false">
      <c r="M666" s="1"/>
      <c r="N666" s="9"/>
    </row>
    <row r="667" customFormat="false" ht="15.75" hidden="false" customHeight="false" outlineLevel="0" collapsed="false">
      <c r="M667" s="1"/>
      <c r="N667" s="9"/>
    </row>
    <row r="668" customFormat="false" ht="15.75" hidden="false" customHeight="false" outlineLevel="0" collapsed="false">
      <c r="M668" s="1"/>
      <c r="N668" s="9"/>
    </row>
    <row r="669" customFormat="false" ht="15.75" hidden="false" customHeight="false" outlineLevel="0" collapsed="false">
      <c r="M669" s="1"/>
      <c r="N669" s="9"/>
    </row>
    <row r="670" customFormat="false" ht="15.75" hidden="false" customHeight="false" outlineLevel="0" collapsed="false">
      <c r="M670" s="1"/>
      <c r="N670" s="9"/>
    </row>
    <row r="671" customFormat="false" ht="15.75" hidden="false" customHeight="false" outlineLevel="0" collapsed="false">
      <c r="M671" s="1"/>
      <c r="N671" s="9"/>
    </row>
    <row r="672" customFormat="false" ht="15.75" hidden="false" customHeight="false" outlineLevel="0" collapsed="false">
      <c r="M672" s="1"/>
      <c r="N672" s="9"/>
    </row>
    <row r="673" customFormat="false" ht="15.75" hidden="false" customHeight="false" outlineLevel="0" collapsed="false">
      <c r="M673" s="1"/>
      <c r="N673" s="9"/>
    </row>
    <row r="674" customFormat="false" ht="15.75" hidden="false" customHeight="false" outlineLevel="0" collapsed="false">
      <c r="M674" s="1"/>
      <c r="N674" s="9"/>
    </row>
    <row r="675" customFormat="false" ht="15.75" hidden="false" customHeight="false" outlineLevel="0" collapsed="false">
      <c r="M675" s="1"/>
      <c r="N675" s="9"/>
    </row>
    <row r="676" customFormat="false" ht="15.75" hidden="false" customHeight="false" outlineLevel="0" collapsed="false">
      <c r="M676" s="1"/>
      <c r="N676" s="9"/>
    </row>
    <row r="677" customFormat="false" ht="15.75" hidden="false" customHeight="false" outlineLevel="0" collapsed="false">
      <c r="M677" s="1"/>
      <c r="N677" s="9"/>
    </row>
    <row r="678" customFormat="false" ht="15.75" hidden="false" customHeight="false" outlineLevel="0" collapsed="false">
      <c r="M678" s="1"/>
      <c r="N678" s="9"/>
    </row>
    <row r="679" customFormat="false" ht="15.75" hidden="false" customHeight="false" outlineLevel="0" collapsed="false">
      <c r="M679" s="1"/>
      <c r="N679" s="9"/>
    </row>
    <row r="680" customFormat="false" ht="15.75" hidden="false" customHeight="false" outlineLevel="0" collapsed="false">
      <c r="M680" s="1"/>
      <c r="N680" s="9"/>
    </row>
    <row r="681" customFormat="false" ht="15.75" hidden="false" customHeight="false" outlineLevel="0" collapsed="false">
      <c r="M681" s="1"/>
      <c r="N681" s="9"/>
    </row>
    <row r="682" customFormat="false" ht="15.75" hidden="false" customHeight="false" outlineLevel="0" collapsed="false">
      <c r="M682" s="1"/>
      <c r="N682" s="9"/>
    </row>
    <row r="683" customFormat="false" ht="15.75" hidden="false" customHeight="false" outlineLevel="0" collapsed="false">
      <c r="M683" s="1"/>
      <c r="N683" s="9"/>
    </row>
    <row r="684" customFormat="false" ht="15.75" hidden="false" customHeight="false" outlineLevel="0" collapsed="false">
      <c r="M684" s="1"/>
      <c r="N684" s="9"/>
    </row>
    <row r="685" customFormat="false" ht="15.75" hidden="false" customHeight="false" outlineLevel="0" collapsed="false">
      <c r="M685" s="1"/>
      <c r="N685" s="9"/>
    </row>
    <row r="686" customFormat="false" ht="15.75" hidden="false" customHeight="false" outlineLevel="0" collapsed="false">
      <c r="M686" s="1"/>
      <c r="N686" s="9"/>
    </row>
    <row r="687" customFormat="false" ht="15.75" hidden="false" customHeight="false" outlineLevel="0" collapsed="false">
      <c r="M687" s="1"/>
      <c r="N687" s="9"/>
    </row>
    <row r="688" customFormat="false" ht="15.75" hidden="false" customHeight="false" outlineLevel="0" collapsed="false">
      <c r="M688" s="1"/>
      <c r="N688" s="9"/>
    </row>
    <row r="689" customFormat="false" ht="15.75" hidden="false" customHeight="false" outlineLevel="0" collapsed="false">
      <c r="M689" s="1"/>
      <c r="N689" s="9"/>
    </row>
    <row r="690" customFormat="false" ht="15.75" hidden="false" customHeight="false" outlineLevel="0" collapsed="false">
      <c r="M690" s="1"/>
      <c r="N690" s="9"/>
    </row>
    <row r="691" customFormat="false" ht="15.75" hidden="false" customHeight="false" outlineLevel="0" collapsed="false">
      <c r="M691" s="1"/>
      <c r="N691" s="9"/>
    </row>
    <row r="692" customFormat="false" ht="15.75" hidden="false" customHeight="false" outlineLevel="0" collapsed="false">
      <c r="M692" s="1"/>
      <c r="N692" s="9"/>
    </row>
    <row r="693" customFormat="false" ht="15.75" hidden="false" customHeight="false" outlineLevel="0" collapsed="false">
      <c r="M693" s="1"/>
      <c r="N693" s="9"/>
    </row>
    <row r="694" customFormat="false" ht="15.75" hidden="false" customHeight="false" outlineLevel="0" collapsed="false">
      <c r="M694" s="1"/>
      <c r="N694" s="9"/>
    </row>
    <row r="695" customFormat="false" ht="15.75" hidden="false" customHeight="false" outlineLevel="0" collapsed="false">
      <c r="M695" s="1"/>
      <c r="N695" s="9"/>
    </row>
    <row r="696" customFormat="false" ht="15.75" hidden="false" customHeight="false" outlineLevel="0" collapsed="false">
      <c r="M696" s="1"/>
      <c r="N696" s="9"/>
    </row>
    <row r="697" customFormat="false" ht="15.75" hidden="false" customHeight="false" outlineLevel="0" collapsed="false">
      <c r="M697" s="1"/>
      <c r="N697" s="9"/>
    </row>
    <row r="698" customFormat="false" ht="15.75" hidden="false" customHeight="false" outlineLevel="0" collapsed="false">
      <c r="M698" s="1"/>
      <c r="N698" s="9"/>
    </row>
    <row r="699" customFormat="false" ht="15.75" hidden="false" customHeight="false" outlineLevel="0" collapsed="false">
      <c r="M699" s="1"/>
      <c r="N699" s="9"/>
    </row>
    <row r="700" customFormat="false" ht="15.75" hidden="false" customHeight="false" outlineLevel="0" collapsed="false">
      <c r="M700" s="1"/>
      <c r="N700" s="9"/>
    </row>
    <row r="701" customFormat="false" ht="15.75" hidden="false" customHeight="false" outlineLevel="0" collapsed="false">
      <c r="M701" s="1"/>
      <c r="N701" s="9"/>
    </row>
    <row r="702" customFormat="false" ht="15.75" hidden="false" customHeight="false" outlineLevel="0" collapsed="false">
      <c r="M702" s="1"/>
      <c r="N702" s="9"/>
    </row>
    <row r="703" customFormat="false" ht="15.75" hidden="false" customHeight="false" outlineLevel="0" collapsed="false">
      <c r="M703" s="1"/>
      <c r="N703" s="9"/>
    </row>
    <row r="704" customFormat="false" ht="15.75" hidden="false" customHeight="false" outlineLevel="0" collapsed="false">
      <c r="M704" s="1"/>
      <c r="N704" s="9"/>
    </row>
    <row r="705" customFormat="false" ht="15.75" hidden="false" customHeight="false" outlineLevel="0" collapsed="false">
      <c r="M705" s="1"/>
      <c r="N705" s="9"/>
    </row>
    <row r="706" customFormat="false" ht="15.75" hidden="false" customHeight="false" outlineLevel="0" collapsed="false">
      <c r="M706" s="1"/>
      <c r="N706" s="9"/>
    </row>
    <row r="707" customFormat="false" ht="15.75" hidden="false" customHeight="false" outlineLevel="0" collapsed="false">
      <c r="M707" s="1"/>
      <c r="N707" s="9"/>
    </row>
    <row r="708" customFormat="false" ht="15.75" hidden="false" customHeight="false" outlineLevel="0" collapsed="false">
      <c r="M708" s="1"/>
      <c r="N708" s="9"/>
    </row>
    <row r="709" customFormat="false" ht="15.75" hidden="false" customHeight="false" outlineLevel="0" collapsed="false">
      <c r="M709" s="1"/>
      <c r="N709" s="9"/>
    </row>
    <row r="710" customFormat="false" ht="15.75" hidden="false" customHeight="false" outlineLevel="0" collapsed="false">
      <c r="M710" s="1"/>
      <c r="N710" s="9"/>
    </row>
    <row r="711" customFormat="false" ht="15.75" hidden="false" customHeight="false" outlineLevel="0" collapsed="false">
      <c r="M711" s="1"/>
      <c r="N711" s="9"/>
    </row>
    <row r="712" customFormat="false" ht="15.75" hidden="false" customHeight="false" outlineLevel="0" collapsed="false">
      <c r="M712" s="1"/>
      <c r="N712" s="9"/>
    </row>
    <row r="713" customFormat="false" ht="15.75" hidden="false" customHeight="false" outlineLevel="0" collapsed="false">
      <c r="M713" s="1"/>
      <c r="N713" s="9"/>
    </row>
    <row r="714" customFormat="false" ht="15.75" hidden="false" customHeight="false" outlineLevel="0" collapsed="false">
      <c r="M714" s="1"/>
      <c r="N714" s="9"/>
    </row>
    <row r="715" customFormat="false" ht="15.75" hidden="false" customHeight="false" outlineLevel="0" collapsed="false">
      <c r="M715" s="1"/>
      <c r="N715" s="9"/>
    </row>
    <row r="716" customFormat="false" ht="15.75" hidden="false" customHeight="false" outlineLevel="0" collapsed="false">
      <c r="M716" s="1"/>
      <c r="N716" s="9"/>
    </row>
    <row r="717" customFormat="false" ht="15.75" hidden="false" customHeight="false" outlineLevel="0" collapsed="false">
      <c r="M717" s="1"/>
      <c r="N717" s="9"/>
    </row>
    <row r="718" customFormat="false" ht="15.75" hidden="false" customHeight="false" outlineLevel="0" collapsed="false">
      <c r="M718" s="1"/>
      <c r="N718" s="9"/>
    </row>
    <row r="719" customFormat="false" ht="15.75" hidden="false" customHeight="false" outlineLevel="0" collapsed="false">
      <c r="M719" s="1"/>
      <c r="N719" s="9"/>
    </row>
    <row r="720" customFormat="false" ht="15.75" hidden="false" customHeight="false" outlineLevel="0" collapsed="false">
      <c r="M720" s="1"/>
      <c r="N720" s="9"/>
    </row>
    <row r="721" customFormat="false" ht="15.75" hidden="false" customHeight="false" outlineLevel="0" collapsed="false">
      <c r="M721" s="1"/>
      <c r="N721" s="9"/>
    </row>
    <row r="722" customFormat="false" ht="15.75" hidden="false" customHeight="false" outlineLevel="0" collapsed="false">
      <c r="M722" s="1"/>
      <c r="N722" s="9"/>
    </row>
    <row r="723" customFormat="false" ht="15.75" hidden="false" customHeight="false" outlineLevel="0" collapsed="false">
      <c r="M723" s="1"/>
      <c r="N723" s="9"/>
    </row>
    <row r="724" customFormat="false" ht="15.75" hidden="false" customHeight="false" outlineLevel="0" collapsed="false">
      <c r="M724" s="1"/>
      <c r="N724" s="9"/>
    </row>
    <row r="725" customFormat="false" ht="15.75" hidden="false" customHeight="false" outlineLevel="0" collapsed="false">
      <c r="M725" s="1"/>
      <c r="N725" s="9"/>
    </row>
    <row r="726" customFormat="false" ht="15.75" hidden="false" customHeight="false" outlineLevel="0" collapsed="false">
      <c r="M726" s="1"/>
      <c r="N726" s="9"/>
    </row>
    <row r="727" customFormat="false" ht="15.75" hidden="false" customHeight="false" outlineLevel="0" collapsed="false">
      <c r="M727" s="1"/>
      <c r="N727" s="9"/>
    </row>
    <row r="728" customFormat="false" ht="15.75" hidden="false" customHeight="false" outlineLevel="0" collapsed="false">
      <c r="M728" s="1"/>
      <c r="N728" s="9"/>
    </row>
    <row r="729" customFormat="false" ht="15.75" hidden="false" customHeight="false" outlineLevel="0" collapsed="false">
      <c r="M729" s="1"/>
      <c r="N729" s="9"/>
    </row>
    <row r="730" customFormat="false" ht="15.75" hidden="false" customHeight="false" outlineLevel="0" collapsed="false">
      <c r="M730" s="1"/>
      <c r="N730" s="9"/>
    </row>
    <row r="731" customFormat="false" ht="15.75" hidden="false" customHeight="false" outlineLevel="0" collapsed="false">
      <c r="M731" s="1"/>
      <c r="N731" s="9"/>
    </row>
    <row r="732" customFormat="false" ht="15.75" hidden="false" customHeight="false" outlineLevel="0" collapsed="false">
      <c r="M732" s="1"/>
      <c r="N732" s="9"/>
    </row>
    <row r="733" customFormat="false" ht="15.75" hidden="false" customHeight="false" outlineLevel="0" collapsed="false">
      <c r="M733" s="1"/>
      <c r="N733" s="9"/>
    </row>
    <row r="734" customFormat="false" ht="15.75" hidden="false" customHeight="false" outlineLevel="0" collapsed="false">
      <c r="M734" s="1"/>
      <c r="N734" s="9"/>
    </row>
    <row r="735" customFormat="false" ht="15.75" hidden="false" customHeight="false" outlineLevel="0" collapsed="false">
      <c r="M735" s="1"/>
      <c r="N735" s="9"/>
    </row>
    <row r="736" customFormat="false" ht="15.75" hidden="false" customHeight="false" outlineLevel="0" collapsed="false">
      <c r="M736" s="1"/>
      <c r="N736" s="9"/>
    </row>
    <row r="737" customFormat="false" ht="15.75" hidden="false" customHeight="false" outlineLevel="0" collapsed="false">
      <c r="M737" s="1"/>
      <c r="N737" s="9"/>
    </row>
    <row r="738" customFormat="false" ht="15.75" hidden="false" customHeight="false" outlineLevel="0" collapsed="false">
      <c r="M738" s="1"/>
      <c r="N738" s="9"/>
    </row>
    <row r="739" customFormat="false" ht="15.75" hidden="false" customHeight="false" outlineLevel="0" collapsed="false">
      <c r="M739" s="1"/>
      <c r="N739" s="9"/>
    </row>
    <row r="740" customFormat="false" ht="15.75" hidden="false" customHeight="false" outlineLevel="0" collapsed="false">
      <c r="M740" s="1"/>
      <c r="N740" s="9"/>
    </row>
    <row r="741" customFormat="false" ht="15.75" hidden="false" customHeight="false" outlineLevel="0" collapsed="false">
      <c r="M741" s="1"/>
      <c r="N741" s="9"/>
    </row>
    <row r="742" customFormat="false" ht="15.75" hidden="false" customHeight="false" outlineLevel="0" collapsed="false">
      <c r="M742" s="1"/>
      <c r="N742" s="9"/>
    </row>
    <row r="743" customFormat="false" ht="15.75" hidden="false" customHeight="false" outlineLevel="0" collapsed="false">
      <c r="M743" s="1"/>
      <c r="N743" s="9"/>
    </row>
    <row r="744" customFormat="false" ht="15.75" hidden="false" customHeight="false" outlineLevel="0" collapsed="false">
      <c r="M744" s="1"/>
      <c r="N744" s="9"/>
    </row>
    <row r="745" customFormat="false" ht="15.75" hidden="false" customHeight="false" outlineLevel="0" collapsed="false">
      <c r="M745" s="1"/>
      <c r="N745" s="9"/>
    </row>
    <row r="746" customFormat="false" ht="15.75" hidden="false" customHeight="false" outlineLevel="0" collapsed="false">
      <c r="M746" s="1"/>
      <c r="N746" s="9"/>
    </row>
    <row r="747" customFormat="false" ht="15.75" hidden="false" customHeight="false" outlineLevel="0" collapsed="false">
      <c r="M747" s="1"/>
      <c r="N747" s="9"/>
    </row>
    <row r="748" customFormat="false" ht="15.75" hidden="false" customHeight="false" outlineLevel="0" collapsed="false">
      <c r="M748" s="1"/>
      <c r="N748" s="9"/>
    </row>
    <row r="749" customFormat="false" ht="15.75" hidden="false" customHeight="false" outlineLevel="0" collapsed="false">
      <c r="M749" s="1"/>
      <c r="N749" s="9"/>
    </row>
    <row r="750" customFormat="false" ht="15.75" hidden="false" customHeight="false" outlineLevel="0" collapsed="false">
      <c r="M750" s="1"/>
      <c r="N750" s="9"/>
    </row>
    <row r="751" customFormat="false" ht="15.75" hidden="false" customHeight="false" outlineLevel="0" collapsed="false">
      <c r="M751" s="1"/>
      <c r="N751" s="9"/>
    </row>
    <row r="752" customFormat="false" ht="15.75" hidden="false" customHeight="false" outlineLevel="0" collapsed="false">
      <c r="M752" s="1"/>
      <c r="N752" s="9"/>
    </row>
    <row r="753" customFormat="false" ht="15.75" hidden="false" customHeight="false" outlineLevel="0" collapsed="false">
      <c r="M753" s="1"/>
      <c r="N753" s="9"/>
    </row>
    <row r="754" customFormat="false" ht="15.75" hidden="false" customHeight="false" outlineLevel="0" collapsed="false">
      <c r="M754" s="1"/>
      <c r="N754" s="9"/>
    </row>
    <row r="755" customFormat="false" ht="15.75" hidden="false" customHeight="false" outlineLevel="0" collapsed="false">
      <c r="M755" s="1"/>
      <c r="N755" s="9"/>
    </row>
    <row r="756" customFormat="false" ht="15.75" hidden="false" customHeight="false" outlineLevel="0" collapsed="false">
      <c r="M756" s="1"/>
      <c r="N756" s="9"/>
    </row>
    <row r="757" customFormat="false" ht="15.75" hidden="false" customHeight="false" outlineLevel="0" collapsed="false">
      <c r="M757" s="1"/>
      <c r="N757" s="9"/>
    </row>
    <row r="758" customFormat="false" ht="15.75" hidden="false" customHeight="false" outlineLevel="0" collapsed="false">
      <c r="M758" s="1"/>
      <c r="N758" s="9"/>
    </row>
    <row r="759" customFormat="false" ht="15.75" hidden="false" customHeight="false" outlineLevel="0" collapsed="false">
      <c r="M759" s="1"/>
      <c r="N759" s="9"/>
    </row>
    <row r="760" customFormat="false" ht="15.75" hidden="false" customHeight="false" outlineLevel="0" collapsed="false">
      <c r="M760" s="1"/>
      <c r="N760" s="9"/>
    </row>
    <row r="761" customFormat="false" ht="15.75" hidden="false" customHeight="false" outlineLevel="0" collapsed="false">
      <c r="M761" s="1"/>
      <c r="N761" s="9"/>
    </row>
    <row r="762" customFormat="false" ht="15.75" hidden="false" customHeight="false" outlineLevel="0" collapsed="false">
      <c r="M762" s="1"/>
      <c r="N762" s="9"/>
    </row>
    <row r="763" customFormat="false" ht="15.75" hidden="false" customHeight="false" outlineLevel="0" collapsed="false">
      <c r="M763" s="1"/>
      <c r="N763" s="9"/>
    </row>
    <row r="764" customFormat="false" ht="15.75" hidden="false" customHeight="false" outlineLevel="0" collapsed="false">
      <c r="M764" s="1"/>
      <c r="N764" s="9"/>
    </row>
    <row r="765" customFormat="false" ht="15.75" hidden="false" customHeight="false" outlineLevel="0" collapsed="false">
      <c r="M765" s="1"/>
      <c r="N765" s="9"/>
    </row>
    <row r="766" customFormat="false" ht="15.75" hidden="false" customHeight="false" outlineLevel="0" collapsed="false">
      <c r="M766" s="1"/>
      <c r="N766" s="9"/>
    </row>
    <row r="767" customFormat="false" ht="15.75" hidden="false" customHeight="false" outlineLevel="0" collapsed="false">
      <c r="M767" s="1"/>
      <c r="N767" s="9"/>
    </row>
    <row r="768" customFormat="false" ht="15.75" hidden="false" customHeight="false" outlineLevel="0" collapsed="false">
      <c r="M768" s="1"/>
      <c r="N768" s="9"/>
    </row>
    <row r="769" customFormat="false" ht="15.75" hidden="false" customHeight="false" outlineLevel="0" collapsed="false">
      <c r="M769" s="1"/>
      <c r="N769" s="9"/>
    </row>
    <row r="770" customFormat="false" ht="15.75" hidden="false" customHeight="false" outlineLevel="0" collapsed="false">
      <c r="M770" s="1"/>
      <c r="N770" s="9"/>
    </row>
    <row r="771" customFormat="false" ht="15.75" hidden="false" customHeight="false" outlineLevel="0" collapsed="false">
      <c r="M771" s="1"/>
      <c r="N771" s="9"/>
    </row>
    <row r="772" customFormat="false" ht="15.75" hidden="false" customHeight="false" outlineLevel="0" collapsed="false">
      <c r="M772" s="1"/>
      <c r="N772" s="9"/>
    </row>
    <row r="773" customFormat="false" ht="15.75" hidden="false" customHeight="false" outlineLevel="0" collapsed="false">
      <c r="M773" s="1"/>
      <c r="N773" s="9"/>
    </row>
    <row r="774" customFormat="false" ht="15.75" hidden="false" customHeight="false" outlineLevel="0" collapsed="false">
      <c r="M774" s="1"/>
      <c r="N774" s="9"/>
    </row>
    <row r="775" customFormat="false" ht="15.75" hidden="false" customHeight="false" outlineLevel="0" collapsed="false">
      <c r="M775" s="1"/>
      <c r="N775" s="9"/>
    </row>
    <row r="776" customFormat="false" ht="15.75" hidden="false" customHeight="false" outlineLevel="0" collapsed="false">
      <c r="M776" s="1"/>
      <c r="N776" s="9"/>
    </row>
    <row r="777" customFormat="false" ht="15.75" hidden="false" customHeight="false" outlineLevel="0" collapsed="false">
      <c r="M777" s="1"/>
      <c r="N777" s="9"/>
    </row>
    <row r="778" customFormat="false" ht="15.75" hidden="false" customHeight="false" outlineLevel="0" collapsed="false">
      <c r="M778" s="1"/>
      <c r="N778" s="9"/>
    </row>
    <row r="779" customFormat="false" ht="15.75" hidden="false" customHeight="false" outlineLevel="0" collapsed="false">
      <c r="M779" s="1"/>
      <c r="N779" s="9"/>
    </row>
    <row r="780" customFormat="false" ht="15.75" hidden="false" customHeight="false" outlineLevel="0" collapsed="false">
      <c r="M780" s="1"/>
      <c r="N780" s="9"/>
    </row>
    <row r="781" customFormat="false" ht="15.75" hidden="false" customHeight="false" outlineLevel="0" collapsed="false">
      <c r="M781" s="1"/>
      <c r="N781" s="9"/>
    </row>
    <row r="782" customFormat="false" ht="15.75" hidden="false" customHeight="false" outlineLevel="0" collapsed="false">
      <c r="M782" s="1"/>
      <c r="N782" s="9"/>
    </row>
    <row r="783" customFormat="false" ht="15.75" hidden="false" customHeight="false" outlineLevel="0" collapsed="false">
      <c r="M783" s="1"/>
      <c r="N783" s="9"/>
    </row>
    <row r="784" customFormat="false" ht="15.75" hidden="false" customHeight="false" outlineLevel="0" collapsed="false">
      <c r="M784" s="1"/>
      <c r="N784" s="9"/>
    </row>
    <row r="785" customFormat="false" ht="15.75" hidden="false" customHeight="false" outlineLevel="0" collapsed="false">
      <c r="M785" s="1"/>
      <c r="N785" s="9"/>
    </row>
    <row r="786" customFormat="false" ht="15.75" hidden="false" customHeight="false" outlineLevel="0" collapsed="false">
      <c r="M786" s="1"/>
      <c r="N786" s="9"/>
    </row>
    <row r="787" customFormat="false" ht="15.75" hidden="false" customHeight="false" outlineLevel="0" collapsed="false">
      <c r="M787" s="1"/>
      <c r="N787" s="9"/>
    </row>
    <row r="788" customFormat="false" ht="15.75" hidden="false" customHeight="false" outlineLevel="0" collapsed="false">
      <c r="M788" s="1"/>
      <c r="N788" s="9"/>
    </row>
    <row r="789" customFormat="false" ht="15.75" hidden="false" customHeight="false" outlineLevel="0" collapsed="false">
      <c r="M789" s="1"/>
      <c r="N789" s="9"/>
    </row>
    <row r="790" customFormat="false" ht="15.75" hidden="false" customHeight="false" outlineLevel="0" collapsed="false">
      <c r="M790" s="1"/>
      <c r="N790" s="9"/>
    </row>
    <row r="791" customFormat="false" ht="15.75" hidden="false" customHeight="false" outlineLevel="0" collapsed="false">
      <c r="M791" s="1"/>
      <c r="N791" s="9"/>
    </row>
    <row r="792" customFormat="false" ht="15.75" hidden="false" customHeight="false" outlineLevel="0" collapsed="false">
      <c r="M792" s="1"/>
      <c r="N792" s="9"/>
    </row>
    <row r="793" customFormat="false" ht="15.75" hidden="false" customHeight="false" outlineLevel="0" collapsed="false">
      <c r="M793" s="1"/>
      <c r="N793" s="9"/>
    </row>
    <row r="794" customFormat="false" ht="15.75" hidden="false" customHeight="false" outlineLevel="0" collapsed="false">
      <c r="M794" s="1"/>
      <c r="N794" s="9"/>
    </row>
    <row r="795" customFormat="false" ht="15.75" hidden="false" customHeight="false" outlineLevel="0" collapsed="false">
      <c r="M795" s="1"/>
      <c r="N795" s="9"/>
    </row>
    <row r="796" customFormat="false" ht="15.75" hidden="false" customHeight="false" outlineLevel="0" collapsed="false">
      <c r="M796" s="1"/>
      <c r="N796" s="9"/>
    </row>
    <row r="797" customFormat="false" ht="15.75" hidden="false" customHeight="false" outlineLevel="0" collapsed="false">
      <c r="M797" s="1"/>
      <c r="N797" s="9"/>
    </row>
    <row r="798" customFormat="false" ht="15.75" hidden="false" customHeight="false" outlineLevel="0" collapsed="false">
      <c r="M798" s="1"/>
      <c r="N798" s="9"/>
    </row>
    <row r="799" customFormat="false" ht="15.75" hidden="false" customHeight="false" outlineLevel="0" collapsed="false">
      <c r="M799" s="1"/>
      <c r="N799" s="9"/>
    </row>
    <row r="800" customFormat="false" ht="15.75" hidden="false" customHeight="false" outlineLevel="0" collapsed="false">
      <c r="M800" s="1"/>
      <c r="N800" s="9"/>
    </row>
    <row r="801" customFormat="false" ht="15.75" hidden="false" customHeight="false" outlineLevel="0" collapsed="false">
      <c r="M801" s="1"/>
      <c r="N801" s="9"/>
    </row>
    <row r="802" customFormat="false" ht="15.75" hidden="false" customHeight="false" outlineLevel="0" collapsed="false">
      <c r="M802" s="1"/>
      <c r="N802" s="9"/>
    </row>
    <row r="803" customFormat="false" ht="15.75" hidden="false" customHeight="false" outlineLevel="0" collapsed="false">
      <c r="M803" s="1"/>
      <c r="N803" s="9"/>
    </row>
    <row r="804" customFormat="false" ht="15.75" hidden="false" customHeight="false" outlineLevel="0" collapsed="false">
      <c r="M804" s="1"/>
      <c r="N804" s="9"/>
    </row>
    <row r="805" customFormat="false" ht="15.75" hidden="false" customHeight="false" outlineLevel="0" collapsed="false">
      <c r="M805" s="1"/>
      <c r="N805" s="9"/>
    </row>
    <row r="806" customFormat="false" ht="15.75" hidden="false" customHeight="false" outlineLevel="0" collapsed="false">
      <c r="M806" s="1"/>
      <c r="N806" s="9"/>
    </row>
    <row r="807" customFormat="false" ht="15.75" hidden="false" customHeight="false" outlineLevel="0" collapsed="false">
      <c r="M807" s="1"/>
      <c r="N807" s="9"/>
    </row>
    <row r="808" customFormat="false" ht="15.75" hidden="false" customHeight="false" outlineLevel="0" collapsed="false">
      <c r="M808" s="1"/>
      <c r="N808" s="9"/>
    </row>
    <row r="809" customFormat="false" ht="15.75" hidden="false" customHeight="false" outlineLevel="0" collapsed="false">
      <c r="M809" s="1"/>
      <c r="N809" s="9"/>
    </row>
    <row r="810" customFormat="false" ht="15.75" hidden="false" customHeight="false" outlineLevel="0" collapsed="false">
      <c r="M810" s="1"/>
      <c r="N810" s="9"/>
    </row>
    <row r="811" customFormat="false" ht="15.75" hidden="false" customHeight="false" outlineLevel="0" collapsed="false">
      <c r="M811" s="1"/>
      <c r="N811" s="9"/>
    </row>
    <row r="812" customFormat="false" ht="15.75" hidden="false" customHeight="false" outlineLevel="0" collapsed="false">
      <c r="M812" s="1"/>
      <c r="N812" s="9"/>
    </row>
    <row r="813" customFormat="false" ht="15.75" hidden="false" customHeight="false" outlineLevel="0" collapsed="false">
      <c r="M813" s="1"/>
      <c r="N813" s="9"/>
    </row>
    <row r="814" customFormat="false" ht="15.75" hidden="false" customHeight="false" outlineLevel="0" collapsed="false">
      <c r="M814" s="1"/>
      <c r="N814" s="9"/>
    </row>
    <row r="815" customFormat="false" ht="15.75" hidden="false" customHeight="false" outlineLevel="0" collapsed="false">
      <c r="M815" s="1"/>
      <c r="N815" s="9"/>
    </row>
    <row r="816" customFormat="false" ht="15.75" hidden="false" customHeight="false" outlineLevel="0" collapsed="false">
      <c r="M816" s="1"/>
      <c r="N816" s="9"/>
    </row>
    <row r="817" customFormat="false" ht="15.75" hidden="false" customHeight="false" outlineLevel="0" collapsed="false">
      <c r="M817" s="1"/>
      <c r="N817" s="9"/>
    </row>
    <row r="818" customFormat="false" ht="15.75" hidden="false" customHeight="false" outlineLevel="0" collapsed="false">
      <c r="M818" s="1"/>
      <c r="N818" s="9"/>
    </row>
    <row r="819" customFormat="false" ht="15.75" hidden="false" customHeight="false" outlineLevel="0" collapsed="false">
      <c r="M819" s="1"/>
      <c r="N819" s="9"/>
    </row>
    <row r="820" customFormat="false" ht="15.75" hidden="false" customHeight="false" outlineLevel="0" collapsed="false">
      <c r="M820" s="1"/>
      <c r="N820" s="9"/>
    </row>
    <row r="821" customFormat="false" ht="15.75" hidden="false" customHeight="false" outlineLevel="0" collapsed="false">
      <c r="M821" s="1"/>
      <c r="N821" s="9"/>
    </row>
    <row r="822" customFormat="false" ht="15.75" hidden="false" customHeight="false" outlineLevel="0" collapsed="false">
      <c r="M822" s="1"/>
      <c r="N822" s="9"/>
    </row>
    <row r="823" customFormat="false" ht="15.75" hidden="false" customHeight="false" outlineLevel="0" collapsed="false">
      <c r="M823" s="1"/>
      <c r="N823" s="9"/>
    </row>
    <row r="824" customFormat="false" ht="15.75" hidden="false" customHeight="false" outlineLevel="0" collapsed="false">
      <c r="M824" s="1"/>
      <c r="N824" s="9"/>
    </row>
    <row r="825" customFormat="false" ht="15.75" hidden="false" customHeight="false" outlineLevel="0" collapsed="false">
      <c r="M825" s="1"/>
      <c r="N825" s="9"/>
    </row>
    <row r="826" customFormat="false" ht="15.75" hidden="false" customHeight="false" outlineLevel="0" collapsed="false">
      <c r="M826" s="1"/>
      <c r="N826" s="9"/>
    </row>
    <row r="827" customFormat="false" ht="15.75" hidden="false" customHeight="false" outlineLevel="0" collapsed="false">
      <c r="M827" s="1"/>
      <c r="N827" s="9"/>
    </row>
    <row r="828" customFormat="false" ht="15.75" hidden="false" customHeight="false" outlineLevel="0" collapsed="false">
      <c r="M828" s="1"/>
      <c r="N828" s="9"/>
    </row>
    <row r="829" customFormat="false" ht="15.75" hidden="false" customHeight="false" outlineLevel="0" collapsed="false">
      <c r="M829" s="1"/>
      <c r="N829" s="9"/>
    </row>
    <row r="830" customFormat="false" ht="15.75" hidden="false" customHeight="false" outlineLevel="0" collapsed="false">
      <c r="M830" s="1"/>
      <c r="N830" s="9"/>
    </row>
    <row r="831" customFormat="false" ht="15.75" hidden="false" customHeight="false" outlineLevel="0" collapsed="false">
      <c r="M831" s="1"/>
      <c r="N831" s="9"/>
    </row>
    <row r="832" customFormat="false" ht="15.75" hidden="false" customHeight="false" outlineLevel="0" collapsed="false">
      <c r="M832" s="1"/>
      <c r="N832" s="9"/>
    </row>
    <row r="833" customFormat="false" ht="15.75" hidden="false" customHeight="false" outlineLevel="0" collapsed="false">
      <c r="M833" s="1"/>
      <c r="N833" s="9"/>
    </row>
    <row r="834" customFormat="false" ht="15.75" hidden="false" customHeight="false" outlineLevel="0" collapsed="false">
      <c r="M834" s="1"/>
      <c r="N834" s="9"/>
    </row>
    <row r="835" customFormat="false" ht="15.75" hidden="false" customHeight="false" outlineLevel="0" collapsed="false">
      <c r="M835" s="1"/>
      <c r="N835" s="9"/>
    </row>
    <row r="836" customFormat="false" ht="15.75" hidden="false" customHeight="false" outlineLevel="0" collapsed="false">
      <c r="M836" s="1"/>
      <c r="N836" s="9"/>
    </row>
    <row r="837" customFormat="false" ht="15.75" hidden="false" customHeight="false" outlineLevel="0" collapsed="false">
      <c r="M837" s="1"/>
      <c r="N837" s="9"/>
    </row>
    <row r="838" customFormat="false" ht="15.75" hidden="false" customHeight="false" outlineLevel="0" collapsed="false">
      <c r="M838" s="1"/>
      <c r="N838" s="9"/>
    </row>
    <row r="839" customFormat="false" ht="15.75" hidden="false" customHeight="false" outlineLevel="0" collapsed="false">
      <c r="M839" s="1"/>
      <c r="N839" s="9"/>
    </row>
    <row r="840" customFormat="false" ht="15.75" hidden="false" customHeight="false" outlineLevel="0" collapsed="false">
      <c r="M840" s="1"/>
      <c r="N840" s="9"/>
    </row>
    <row r="841" customFormat="false" ht="15.75" hidden="false" customHeight="false" outlineLevel="0" collapsed="false">
      <c r="M841" s="1"/>
      <c r="N841" s="9"/>
    </row>
    <row r="842" customFormat="false" ht="15.75" hidden="false" customHeight="false" outlineLevel="0" collapsed="false">
      <c r="M842" s="1"/>
      <c r="N842" s="9"/>
    </row>
    <row r="843" customFormat="false" ht="15.75" hidden="false" customHeight="false" outlineLevel="0" collapsed="false">
      <c r="M843" s="1"/>
      <c r="N843" s="9"/>
    </row>
    <row r="844" customFormat="false" ht="15.75" hidden="false" customHeight="false" outlineLevel="0" collapsed="false">
      <c r="M844" s="1"/>
      <c r="N844" s="9"/>
    </row>
    <row r="845" customFormat="false" ht="15.75" hidden="false" customHeight="false" outlineLevel="0" collapsed="false">
      <c r="M845" s="1"/>
      <c r="N845" s="9"/>
    </row>
    <row r="846" customFormat="false" ht="15.75" hidden="false" customHeight="false" outlineLevel="0" collapsed="false">
      <c r="M846" s="1"/>
      <c r="N846" s="9"/>
    </row>
    <row r="847" customFormat="false" ht="15.75" hidden="false" customHeight="false" outlineLevel="0" collapsed="false">
      <c r="M847" s="1"/>
      <c r="N847" s="9"/>
    </row>
    <row r="848" customFormat="false" ht="15.75" hidden="false" customHeight="false" outlineLevel="0" collapsed="false">
      <c r="M848" s="1"/>
      <c r="N848" s="9"/>
    </row>
    <row r="849" customFormat="false" ht="15.75" hidden="false" customHeight="false" outlineLevel="0" collapsed="false">
      <c r="M849" s="1"/>
      <c r="N849" s="9"/>
    </row>
    <row r="850" customFormat="false" ht="15.75" hidden="false" customHeight="false" outlineLevel="0" collapsed="false">
      <c r="M850" s="1"/>
      <c r="N850" s="9"/>
    </row>
    <row r="851" customFormat="false" ht="15.75" hidden="false" customHeight="false" outlineLevel="0" collapsed="false">
      <c r="M851" s="1"/>
      <c r="N851" s="9"/>
    </row>
    <row r="852" customFormat="false" ht="15.75" hidden="false" customHeight="false" outlineLevel="0" collapsed="false">
      <c r="M852" s="1"/>
      <c r="N852" s="9"/>
    </row>
    <row r="853" customFormat="false" ht="15.75" hidden="false" customHeight="false" outlineLevel="0" collapsed="false">
      <c r="M853" s="1"/>
      <c r="N853" s="9"/>
    </row>
    <row r="854" customFormat="false" ht="15.75" hidden="false" customHeight="false" outlineLevel="0" collapsed="false">
      <c r="M854" s="1"/>
      <c r="N854" s="9"/>
    </row>
    <row r="855" customFormat="false" ht="15.75" hidden="false" customHeight="false" outlineLevel="0" collapsed="false">
      <c r="M855" s="1"/>
      <c r="N855" s="9"/>
    </row>
    <row r="856" customFormat="false" ht="15.75" hidden="false" customHeight="false" outlineLevel="0" collapsed="false">
      <c r="M856" s="1"/>
      <c r="N856" s="9"/>
    </row>
    <row r="857" customFormat="false" ht="15.75" hidden="false" customHeight="false" outlineLevel="0" collapsed="false">
      <c r="M857" s="1"/>
      <c r="N857" s="9"/>
    </row>
    <row r="858" customFormat="false" ht="15.75" hidden="false" customHeight="false" outlineLevel="0" collapsed="false">
      <c r="M858" s="1"/>
      <c r="N858" s="9"/>
    </row>
    <row r="859" customFormat="false" ht="15.75" hidden="false" customHeight="false" outlineLevel="0" collapsed="false">
      <c r="M859" s="1"/>
      <c r="N859" s="9"/>
    </row>
    <row r="860" customFormat="false" ht="15.75" hidden="false" customHeight="false" outlineLevel="0" collapsed="false">
      <c r="M860" s="1"/>
      <c r="N860" s="9"/>
    </row>
    <row r="861" customFormat="false" ht="15.75" hidden="false" customHeight="false" outlineLevel="0" collapsed="false">
      <c r="M861" s="1"/>
      <c r="N861" s="9"/>
    </row>
    <row r="862" customFormat="false" ht="15.75" hidden="false" customHeight="false" outlineLevel="0" collapsed="false">
      <c r="M862" s="1"/>
      <c r="N862" s="9"/>
    </row>
    <row r="863" customFormat="false" ht="15.75" hidden="false" customHeight="false" outlineLevel="0" collapsed="false">
      <c r="M863" s="1"/>
      <c r="N863" s="9"/>
    </row>
    <row r="864" customFormat="false" ht="15.75" hidden="false" customHeight="false" outlineLevel="0" collapsed="false">
      <c r="M864" s="1"/>
      <c r="N864" s="9"/>
    </row>
    <row r="865" customFormat="false" ht="15.75" hidden="false" customHeight="false" outlineLevel="0" collapsed="false">
      <c r="M865" s="1"/>
      <c r="N865" s="9"/>
    </row>
    <row r="866" customFormat="false" ht="15.75" hidden="false" customHeight="false" outlineLevel="0" collapsed="false">
      <c r="M866" s="1"/>
      <c r="N866" s="9"/>
    </row>
    <row r="867" customFormat="false" ht="15.75" hidden="false" customHeight="false" outlineLevel="0" collapsed="false">
      <c r="M867" s="1"/>
      <c r="N867" s="9"/>
    </row>
    <row r="868" customFormat="false" ht="15.75" hidden="false" customHeight="false" outlineLevel="0" collapsed="false">
      <c r="M868" s="1"/>
      <c r="N868" s="9"/>
    </row>
    <row r="869" customFormat="false" ht="15.75" hidden="false" customHeight="false" outlineLevel="0" collapsed="false">
      <c r="M869" s="1"/>
      <c r="N869" s="9"/>
    </row>
    <row r="870" customFormat="false" ht="15.75" hidden="false" customHeight="false" outlineLevel="0" collapsed="false">
      <c r="M870" s="1"/>
      <c r="N870" s="9"/>
    </row>
    <row r="871" customFormat="false" ht="15.75" hidden="false" customHeight="false" outlineLevel="0" collapsed="false">
      <c r="M871" s="1"/>
      <c r="N871" s="9"/>
    </row>
    <row r="872" customFormat="false" ht="15.75" hidden="false" customHeight="false" outlineLevel="0" collapsed="false">
      <c r="M872" s="1"/>
      <c r="N872" s="9"/>
    </row>
    <row r="873" customFormat="false" ht="15.75" hidden="false" customHeight="false" outlineLevel="0" collapsed="false">
      <c r="M873" s="1"/>
      <c r="N873" s="9"/>
    </row>
    <row r="874" customFormat="false" ht="15.75" hidden="false" customHeight="false" outlineLevel="0" collapsed="false">
      <c r="M874" s="1"/>
      <c r="N874" s="9"/>
    </row>
    <row r="875" customFormat="false" ht="15.75" hidden="false" customHeight="false" outlineLevel="0" collapsed="false">
      <c r="M875" s="1"/>
      <c r="N875" s="9"/>
    </row>
    <row r="876" customFormat="false" ht="15.75" hidden="false" customHeight="false" outlineLevel="0" collapsed="false">
      <c r="M876" s="1"/>
      <c r="N876" s="9"/>
    </row>
    <row r="877" customFormat="false" ht="15.75" hidden="false" customHeight="false" outlineLevel="0" collapsed="false">
      <c r="M877" s="1"/>
      <c r="N877" s="9"/>
    </row>
    <row r="878" customFormat="false" ht="15.75" hidden="false" customHeight="false" outlineLevel="0" collapsed="false">
      <c r="M878" s="1"/>
      <c r="N878" s="9"/>
    </row>
    <row r="879" customFormat="false" ht="15.75" hidden="false" customHeight="false" outlineLevel="0" collapsed="false">
      <c r="M879" s="1"/>
      <c r="N879" s="9"/>
    </row>
    <row r="880" customFormat="false" ht="15.75" hidden="false" customHeight="false" outlineLevel="0" collapsed="false">
      <c r="M880" s="1"/>
      <c r="N880" s="9"/>
    </row>
    <row r="881" customFormat="false" ht="15.75" hidden="false" customHeight="false" outlineLevel="0" collapsed="false">
      <c r="M881" s="1"/>
      <c r="N881" s="9"/>
    </row>
    <row r="882" customFormat="false" ht="15.75" hidden="false" customHeight="false" outlineLevel="0" collapsed="false">
      <c r="M882" s="1"/>
      <c r="N882" s="9"/>
    </row>
    <row r="883" customFormat="false" ht="15.75" hidden="false" customHeight="false" outlineLevel="0" collapsed="false">
      <c r="M883" s="1"/>
      <c r="N883" s="9"/>
    </row>
    <row r="884" customFormat="false" ht="15.75" hidden="false" customHeight="false" outlineLevel="0" collapsed="false">
      <c r="M884" s="1"/>
      <c r="N884" s="9"/>
    </row>
    <row r="885" customFormat="false" ht="15.75" hidden="false" customHeight="false" outlineLevel="0" collapsed="false">
      <c r="M885" s="1"/>
      <c r="N885" s="9"/>
    </row>
    <row r="886" customFormat="false" ht="15.75" hidden="false" customHeight="false" outlineLevel="0" collapsed="false">
      <c r="M886" s="1"/>
      <c r="N886" s="9"/>
    </row>
    <row r="887" customFormat="false" ht="15.75" hidden="false" customHeight="false" outlineLevel="0" collapsed="false">
      <c r="M887" s="1"/>
      <c r="N887" s="9"/>
    </row>
    <row r="888" customFormat="false" ht="15.75" hidden="false" customHeight="false" outlineLevel="0" collapsed="false">
      <c r="M888" s="1"/>
      <c r="N888" s="9"/>
    </row>
    <row r="889" customFormat="false" ht="15.75" hidden="false" customHeight="false" outlineLevel="0" collapsed="false">
      <c r="M889" s="1"/>
      <c r="N889" s="9"/>
    </row>
    <row r="890" customFormat="false" ht="15.75" hidden="false" customHeight="false" outlineLevel="0" collapsed="false">
      <c r="M890" s="1"/>
      <c r="N890" s="9"/>
    </row>
    <row r="891" customFormat="false" ht="15.75" hidden="false" customHeight="false" outlineLevel="0" collapsed="false">
      <c r="M891" s="1"/>
      <c r="N891" s="9"/>
    </row>
    <row r="892" customFormat="false" ht="15.75" hidden="false" customHeight="false" outlineLevel="0" collapsed="false">
      <c r="M892" s="1"/>
      <c r="N892" s="9"/>
    </row>
    <row r="893" customFormat="false" ht="15.75" hidden="false" customHeight="false" outlineLevel="0" collapsed="false">
      <c r="M893" s="1"/>
      <c r="N893" s="9"/>
    </row>
    <row r="894" customFormat="false" ht="15.75" hidden="false" customHeight="false" outlineLevel="0" collapsed="false">
      <c r="M894" s="1"/>
      <c r="N894" s="9"/>
    </row>
    <row r="895" customFormat="false" ht="15.75" hidden="false" customHeight="false" outlineLevel="0" collapsed="false">
      <c r="M895" s="1"/>
      <c r="N895" s="9"/>
    </row>
    <row r="896" customFormat="false" ht="15.75" hidden="false" customHeight="false" outlineLevel="0" collapsed="false">
      <c r="M896" s="1"/>
      <c r="N896" s="9"/>
    </row>
    <row r="897" customFormat="false" ht="15.75" hidden="false" customHeight="false" outlineLevel="0" collapsed="false">
      <c r="M897" s="1"/>
      <c r="N897" s="9"/>
    </row>
    <row r="898" customFormat="false" ht="15.75" hidden="false" customHeight="false" outlineLevel="0" collapsed="false">
      <c r="M898" s="1"/>
      <c r="N898" s="9"/>
    </row>
    <row r="899" customFormat="false" ht="15.75" hidden="false" customHeight="false" outlineLevel="0" collapsed="false">
      <c r="M899" s="1"/>
      <c r="N899" s="9"/>
    </row>
    <row r="900" customFormat="false" ht="15.75" hidden="false" customHeight="false" outlineLevel="0" collapsed="false">
      <c r="M900" s="1"/>
      <c r="N900" s="9"/>
    </row>
    <row r="901" customFormat="false" ht="15.75" hidden="false" customHeight="false" outlineLevel="0" collapsed="false">
      <c r="M901" s="1"/>
      <c r="N901" s="9"/>
    </row>
    <row r="902" customFormat="false" ht="15.75" hidden="false" customHeight="false" outlineLevel="0" collapsed="false">
      <c r="M902" s="1"/>
      <c r="N902" s="9"/>
    </row>
    <row r="903" customFormat="false" ht="15.75" hidden="false" customHeight="false" outlineLevel="0" collapsed="false">
      <c r="M903" s="1"/>
      <c r="N903" s="9"/>
    </row>
    <row r="904" customFormat="false" ht="15.75" hidden="false" customHeight="false" outlineLevel="0" collapsed="false">
      <c r="M904" s="1"/>
      <c r="N904" s="9"/>
    </row>
    <row r="905" customFormat="false" ht="15.75" hidden="false" customHeight="false" outlineLevel="0" collapsed="false">
      <c r="M905" s="1"/>
      <c r="N905" s="9"/>
    </row>
    <row r="906" customFormat="false" ht="15.75" hidden="false" customHeight="false" outlineLevel="0" collapsed="false">
      <c r="M906" s="1"/>
      <c r="N906" s="9"/>
    </row>
    <row r="907" customFormat="false" ht="15.75" hidden="false" customHeight="false" outlineLevel="0" collapsed="false">
      <c r="M907" s="1"/>
      <c r="N907" s="9"/>
    </row>
    <row r="908" customFormat="false" ht="15.75" hidden="false" customHeight="false" outlineLevel="0" collapsed="false">
      <c r="M908" s="1"/>
      <c r="N908" s="9"/>
    </row>
    <row r="909" customFormat="false" ht="15.75" hidden="false" customHeight="false" outlineLevel="0" collapsed="false">
      <c r="M909" s="1"/>
      <c r="N909" s="9"/>
    </row>
    <row r="910" customFormat="false" ht="15.75" hidden="false" customHeight="false" outlineLevel="0" collapsed="false">
      <c r="M910" s="1"/>
      <c r="N910" s="9"/>
    </row>
    <row r="911" customFormat="false" ht="15.75" hidden="false" customHeight="false" outlineLevel="0" collapsed="false">
      <c r="M911" s="1"/>
      <c r="N911" s="9"/>
    </row>
    <row r="912" customFormat="false" ht="15.75" hidden="false" customHeight="false" outlineLevel="0" collapsed="false">
      <c r="M912" s="1"/>
      <c r="N912" s="9"/>
    </row>
    <row r="913" customFormat="false" ht="15.75" hidden="false" customHeight="false" outlineLevel="0" collapsed="false">
      <c r="M913" s="1"/>
      <c r="N913" s="9"/>
    </row>
    <row r="914" customFormat="false" ht="15.75" hidden="false" customHeight="false" outlineLevel="0" collapsed="false">
      <c r="M914" s="1"/>
      <c r="N914" s="9"/>
    </row>
    <row r="915" customFormat="false" ht="15.75" hidden="false" customHeight="false" outlineLevel="0" collapsed="false">
      <c r="M915" s="1"/>
      <c r="N915" s="9"/>
    </row>
    <row r="916" customFormat="false" ht="15.75" hidden="false" customHeight="false" outlineLevel="0" collapsed="false">
      <c r="M916" s="1"/>
      <c r="N916" s="9"/>
    </row>
    <row r="917" customFormat="false" ht="15.75" hidden="false" customHeight="false" outlineLevel="0" collapsed="false">
      <c r="M917" s="1"/>
      <c r="N917" s="9"/>
    </row>
    <row r="918" customFormat="false" ht="15.75" hidden="false" customHeight="false" outlineLevel="0" collapsed="false">
      <c r="M918" s="1"/>
      <c r="N918" s="9"/>
    </row>
    <row r="919" customFormat="false" ht="15.75" hidden="false" customHeight="false" outlineLevel="0" collapsed="false">
      <c r="M919" s="1"/>
      <c r="N919" s="9"/>
    </row>
    <row r="920" customFormat="false" ht="15.75" hidden="false" customHeight="false" outlineLevel="0" collapsed="false">
      <c r="M920" s="1"/>
      <c r="N920" s="9"/>
    </row>
    <row r="921" customFormat="false" ht="15.75" hidden="false" customHeight="false" outlineLevel="0" collapsed="false">
      <c r="M921" s="1"/>
      <c r="N921" s="9"/>
    </row>
    <row r="922" customFormat="false" ht="15.75" hidden="false" customHeight="false" outlineLevel="0" collapsed="false">
      <c r="M922" s="1"/>
      <c r="N922" s="9"/>
    </row>
    <row r="923" customFormat="false" ht="15.75" hidden="false" customHeight="false" outlineLevel="0" collapsed="false">
      <c r="M923" s="1"/>
      <c r="N923" s="9"/>
    </row>
    <row r="924" customFormat="false" ht="15.75" hidden="false" customHeight="false" outlineLevel="0" collapsed="false">
      <c r="M924" s="1"/>
      <c r="N924" s="9"/>
    </row>
    <row r="925" customFormat="false" ht="15.75" hidden="false" customHeight="false" outlineLevel="0" collapsed="false">
      <c r="M925" s="1"/>
      <c r="N925" s="9"/>
    </row>
    <row r="926" customFormat="false" ht="15.75" hidden="false" customHeight="false" outlineLevel="0" collapsed="false">
      <c r="M926" s="1"/>
      <c r="N926" s="9"/>
    </row>
    <row r="927" customFormat="false" ht="15.75" hidden="false" customHeight="false" outlineLevel="0" collapsed="false">
      <c r="M927" s="1"/>
      <c r="N927" s="9"/>
    </row>
    <row r="928" customFormat="false" ht="15.75" hidden="false" customHeight="false" outlineLevel="0" collapsed="false">
      <c r="M928" s="1"/>
      <c r="N928" s="9"/>
    </row>
    <row r="929" customFormat="false" ht="15.75" hidden="false" customHeight="false" outlineLevel="0" collapsed="false">
      <c r="M929" s="1"/>
      <c r="N929" s="9"/>
    </row>
    <row r="930" customFormat="false" ht="15.75" hidden="false" customHeight="false" outlineLevel="0" collapsed="false">
      <c r="M930" s="1"/>
      <c r="N930" s="9"/>
    </row>
    <row r="931" customFormat="false" ht="15.75" hidden="false" customHeight="false" outlineLevel="0" collapsed="false">
      <c r="M931" s="1"/>
      <c r="N931" s="9"/>
    </row>
    <row r="932" customFormat="false" ht="15.75" hidden="false" customHeight="false" outlineLevel="0" collapsed="false">
      <c r="M932" s="1"/>
      <c r="N932" s="9"/>
    </row>
    <row r="933" customFormat="false" ht="15.75" hidden="false" customHeight="false" outlineLevel="0" collapsed="false">
      <c r="M933" s="1"/>
      <c r="N933" s="9"/>
    </row>
    <row r="934" customFormat="false" ht="15.75" hidden="false" customHeight="false" outlineLevel="0" collapsed="false">
      <c r="M934" s="1"/>
      <c r="N934" s="9"/>
    </row>
    <row r="935" customFormat="false" ht="15.75" hidden="false" customHeight="false" outlineLevel="0" collapsed="false">
      <c r="M935" s="1"/>
      <c r="N935" s="9"/>
    </row>
    <row r="936" customFormat="false" ht="15.75" hidden="false" customHeight="false" outlineLevel="0" collapsed="false">
      <c r="M936" s="1"/>
      <c r="N936" s="9"/>
    </row>
    <row r="937" customFormat="false" ht="15.75" hidden="false" customHeight="false" outlineLevel="0" collapsed="false">
      <c r="M937" s="1"/>
      <c r="N937" s="9"/>
    </row>
    <row r="938" customFormat="false" ht="15.75" hidden="false" customHeight="false" outlineLevel="0" collapsed="false">
      <c r="M938" s="1"/>
      <c r="N938" s="9"/>
    </row>
    <row r="939" customFormat="false" ht="15.75" hidden="false" customHeight="false" outlineLevel="0" collapsed="false">
      <c r="M939" s="1"/>
      <c r="N939" s="9"/>
    </row>
    <row r="940" customFormat="false" ht="15.75" hidden="false" customHeight="false" outlineLevel="0" collapsed="false">
      <c r="M940" s="1"/>
      <c r="N940" s="9"/>
    </row>
    <row r="941" customFormat="false" ht="15.75" hidden="false" customHeight="false" outlineLevel="0" collapsed="false">
      <c r="M941" s="1"/>
      <c r="N941" s="9"/>
    </row>
    <row r="942" customFormat="false" ht="15.75" hidden="false" customHeight="false" outlineLevel="0" collapsed="false">
      <c r="M942" s="1"/>
      <c r="N942" s="9"/>
    </row>
    <row r="943" customFormat="false" ht="15.75" hidden="false" customHeight="false" outlineLevel="0" collapsed="false">
      <c r="M943" s="1"/>
      <c r="N943" s="9"/>
    </row>
    <row r="944" customFormat="false" ht="15.75" hidden="false" customHeight="false" outlineLevel="0" collapsed="false">
      <c r="M944" s="1"/>
      <c r="N944" s="9"/>
    </row>
    <row r="945" customFormat="false" ht="15.75" hidden="false" customHeight="false" outlineLevel="0" collapsed="false">
      <c r="M945" s="1"/>
      <c r="N945" s="9"/>
    </row>
    <row r="946" customFormat="false" ht="15.75" hidden="false" customHeight="false" outlineLevel="0" collapsed="false">
      <c r="M946" s="1"/>
      <c r="N946" s="9"/>
    </row>
    <row r="947" customFormat="false" ht="15.75" hidden="false" customHeight="false" outlineLevel="0" collapsed="false">
      <c r="M947" s="1"/>
      <c r="N947" s="9"/>
    </row>
    <row r="948" customFormat="false" ht="15.75" hidden="false" customHeight="false" outlineLevel="0" collapsed="false">
      <c r="M948" s="1"/>
      <c r="N948" s="9"/>
    </row>
    <row r="949" customFormat="false" ht="15.75" hidden="false" customHeight="false" outlineLevel="0" collapsed="false">
      <c r="M949" s="1"/>
      <c r="N949" s="9"/>
    </row>
    <row r="950" customFormat="false" ht="15.75" hidden="false" customHeight="false" outlineLevel="0" collapsed="false">
      <c r="M950" s="1"/>
      <c r="N950" s="9"/>
    </row>
    <row r="951" customFormat="false" ht="15.75" hidden="false" customHeight="false" outlineLevel="0" collapsed="false">
      <c r="M951" s="1"/>
      <c r="N951" s="9"/>
    </row>
    <row r="952" customFormat="false" ht="15.75" hidden="false" customHeight="false" outlineLevel="0" collapsed="false">
      <c r="M952" s="1"/>
      <c r="N952" s="9"/>
    </row>
    <row r="953" customFormat="false" ht="15.75" hidden="false" customHeight="false" outlineLevel="0" collapsed="false">
      <c r="M953" s="1"/>
      <c r="N953" s="9"/>
    </row>
    <row r="954" customFormat="false" ht="15.75" hidden="false" customHeight="false" outlineLevel="0" collapsed="false">
      <c r="M954" s="1"/>
      <c r="N954" s="9"/>
    </row>
    <row r="955" customFormat="false" ht="15.75" hidden="false" customHeight="false" outlineLevel="0" collapsed="false">
      <c r="M955" s="1"/>
      <c r="N955" s="9"/>
    </row>
    <row r="956" customFormat="false" ht="15.75" hidden="false" customHeight="false" outlineLevel="0" collapsed="false">
      <c r="M956" s="1"/>
      <c r="N956" s="9"/>
    </row>
    <row r="957" customFormat="false" ht="15.75" hidden="false" customHeight="false" outlineLevel="0" collapsed="false">
      <c r="M957" s="1"/>
      <c r="N957" s="9"/>
    </row>
    <row r="958" customFormat="false" ht="15.75" hidden="false" customHeight="false" outlineLevel="0" collapsed="false">
      <c r="M958" s="1"/>
      <c r="N958" s="9"/>
    </row>
    <row r="959" customFormat="false" ht="15.75" hidden="false" customHeight="false" outlineLevel="0" collapsed="false">
      <c r="M959" s="1"/>
      <c r="N959" s="9"/>
    </row>
    <row r="960" customFormat="false" ht="15.75" hidden="false" customHeight="false" outlineLevel="0" collapsed="false">
      <c r="M960" s="1"/>
      <c r="N960" s="9"/>
    </row>
    <row r="961" customFormat="false" ht="15.75" hidden="false" customHeight="false" outlineLevel="0" collapsed="false">
      <c r="M961" s="1"/>
      <c r="N961" s="9"/>
    </row>
    <row r="962" customFormat="false" ht="15.75" hidden="false" customHeight="false" outlineLevel="0" collapsed="false">
      <c r="M962" s="1"/>
      <c r="N962" s="9"/>
    </row>
    <row r="963" customFormat="false" ht="15.75" hidden="false" customHeight="false" outlineLevel="0" collapsed="false">
      <c r="M963" s="1"/>
      <c r="N963" s="9"/>
    </row>
    <row r="964" customFormat="false" ht="15.75" hidden="false" customHeight="false" outlineLevel="0" collapsed="false">
      <c r="M964" s="1"/>
      <c r="N964" s="9"/>
    </row>
    <row r="965" customFormat="false" ht="15.75" hidden="false" customHeight="false" outlineLevel="0" collapsed="false">
      <c r="M965" s="1"/>
      <c r="N965" s="9"/>
    </row>
    <row r="966" customFormat="false" ht="15.75" hidden="false" customHeight="false" outlineLevel="0" collapsed="false">
      <c r="M966" s="1"/>
      <c r="N966" s="9"/>
    </row>
    <row r="967" customFormat="false" ht="15.75" hidden="false" customHeight="false" outlineLevel="0" collapsed="false">
      <c r="M967" s="1"/>
      <c r="N967" s="9"/>
    </row>
    <row r="968" customFormat="false" ht="15.75" hidden="false" customHeight="false" outlineLevel="0" collapsed="false">
      <c r="M968" s="1"/>
      <c r="N968" s="9"/>
    </row>
    <row r="969" customFormat="false" ht="15.75" hidden="false" customHeight="false" outlineLevel="0" collapsed="false">
      <c r="M969" s="1"/>
      <c r="N969" s="9"/>
    </row>
    <row r="970" customFormat="false" ht="15.75" hidden="false" customHeight="false" outlineLevel="0" collapsed="false">
      <c r="M970" s="1"/>
      <c r="N970" s="9"/>
    </row>
    <row r="971" customFormat="false" ht="15.75" hidden="false" customHeight="false" outlineLevel="0" collapsed="false">
      <c r="M971" s="1"/>
      <c r="N971" s="9"/>
    </row>
    <row r="972" customFormat="false" ht="15.75" hidden="false" customHeight="false" outlineLevel="0" collapsed="false">
      <c r="M972" s="1"/>
      <c r="N972" s="9"/>
    </row>
    <row r="973" customFormat="false" ht="15.75" hidden="false" customHeight="false" outlineLevel="0" collapsed="false">
      <c r="M973" s="1"/>
      <c r="N973" s="9"/>
    </row>
    <row r="974" customFormat="false" ht="15.75" hidden="false" customHeight="false" outlineLevel="0" collapsed="false">
      <c r="M974" s="1"/>
      <c r="N974" s="9"/>
    </row>
    <row r="975" customFormat="false" ht="15.75" hidden="false" customHeight="false" outlineLevel="0" collapsed="false">
      <c r="M975" s="1"/>
      <c r="N975" s="9"/>
    </row>
    <row r="976" customFormat="false" ht="15.75" hidden="false" customHeight="false" outlineLevel="0" collapsed="false">
      <c r="M976" s="1"/>
      <c r="N976" s="9"/>
    </row>
    <row r="977" customFormat="false" ht="15.75" hidden="false" customHeight="false" outlineLevel="0" collapsed="false">
      <c r="M977" s="1"/>
      <c r="N977" s="9"/>
    </row>
    <row r="978" customFormat="false" ht="15.75" hidden="false" customHeight="false" outlineLevel="0" collapsed="false">
      <c r="M978" s="1"/>
      <c r="N978" s="9"/>
    </row>
    <row r="979" customFormat="false" ht="15.75" hidden="false" customHeight="false" outlineLevel="0" collapsed="false">
      <c r="M979" s="1"/>
      <c r="N979" s="9"/>
    </row>
    <row r="980" customFormat="false" ht="15.75" hidden="false" customHeight="false" outlineLevel="0" collapsed="false">
      <c r="M980" s="1"/>
      <c r="N980" s="9"/>
    </row>
    <row r="981" customFormat="false" ht="15.75" hidden="false" customHeight="false" outlineLevel="0" collapsed="false">
      <c r="M981" s="1"/>
      <c r="N981" s="9"/>
    </row>
    <row r="982" customFormat="false" ht="15.75" hidden="false" customHeight="false" outlineLevel="0" collapsed="false">
      <c r="M982" s="1"/>
      <c r="N982" s="9"/>
    </row>
    <row r="983" customFormat="false" ht="15.75" hidden="false" customHeight="false" outlineLevel="0" collapsed="false">
      <c r="M983" s="1"/>
      <c r="N983" s="9"/>
    </row>
    <row r="984" customFormat="false" ht="15.75" hidden="false" customHeight="false" outlineLevel="0" collapsed="false">
      <c r="M984" s="1"/>
      <c r="N984" s="9"/>
    </row>
    <row r="985" customFormat="false" ht="15.75" hidden="false" customHeight="false" outlineLevel="0" collapsed="false">
      <c r="M985" s="1"/>
      <c r="N985" s="9"/>
    </row>
    <row r="986" customFormat="false" ht="15.75" hidden="false" customHeight="false" outlineLevel="0" collapsed="false">
      <c r="M986" s="1"/>
      <c r="N986" s="9"/>
    </row>
    <row r="987" customFormat="false" ht="15.75" hidden="false" customHeight="false" outlineLevel="0" collapsed="false">
      <c r="M987" s="1"/>
      <c r="N987" s="9"/>
    </row>
    <row r="988" customFormat="false" ht="15.75" hidden="false" customHeight="false" outlineLevel="0" collapsed="false">
      <c r="M988" s="1"/>
      <c r="N988" s="9"/>
    </row>
    <row r="989" customFormat="false" ht="15.75" hidden="false" customHeight="false" outlineLevel="0" collapsed="false">
      <c r="M989" s="1"/>
      <c r="N989" s="9"/>
    </row>
    <row r="990" customFormat="false" ht="15.75" hidden="false" customHeight="false" outlineLevel="0" collapsed="false">
      <c r="M990" s="1"/>
      <c r="N990" s="9"/>
    </row>
    <row r="991" customFormat="false" ht="15.75" hidden="false" customHeight="false" outlineLevel="0" collapsed="false">
      <c r="M991" s="1"/>
      <c r="N991" s="9"/>
    </row>
    <row r="992" customFormat="false" ht="15.75" hidden="false" customHeight="false" outlineLevel="0" collapsed="false">
      <c r="M992" s="1"/>
      <c r="N992" s="9"/>
    </row>
    <row r="993" customFormat="false" ht="15.75" hidden="false" customHeight="false" outlineLevel="0" collapsed="false">
      <c r="M993" s="1"/>
      <c r="N993" s="9"/>
    </row>
    <row r="994" customFormat="false" ht="15.75" hidden="false" customHeight="false" outlineLevel="0" collapsed="false">
      <c r="M994" s="1"/>
      <c r="N994" s="9"/>
    </row>
    <row r="995" customFormat="false" ht="15.75" hidden="false" customHeight="false" outlineLevel="0" collapsed="false">
      <c r="M995" s="1"/>
      <c r="N995" s="9"/>
    </row>
    <row r="996" customFormat="false" ht="15.75" hidden="false" customHeight="false" outlineLevel="0" collapsed="false">
      <c r="M996" s="1"/>
      <c r="N996" s="9"/>
    </row>
    <row r="997" customFormat="false" ht="15.75" hidden="false" customHeight="false" outlineLevel="0" collapsed="false">
      <c r="M997" s="1"/>
      <c r="N997" s="9"/>
    </row>
    <row r="998" customFormat="false" ht="15.75" hidden="false" customHeight="false" outlineLevel="0" collapsed="false">
      <c r="M998" s="1"/>
      <c r="N998" s="9"/>
    </row>
    <row r="999" customFormat="false" ht="15.75" hidden="false" customHeight="false" outlineLevel="0" collapsed="false">
      <c r="M999" s="1"/>
      <c r="N999" s="9"/>
    </row>
    <row r="1000" customFormat="false" ht="15.75" hidden="false" customHeight="false" outlineLevel="0" collapsed="false">
      <c r="M1000" s="1"/>
      <c r="N1000" s="9"/>
    </row>
    <row r="1001" customFormat="false" ht="15.75" hidden="false" customHeight="false" outlineLevel="0" collapsed="false">
      <c r="M1001" s="1"/>
      <c r="N1001" s="9"/>
    </row>
    <row r="1002" customFormat="false" ht="15.75" hidden="false" customHeight="false" outlineLevel="0" collapsed="false">
      <c r="M1002" s="1"/>
      <c r="N1002" s="9"/>
    </row>
    <row r="1003" customFormat="false" ht="15.75" hidden="false" customHeight="false" outlineLevel="0" collapsed="false">
      <c r="M1003" s="1"/>
      <c r="N1003" s="9"/>
    </row>
    <row r="1004" customFormat="false" ht="15.75" hidden="false" customHeight="false" outlineLevel="0" collapsed="false">
      <c r="M1004" s="1"/>
      <c r="N1004" s="9"/>
    </row>
    <row r="1005" customFormat="false" ht="15.75" hidden="false" customHeight="false" outlineLevel="0" collapsed="false">
      <c r="M1005" s="1"/>
      <c r="N1005" s="9"/>
    </row>
    <row r="1006" customFormat="false" ht="15.75" hidden="false" customHeight="false" outlineLevel="0" collapsed="false">
      <c r="M1006" s="1"/>
      <c r="N1006" s="9"/>
    </row>
    <row r="1007" customFormat="false" ht="15.75" hidden="false" customHeight="false" outlineLevel="0" collapsed="false">
      <c r="M1007" s="1"/>
      <c r="N1007" s="9"/>
    </row>
    <row r="1008" customFormat="false" ht="15.75" hidden="false" customHeight="false" outlineLevel="0" collapsed="false">
      <c r="M1008" s="1"/>
      <c r="N1008" s="9"/>
    </row>
    <row r="1009" customFormat="false" ht="15.75" hidden="false" customHeight="false" outlineLevel="0" collapsed="false">
      <c r="M1009" s="1"/>
      <c r="N1009" s="9"/>
    </row>
    <row r="1010" customFormat="false" ht="15.75" hidden="false" customHeight="false" outlineLevel="0" collapsed="false">
      <c r="M1010" s="1"/>
      <c r="N1010" s="9"/>
    </row>
    <row r="1011" customFormat="false" ht="15.75" hidden="false" customHeight="false" outlineLevel="0" collapsed="false">
      <c r="M1011" s="1"/>
      <c r="N1011" s="9"/>
    </row>
    <row r="1012" customFormat="false" ht="15.75" hidden="false" customHeight="false" outlineLevel="0" collapsed="false">
      <c r="M1012" s="1"/>
      <c r="N1012" s="9"/>
    </row>
  </sheetData>
  <autoFilter ref="A1:K23"/>
  <mergeCells count="2">
    <mergeCell ref="D25:K25"/>
    <mergeCell ref="D46:I46"/>
  </mergeCells>
  <conditionalFormatting sqref="D2:D24 D26:D44">
    <cfRule type="colorScale" priority="2">
      <colorScale>
        <cfvo type="formula" val="0"/>
        <cfvo type="formula" val="0.5"/>
        <cfvo type="formula" val="1"/>
        <color rgb="FFFFFFFF"/>
        <color rgb="FFF3BEB9"/>
        <color rgb="FFE67C73"/>
      </colorScale>
    </cfRule>
  </conditionalFormatting>
  <conditionalFormatting sqref="E2:J23 E26:J44">
    <cfRule type="colorScale" priority="3">
      <colorScale>
        <cfvo type="formula" val="1"/>
        <cfvo type="formula" val="3"/>
        <cfvo type="formula" val="5"/>
        <color rgb="FFEA9999"/>
        <color rgb="FFFFE599"/>
        <color rgb="FF9FC5E8"/>
      </colorScale>
    </cfRule>
  </conditionalFormatting>
  <conditionalFormatting sqref="E2:J23">
    <cfRule type="expression" priority="4" aboveAverage="0" equalAverage="0" bottom="0" percent="0" rank="0" text="" dxfId="65">
      <formula>E2=MAX(E$4:E$23)</formula>
    </cfRule>
  </conditionalFormatting>
  <conditionalFormatting sqref="E36:J40">
    <cfRule type="expression" priority="5" aboveAverage="0" equalAverage="0" bottom="0" percent="0" rank="0" text="" dxfId="65">
      <formula>E36=MAX(E$36:E$40)</formula>
    </cfRule>
  </conditionalFormatting>
  <conditionalFormatting sqref="E41:J44">
    <cfRule type="expression" priority="6" aboveAverage="0" equalAverage="0" bottom="0" percent="0" rank="0" text="" dxfId="65">
      <formula>E41=MAX(E$41:E$44)</formula>
    </cfRule>
  </conditionalFormatting>
  <conditionalFormatting sqref="N2:R11">
    <cfRule type="colorScale" priority="7">
      <colorScale>
        <cfvo type="formula" val="-1"/>
        <cfvo type="formula" val="0"/>
        <cfvo type="formula" val="1"/>
        <color rgb="FFE67C73"/>
        <color rgb="FFFFFFFF"/>
        <color rgb="FF57BB8A"/>
      </colorScale>
    </cfRule>
  </conditionalFormatting>
  <conditionalFormatting sqref="D47:D65">
    <cfRule type="colorScale" priority="8">
      <colorScale>
        <cfvo type="min" val="0"/>
        <cfvo type="max" val="0"/>
        <color rgb="FFFFFFFF"/>
        <color rgb="FFE67C73"/>
      </colorScale>
    </cfRule>
  </conditionalFormatting>
  <conditionalFormatting sqref="E47:I65">
    <cfRule type="colorScale" priority="9">
      <colorScale>
        <cfvo type="min" val="0"/>
        <cfvo type="percent" val="50"/>
        <cfvo type="max" val="0"/>
        <color rgb="FFFFFFFF"/>
        <color rgb="FFF3BEB9"/>
        <color rgb="FFE67C73"/>
      </colorScale>
    </cfRule>
  </conditionalFormatting>
  <conditionalFormatting sqref="E26:J35">
    <cfRule type="expression" priority="10" aboveAverage="0" equalAverage="0" bottom="0" percent="0" rank="0" text="" dxfId="65">
      <formula>E26=MAX(E$26:E$30)</formula>
    </cfRule>
  </conditionalFormatting>
  <dataValidations count="1">
    <dataValidation allowBlank="true" errorStyle="stop" operator="between" showDropDown="false" showErrorMessage="true" showInputMessage="false" sqref="C2:C23 C41:C44 C62:C65" type="list">
      <formula1>"5W1H,Base,CoT,tldr,Heading,Jeremy,Begoña,Alba,Naiara"</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28</v>
      </c>
      <c r="D1" s="44" t="s">
        <v>29</v>
      </c>
      <c r="E1" s="45"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6" t="s">
        <v>30</v>
      </c>
      <c r="B2" s="47" t="s">
        <v>31</v>
      </c>
      <c r="C2" s="5" t="s">
        <v>16</v>
      </c>
      <c r="D2" s="48" t="s">
        <v>32</v>
      </c>
      <c r="E2" s="49" t="n">
        <f aca="false">IFERROR(__xludf.dummyfunction("COUNTA(SPLIT(D2,"" ""))/COUNTA(SPLIT($B$2,"" ""))"),0.0354523227383863)</f>
        <v>0.03545232274</v>
      </c>
      <c r="F2" s="5" t="n">
        <v>5</v>
      </c>
      <c r="G2" s="5" t="n">
        <v>4</v>
      </c>
      <c r="H2" s="5" t="n">
        <v>5</v>
      </c>
      <c r="I2" s="5" t="n">
        <v>5</v>
      </c>
      <c r="J2" s="5" t="n">
        <v>3</v>
      </c>
      <c r="K2" s="50"/>
      <c r="L2" s="50"/>
      <c r="M2" s="50"/>
      <c r="N2" s="50"/>
      <c r="O2" s="50"/>
      <c r="P2" s="50"/>
      <c r="Q2" s="50"/>
      <c r="R2" s="50"/>
      <c r="S2" s="50"/>
      <c r="T2" s="50"/>
      <c r="U2" s="50"/>
      <c r="V2" s="50"/>
      <c r="W2" s="50"/>
      <c r="X2" s="50"/>
      <c r="Y2" s="50"/>
      <c r="Z2" s="50"/>
      <c r="AA2" s="50"/>
      <c r="AB2" s="50"/>
    </row>
    <row r="3" customFormat="false" ht="225" hidden="false" customHeight="true" outlineLevel="0" collapsed="false">
      <c r="A3" s="46"/>
      <c r="B3" s="46"/>
      <c r="C3" s="5" t="s">
        <v>33</v>
      </c>
      <c r="D3" s="48" t="s">
        <v>34</v>
      </c>
      <c r="E3" s="51" t="n">
        <f aca="false">IFERROR(__xludf.dummyfunction("COUNTA(SPLIT(D3,"" ""))/COUNTA(SPLIT($B$2,"" ""))"),0.160146699266504)</f>
        <v>0.1601466993</v>
      </c>
      <c r="F3" s="5"/>
      <c r="G3" s="5"/>
      <c r="H3" s="5"/>
      <c r="I3" s="5"/>
      <c r="J3" s="5"/>
      <c r="K3" s="50"/>
      <c r="L3" s="50"/>
      <c r="M3" s="50"/>
      <c r="N3" s="50"/>
      <c r="O3" s="50"/>
      <c r="P3" s="50"/>
      <c r="Q3" s="50"/>
      <c r="R3" s="50"/>
      <c r="S3" s="50"/>
      <c r="T3" s="50"/>
      <c r="U3" s="50"/>
      <c r="V3" s="50"/>
      <c r="W3" s="50"/>
      <c r="X3" s="50"/>
      <c r="Y3" s="50"/>
      <c r="Z3" s="50"/>
      <c r="AA3" s="50"/>
      <c r="AB3" s="50"/>
    </row>
    <row r="4" customFormat="false" ht="225" hidden="false" customHeight="true" outlineLevel="0" collapsed="false">
      <c r="A4" s="46"/>
      <c r="B4" s="46"/>
      <c r="C4" s="5"/>
      <c r="D4" s="48"/>
      <c r="E4" s="51" t="n">
        <f aca="false">IFERROR(__xludf.dummyfunction("COUNTA(SPLIT(D4,"" ""))/COUNTA(SPLIT($B$2,"" ""))"),0.00122249388753056)</f>
        <v>0.001222493888</v>
      </c>
      <c r="F4" s="5"/>
      <c r="G4" s="5"/>
      <c r="H4" s="5"/>
      <c r="I4" s="5"/>
      <c r="J4" s="5"/>
      <c r="K4" s="50"/>
      <c r="L4" s="50"/>
      <c r="M4" s="50"/>
      <c r="N4" s="50"/>
      <c r="O4" s="50"/>
      <c r="P4" s="50"/>
      <c r="Q4" s="50"/>
      <c r="R4" s="50"/>
      <c r="S4" s="50"/>
      <c r="T4" s="50"/>
      <c r="U4" s="50"/>
      <c r="V4" s="50"/>
      <c r="W4" s="50"/>
      <c r="X4" s="50"/>
      <c r="Y4" s="50"/>
      <c r="Z4" s="50"/>
      <c r="AA4" s="50"/>
      <c r="AB4" s="50"/>
    </row>
    <row r="5" customFormat="false" ht="225" hidden="false" customHeight="true" outlineLevel="0" collapsed="false">
      <c r="A5" s="46"/>
      <c r="B5" s="46"/>
      <c r="C5" s="5"/>
      <c r="D5" s="48"/>
      <c r="E5" s="51" t="n">
        <f aca="false">IFERROR(__xludf.dummyfunction("COUNTA(SPLIT(D5,"" ""))/COUNTA(SPLIT($B$2,"" ""))"),0.00122249388753056)</f>
        <v>0.001222493888</v>
      </c>
      <c r="F5" s="5"/>
      <c r="G5" s="5"/>
      <c r="H5" s="5"/>
      <c r="I5" s="5"/>
      <c r="J5" s="5"/>
      <c r="K5" s="50"/>
      <c r="L5" s="50"/>
      <c r="M5" s="50"/>
      <c r="N5" s="50"/>
      <c r="O5" s="50"/>
      <c r="P5" s="50"/>
      <c r="Q5" s="50"/>
      <c r="R5" s="50"/>
      <c r="S5" s="50"/>
      <c r="T5" s="50"/>
      <c r="U5" s="50"/>
      <c r="V5" s="50"/>
      <c r="W5" s="50"/>
      <c r="X5" s="50"/>
      <c r="Y5" s="50"/>
      <c r="Z5" s="50"/>
      <c r="AA5" s="50"/>
      <c r="AB5" s="50"/>
    </row>
    <row r="6" customFormat="false" ht="15.75" hidden="false" customHeight="false" outlineLevel="0" collapsed="false">
      <c r="A6" s="50"/>
      <c r="B6" s="50"/>
      <c r="C6" s="5"/>
      <c r="D6" s="48"/>
      <c r="E6" s="52"/>
      <c r="F6" s="5"/>
      <c r="G6" s="5"/>
      <c r="H6" s="5"/>
      <c r="I6" s="5"/>
      <c r="J6" s="5"/>
      <c r="K6" s="50"/>
      <c r="L6" s="50"/>
      <c r="M6" s="50"/>
      <c r="N6" s="50"/>
      <c r="O6" s="50"/>
      <c r="P6" s="50"/>
      <c r="Q6" s="50"/>
      <c r="R6" s="50"/>
      <c r="S6" s="50"/>
      <c r="T6" s="50"/>
      <c r="U6" s="50"/>
      <c r="V6" s="50"/>
      <c r="W6" s="50"/>
      <c r="X6" s="50"/>
      <c r="Y6" s="50"/>
      <c r="Z6" s="50"/>
      <c r="AA6" s="50"/>
      <c r="AB6" s="50"/>
    </row>
    <row r="7" customFormat="false" ht="225" hidden="false" customHeight="true" outlineLevel="0" collapsed="false">
      <c r="A7" s="53" t="s">
        <v>35</v>
      </c>
      <c r="B7" s="54" t="s">
        <v>36</v>
      </c>
      <c r="C7" s="55" t="s">
        <v>16</v>
      </c>
      <c r="D7" s="56" t="s">
        <v>37</v>
      </c>
      <c r="E7" s="57" t="n">
        <f aca="false">IFERROR(__xludf.dummyfunction("COUNTA(SPLIT(D7,"" ""))/COUNTA(SPLIT($B$7,"" ""))"),0.0875)</f>
        <v>0.0875</v>
      </c>
      <c r="F7" s="55" t="n">
        <v>3</v>
      </c>
      <c r="G7" s="55" t="n">
        <v>5</v>
      </c>
      <c r="H7" s="55" t="n">
        <v>5</v>
      </c>
      <c r="I7" s="55" t="n">
        <v>5</v>
      </c>
      <c r="J7" s="55" t="n">
        <v>3</v>
      </c>
      <c r="K7" s="58"/>
      <c r="L7" s="58"/>
      <c r="M7" s="58"/>
      <c r="N7" s="58"/>
      <c r="O7" s="58"/>
      <c r="P7" s="58"/>
      <c r="Q7" s="58"/>
      <c r="R7" s="58"/>
      <c r="S7" s="58"/>
      <c r="T7" s="58"/>
      <c r="U7" s="58"/>
      <c r="V7" s="58"/>
      <c r="W7" s="58"/>
      <c r="X7" s="58"/>
      <c r="Y7" s="58"/>
      <c r="Z7" s="58"/>
      <c r="AA7" s="58"/>
      <c r="AB7" s="58"/>
    </row>
    <row r="8" customFormat="false" ht="225" hidden="false" customHeight="true" outlineLevel="0" collapsed="false">
      <c r="A8" s="53"/>
      <c r="B8" s="53"/>
      <c r="C8" s="5" t="s">
        <v>33</v>
      </c>
      <c r="D8" s="48" t="s">
        <v>38</v>
      </c>
      <c r="E8" s="51" t="n">
        <f aca="false">IFERROR(__xludf.dummyfunction("COUNTA(SPLIT(D8,"" ""))/COUNTA(SPLIT($B$7,"" ""))"),0.179166666666667)</f>
        <v>0.1791666667</v>
      </c>
      <c r="F8" s="5"/>
      <c r="G8" s="5"/>
      <c r="H8" s="5"/>
      <c r="I8" s="5"/>
      <c r="J8" s="5"/>
      <c r="K8" s="50"/>
      <c r="L8" s="50"/>
      <c r="M8" s="50"/>
      <c r="N8" s="50"/>
      <c r="O8" s="50"/>
      <c r="P8" s="50"/>
      <c r="Q8" s="50"/>
      <c r="R8" s="50"/>
      <c r="S8" s="50"/>
      <c r="T8" s="50"/>
      <c r="U8" s="50"/>
      <c r="V8" s="50"/>
      <c r="W8" s="50"/>
      <c r="X8" s="50"/>
      <c r="Y8" s="50"/>
      <c r="Z8" s="50"/>
      <c r="AA8" s="50"/>
      <c r="AB8" s="50"/>
    </row>
    <row r="9" customFormat="false" ht="225" hidden="false" customHeight="true" outlineLevel="0" collapsed="false">
      <c r="A9" s="53"/>
      <c r="B9" s="53"/>
      <c r="C9" s="5"/>
      <c r="D9" s="48"/>
      <c r="E9" s="51" t="n">
        <f aca="false">IFERROR(__xludf.dummyfunction("COUNTA(SPLIT(D9,"" ""))/COUNTA(SPLIT($B$7,"" ""))"),0.00416666666666667)</f>
        <v>0.004166666667</v>
      </c>
      <c r="F9" s="5"/>
      <c r="G9" s="5"/>
      <c r="H9" s="5"/>
      <c r="I9" s="5"/>
      <c r="J9" s="5"/>
      <c r="K9" s="50"/>
      <c r="L9" s="50"/>
      <c r="M9" s="50"/>
      <c r="N9" s="50"/>
      <c r="O9" s="50"/>
      <c r="P9" s="50"/>
      <c r="Q9" s="50"/>
      <c r="R9" s="50"/>
      <c r="S9" s="50"/>
      <c r="T9" s="50"/>
      <c r="U9" s="50"/>
      <c r="V9" s="50"/>
      <c r="W9" s="50"/>
      <c r="X9" s="50"/>
      <c r="Y9" s="50"/>
      <c r="Z9" s="50"/>
      <c r="AA9" s="50"/>
      <c r="AB9" s="50"/>
    </row>
    <row r="10" customFormat="false" ht="225" hidden="false" customHeight="true" outlineLevel="0" collapsed="false">
      <c r="A10" s="53"/>
      <c r="B10" s="53"/>
      <c r="C10" s="5"/>
      <c r="D10" s="48"/>
      <c r="E10" s="51" t="n">
        <f aca="false">IFERROR(__xludf.dummyfunction("COUNTA(SPLIT(D10,"" ""))/COUNTA(SPLIT($B$7,"" ""))"),0.00416666666666667)</f>
        <v>0.004166666667</v>
      </c>
      <c r="F10" s="5"/>
      <c r="G10" s="5"/>
      <c r="H10" s="5"/>
      <c r="I10" s="5"/>
      <c r="J10" s="5"/>
      <c r="K10" s="50"/>
      <c r="L10" s="50"/>
      <c r="M10" s="50"/>
      <c r="N10" s="50"/>
      <c r="O10" s="50"/>
      <c r="P10" s="50"/>
      <c r="Q10" s="50"/>
      <c r="R10" s="50"/>
      <c r="S10" s="50"/>
      <c r="T10" s="50"/>
      <c r="U10" s="50"/>
      <c r="V10" s="50"/>
      <c r="W10" s="50"/>
      <c r="X10" s="50"/>
      <c r="Y10" s="50"/>
      <c r="Z10" s="50"/>
      <c r="AA10" s="50"/>
      <c r="AB10" s="50"/>
    </row>
    <row r="11" customFormat="false" ht="15.75" hidden="false" customHeight="false" outlineLevel="0" collapsed="false">
      <c r="A11" s="50"/>
      <c r="B11" s="50"/>
      <c r="C11" s="5"/>
      <c r="D11" s="48"/>
      <c r="E11" s="52"/>
      <c r="F11" s="5"/>
      <c r="G11" s="5"/>
      <c r="H11" s="5"/>
      <c r="I11" s="5"/>
      <c r="J11" s="5"/>
      <c r="K11" s="50"/>
      <c r="L11" s="50"/>
      <c r="M11" s="50"/>
      <c r="N11" s="50"/>
      <c r="O11" s="50"/>
      <c r="P11" s="50"/>
      <c r="Q11" s="50"/>
      <c r="R11" s="50"/>
      <c r="S11" s="50"/>
      <c r="T11" s="50"/>
      <c r="U11" s="50"/>
      <c r="V11" s="50"/>
      <c r="W11" s="50"/>
      <c r="X11" s="50"/>
      <c r="Y11" s="50"/>
      <c r="Z11" s="50"/>
      <c r="AA11" s="50"/>
      <c r="AB11" s="50"/>
    </row>
    <row r="12" customFormat="false" ht="225" hidden="false" customHeight="true" outlineLevel="0" collapsed="false">
      <c r="A12" s="53" t="s">
        <v>39</v>
      </c>
      <c r="B12" s="54" t="s">
        <v>40</v>
      </c>
      <c r="C12" s="55" t="s">
        <v>16</v>
      </c>
      <c r="D12" s="56" t="s">
        <v>41</v>
      </c>
      <c r="E12" s="59" t="n">
        <f aca="false">IFERROR(__xludf.dummyfunction("COUNTA(SPLIT(D12,"" ""))/COUNTA(SPLIT($B$12,"" ""))"),0.0745454545454545)</f>
        <v>0.07454545455</v>
      </c>
      <c r="F12" s="55" t="n">
        <v>4</v>
      </c>
      <c r="G12" s="55" t="n">
        <v>5</v>
      </c>
      <c r="H12" s="55" t="n">
        <v>5</v>
      </c>
      <c r="I12" s="55" t="n">
        <v>5</v>
      </c>
      <c r="J12" s="55" t="n">
        <v>4</v>
      </c>
      <c r="K12" s="58"/>
      <c r="L12" s="58"/>
      <c r="M12" s="58"/>
      <c r="N12" s="58"/>
      <c r="O12" s="58"/>
      <c r="P12" s="58"/>
      <c r="Q12" s="58"/>
      <c r="R12" s="58"/>
      <c r="S12" s="58"/>
      <c r="T12" s="58"/>
      <c r="U12" s="58"/>
      <c r="V12" s="58"/>
      <c r="W12" s="58"/>
      <c r="X12" s="58"/>
      <c r="Y12" s="58"/>
      <c r="Z12" s="58"/>
      <c r="AA12" s="58"/>
      <c r="AB12" s="58"/>
    </row>
    <row r="13" customFormat="false" ht="225" hidden="false" customHeight="true" outlineLevel="0" collapsed="false">
      <c r="A13" s="53"/>
      <c r="B13" s="53"/>
      <c r="C13" s="5" t="s">
        <v>33</v>
      </c>
      <c r="D13" s="48" t="s">
        <v>42</v>
      </c>
      <c r="E13" s="51" t="n">
        <f aca="false">IFERROR(__xludf.dummyfunction("COUNTA(SPLIT(D13,"" ""))/COUNTA(SPLIT($B$12,"" ""))"),0.256363636363636)</f>
        <v>0.2563636364</v>
      </c>
      <c r="F13" s="5"/>
      <c r="G13" s="5"/>
      <c r="H13" s="5"/>
      <c r="I13" s="5"/>
      <c r="J13" s="5"/>
      <c r="K13" s="50"/>
      <c r="L13" s="50"/>
      <c r="M13" s="50"/>
      <c r="N13" s="50"/>
      <c r="O13" s="50"/>
      <c r="P13" s="50"/>
      <c r="Q13" s="50"/>
      <c r="R13" s="50"/>
      <c r="S13" s="50"/>
      <c r="T13" s="50"/>
      <c r="U13" s="50"/>
      <c r="V13" s="50"/>
      <c r="W13" s="50"/>
      <c r="X13" s="50"/>
      <c r="Y13" s="50"/>
      <c r="Z13" s="50"/>
      <c r="AA13" s="50"/>
      <c r="AB13" s="50"/>
    </row>
    <row r="14" customFormat="false" ht="225" hidden="false" customHeight="true" outlineLevel="0" collapsed="false">
      <c r="A14" s="53"/>
      <c r="B14" s="53"/>
      <c r="C14" s="5"/>
      <c r="D14" s="48"/>
      <c r="E14" s="51" t="n">
        <f aca="false">IFERROR(__xludf.dummyfunction("COUNTA(SPLIT(D14,"" ""))/COUNTA(SPLIT($B$12,"" ""))"),0.00181818181818182)</f>
        <v>0.001818181818</v>
      </c>
      <c r="F14" s="5"/>
      <c r="G14" s="5"/>
      <c r="H14" s="5"/>
      <c r="I14" s="5"/>
      <c r="J14" s="5"/>
      <c r="K14" s="50"/>
      <c r="L14" s="50"/>
      <c r="M14" s="50"/>
      <c r="N14" s="50"/>
      <c r="O14" s="50"/>
      <c r="P14" s="50"/>
      <c r="Q14" s="50"/>
      <c r="R14" s="50"/>
      <c r="S14" s="50"/>
      <c r="T14" s="50"/>
      <c r="U14" s="50"/>
      <c r="V14" s="50"/>
      <c r="W14" s="50"/>
      <c r="X14" s="50"/>
      <c r="Y14" s="50"/>
      <c r="Z14" s="50"/>
      <c r="AA14" s="50"/>
      <c r="AB14" s="50"/>
    </row>
    <row r="15" customFormat="false" ht="225" hidden="false" customHeight="true" outlineLevel="0" collapsed="false">
      <c r="A15" s="53"/>
      <c r="B15" s="53"/>
      <c r="C15" s="5"/>
      <c r="D15" s="48"/>
      <c r="E15" s="51" t="n">
        <f aca="false">IFERROR(__xludf.dummyfunction("COUNTA(SPLIT(D15,"" ""))/COUNTA(SPLIT($B$12,"" ""))"),0.00181818181818182)</f>
        <v>0.001818181818</v>
      </c>
      <c r="F15" s="5"/>
      <c r="G15" s="5"/>
      <c r="H15" s="5"/>
      <c r="I15" s="5"/>
      <c r="J15" s="5"/>
      <c r="K15" s="50"/>
      <c r="L15" s="50"/>
      <c r="M15" s="50"/>
      <c r="N15" s="50"/>
      <c r="O15" s="50"/>
      <c r="P15" s="50"/>
      <c r="Q15" s="50"/>
      <c r="R15" s="50"/>
      <c r="S15" s="50"/>
      <c r="T15" s="50"/>
      <c r="U15" s="50"/>
      <c r="V15" s="50"/>
      <c r="W15" s="50"/>
      <c r="X15" s="50"/>
      <c r="Y15" s="50"/>
      <c r="Z15" s="50"/>
      <c r="AA15" s="50"/>
      <c r="AB15" s="50"/>
    </row>
    <row r="16" customFormat="false" ht="15.75" hidden="false" customHeight="false" outlineLevel="0" collapsed="false">
      <c r="A16" s="50"/>
      <c r="B16" s="50"/>
      <c r="C16" s="5"/>
      <c r="D16" s="48"/>
      <c r="E16" s="52"/>
      <c r="F16" s="5"/>
      <c r="G16" s="5"/>
      <c r="H16" s="5"/>
      <c r="I16" s="5"/>
      <c r="J16" s="5"/>
      <c r="K16" s="50"/>
      <c r="L16" s="50"/>
      <c r="M16" s="50"/>
      <c r="N16" s="50"/>
      <c r="O16" s="50"/>
      <c r="P16" s="50"/>
      <c r="Q16" s="50"/>
      <c r="R16" s="50"/>
      <c r="S16" s="50"/>
      <c r="T16" s="50"/>
      <c r="U16" s="50"/>
      <c r="V16" s="50"/>
      <c r="W16" s="50"/>
      <c r="X16" s="50"/>
      <c r="Y16" s="50"/>
      <c r="Z16" s="50"/>
      <c r="AA16" s="50"/>
      <c r="AB16" s="50"/>
    </row>
    <row r="17" customFormat="false" ht="225" hidden="false" customHeight="true" outlineLevel="0" collapsed="false">
      <c r="A17" s="53" t="s">
        <v>43</v>
      </c>
      <c r="B17" s="54" t="s">
        <v>44</v>
      </c>
      <c r="C17" s="55" t="s">
        <v>16</v>
      </c>
      <c r="D17" s="56" t="s">
        <v>45</v>
      </c>
      <c r="E17" s="60" t="n">
        <f aca="false">IFERROR(__xludf.dummyfunction("COUNTA(SPLIT(D17,"" ""))/COUNTA(SPLIT($B$17,"" ""))"),0.06158357771261)</f>
        <v>0.06158357771</v>
      </c>
      <c r="F17" s="55" t="n">
        <v>3</v>
      </c>
      <c r="G17" s="55" t="n">
        <v>5</v>
      </c>
      <c r="H17" s="55" t="n">
        <v>5</v>
      </c>
      <c r="I17" s="55" t="n">
        <v>5</v>
      </c>
      <c r="J17" s="55" t="n">
        <v>3</v>
      </c>
      <c r="K17" s="58"/>
      <c r="L17" s="58"/>
      <c r="M17" s="58"/>
      <c r="N17" s="58"/>
      <c r="O17" s="58"/>
      <c r="P17" s="58"/>
      <c r="Q17" s="58"/>
      <c r="R17" s="58"/>
      <c r="S17" s="58"/>
      <c r="T17" s="58"/>
      <c r="U17" s="58"/>
      <c r="V17" s="58"/>
      <c r="W17" s="58"/>
      <c r="X17" s="58"/>
      <c r="Y17" s="58"/>
      <c r="Z17" s="58"/>
      <c r="AA17" s="58"/>
      <c r="AB17" s="58"/>
    </row>
    <row r="18" customFormat="false" ht="225" hidden="false" customHeight="true" outlineLevel="0" collapsed="false">
      <c r="A18" s="53"/>
      <c r="B18" s="53"/>
      <c r="C18" s="5" t="s">
        <v>33</v>
      </c>
      <c r="D18" s="48" t="s">
        <v>46</v>
      </c>
      <c r="E18" s="51" t="n">
        <f aca="false">IFERROR(__xludf.dummyfunction("COUNTA(SPLIT(D18,"" ""))/COUNTA(SPLIT($B$17,"" ""))"),0.442815249266862)</f>
        <v>0.4428152493</v>
      </c>
      <c r="F18" s="5"/>
      <c r="G18" s="5"/>
      <c r="H18" s="5"/>
      <c r="I18" s="5"/>
      <c r="J18" s="5"/>
      <c r="K18" s="50"/>
      <c r="L18" s="50"/>
      <c r="M18" s="50"/>
      <c r="N18" s="50"/>
      <c r="O18" s="50"/>
      <c r="P18" s="50"/>
      <c r="Q18" s="50"/>
      <c r="R18" s="50"/>
      <c r="S18" s="50"/>
      <c r="T18" s="50"/>
      <c r="U18" s="50"/>
      <c r="V18" s="50"/>
      <c r="W18" s="50"/>
      <c r="X18" s="50"/>
      <c r="Y18" s="50"/>
      <c r="Z18" s="50"/>
      <c r="AA18" s="50"/>
      <c r="AB18" s="50"/>
    </row>
    <row r="19" customFormat="false" ht="225" hidden="false" customHeight="true" outlineLevel="0" collapsed="false">
      <c r="A19" s="53"/>
      <c r="B19" s="53"/>
      <c r="C19" s="5"/>
      <c r="D19" s="48"/>
      <c r="E19" s="51" t="n">
        <f aca="false">IFERROR(__xludf.dummyfunction("COUNTA(SPLIT(D19,"" ""))/COUNTA(SPLIT($B$17,"" ""))"),0.00293255131964809)</f>
        <v>0.00293255132</v>
      </c>
      <c r="F19" s="5"/>
      <c r="G19" s="5"/>
      <c r="H19" s="5"/>
      <c r="I19" s="5"/>
      <c r="J19" s="5"/>
      <c r="K19" s="50"/>
      <c r="L19" s="50"/>
      <c r="M19" s="50"/>
      <c r="N19" s="50"/>
      <c r="O19" s="50"/>
      <c r="P19" s="50"/>
      <c r="Q19" s="50"/>
      <c r="R19" s="50"/>
      <c r="S19" s="50"/>
      <c r="T19" s="50"/>
      <c r="U19" s="50"/>
      <c r="V19" s="50"/>
      <c r="W19" s="50"/>
      <c r="X19" s="50"/>
      <c r="Y19" s="50"/>
      <c r="Z19" s="50"/>
      <c r="AA19" s="50"/>
      <c r="AB19" s="50"/>
    </row>
    <row r="20" customFormat="false" ht="225" hidden="false" customHeight="true" outlineLevel="0" collapsed="false">
      <c r="A20" s="53"/>
      <c r="B20" s="53"/>
      <c r="C20" s="5"/>
      <c r="D20" s="48"/>
      <c r="E20" s="51" t="n">
        <f aca="false">IFERROR(__xludf.dummyfunction("COUNTA(SPLIT(D20,"" ""))/COUNTA(SPLIT($B$17,"" ""))"),0.00293255131964809)</f>
        <v>0.00293255132</v>
      </c>
      <c r="F20" s="5"/>
      <c r="G20" s="5"/>
      <c r="H20" s="5"/>
      <c r="I20" s="5"/>
      <c r="J20" s="5"/>
      <c r="K20" s="50"/>
      <c r="L20" s="50"/>
      <c r="M20" s="50"/>
      <c r="N20" s="50"/>
      <c r="O20" s="50"/>
      <c r="P20" s="50"/>
      <c r="Q20" s="50"/>
      <c r="R20" s="50"/>
      <c r="S20" s="50"/>
      <c r="T20" s="50"/>
      <c r="U20" s="50"/>
      <c r="V20" s="50"/>
      <c r="W20" s="50"/>
      <c r="X20" s="50"/>
      <c r="Y20" s="50"/>
      <c r="Z20" s="50"/>
      <c r="AA20" s="50"/>
      <c r="AB20" s="50"/>
    </row>
    <row r="21" customFormat="false" ht="15.75" hidden="false" customHeight="false" outlineLevel="0" collapsed="false">
      <c r="A21" s="50"/>
      <c r="B21" s="50"/>
      <c r="C21" s="5"/>
      <c r="D21" s="48"/>
      <c r="E21" s="52"/>
      <c r="F21" s="5"/>
      <c r="G21" s="5"/>
      <c r="H21" s="5"/>
      <c r="I21" s="5"/>
      <c r="J21" s="5"/>
      <c r="K21" s="50"/>
      <c r="L21" s="50"/>
      <c r="M21" s="50"/>
      <c r="N21" s="50"/>
      <c r="O21" s="50"/>
      <c r="P21" s="50"/>
      <c r="Q21" s="50"/>
      <c r="R21" s="50"/>
      <c r="S21" s="50"/>
      <c r="T21" s="50"/>
      <c r="U21" s="50"/>
      <c r="V21" s="50"/>
      <c r="W21" s="50"/>
      <c r="X21" s="50"/>
      <c r="Y21" s="50"/>
      <c r="Z21" s="50"/>
      <c r="AA21" s="50"/>
      <c r="AB21" s="50"/>
    </row>
    <row r="22" customFormat="false" ht="225" hidden="false" customHeight="true" outlineLevel="0" collapsed="false">
      <c r="A22" s="53" t="s">
        <v>47</v>
      </c>
      <c r="B22" s="54" t="s">
        <v>48</v>
      </c>
      <c r="C22" s="55" t="s">
        <v>16</v>
      </c>
      <c r="D22" s="56" t="s">
        <v>49</v>
      </c>
      <c r="E22" s="61" t="n">
        <f aca="false">IFERROR(__xludf.dummyfunction("COUNTA(SPLIT(D22,"" ""))/COUNTA(SPLIT($B$22,"" ""))"),0.0653266331658292)</f>
        <v>0.06532663317</v>
      </c>
      <c r="F22" s="55" t="n">
        <v>3</v>
      </c>
      <c r="G22" s="55" t="n">
        <v>5</v>
      </c>
      <c r="H22" s="55" t="n">
        <v>5</v>
      </c>
      <c r="I22" s="55" t="n">
        <v>5</v>
      </c>
      <c r="J22" s="55" t="n">
        <v>3</v>
      </c>
      <c r="K22" s="58"/>
      <c r="L22" s="58"/>
      <c r="M22" s="58"/>
      <c r="N22" s="58"/>
      <c r="O22" s="58"/>
      <c r="P22" s="58"/>
      <c r="Q22" s="58"/>
      <c r="R22" s="58"/>
      <c r="S22" s="58"/>
      <c r="T22" s="58"/>
      <c r="U22" s="58"/>
      <c r="V22" s="58"/>
      <c r="W22" s="58"/>
      <c r="X22" s="58"/>
      <c r="Y22" s="58"/>
      <c r="Z22" s="58"/>
      <c r="AA22" s="58"/>
      <c r="AB22" s="58"/>
    </row>
    <row r="23" customFormat="false" ht="225" hidden="false" customHeight="true" outlineLevel="0" collapsed="false">
      <c r="A23" s="53"/>
      <c r="B23" s="53"/>
      <c r="C23" s="5" t="s">
        <v>33</v>
      </c>
      <c r="D23" s="48" t="s">
        <v>50</v>
      </c>
      <c r="E23" s="51" t="n">
        <f aca="false">IFERROR(__xludf.dummyfunction("COUNTA(SPLIT(D23,"" ""))/COUNTA(SPLIT($B$22,"" ""))"),0.198492462311558)</f>
        <v>0.1984924623</v>
      </c>
      <c r="F23" s="5"/>
      <c r="G23" s="5"/>
      <c r="H23" s="5"/>
      <c r="I23" s="5"/>
      <c r="J23" s="5"/>
      <c r="K23" s="50"/>
      <c r="L23" s="50"/>
      <c r="M23" s="50"/>
      <c r="N23" s="50"/>
      <c r="O23" s="50"/>
      <c r="P23" s="50"/>
      <c r="Q23" s="50"/>
      <c r="R23" s="50"/>
      <c r="S23" s="50"/>
      <c r="T23" s="50"/>
      <c r="U23" s="50"/>
      <c r="V23" s="50"/>
      <c r="W23" s="50"/>
      <c r="X23" s="50"/>
      <c r="Y23" s="50"/>
      <c r="Z23" s="50"/>
      <c r="AA23" s="50"/>
      <c r="AB23" s="50"/>
    </row>
    <row r="24" customFormat="false" ht="225" hidden="false" customHeight="true" outlineLevel="0" collapsed="false">
      <c r="A24" s="53"/>
      <c r="B24" s="53"/>
      <c r="C24" s="5"/>
      <c r="D24" s="48"/>
      <c r="E24" s="51" t="n">
        <f aca="false">IFERROR(__xludf.dummyfunction("COUNTA(SPLIT(D24,"" ""))/COUNTA(SPLIT($B$22,"" ""))"),0.00251256281407035)</f>
        <v>0.002512562814</v>
      </c>
      <c r="F24" s="5"/>
      <c r="G24" s="5"/>
      <c r="H24" s="5"/>
      <c r="I24" s="5"/>
      <c r="J24" s="5"/>
      <c r="K24" s="50"/>
      <c r="L24" s="50"/>
      <c r="M24" s="50"/>
      <c r="N24" s="50"/>
      <c r="O24" s="50"/>
      <c r="P24" s="50"/>
      <c r="Q24" s="50"/>
      <c r="R24" s="50"/>
      <c r="S24" s="50"/>
      <c r="T24" s="50"/>
      <c r="U24" s="50"/>
      <c r="V24" s="50"/>
      <c r="W24" s="50"/>
      <c r="X24" s="50"/>
      <c r="Y24" s="50"/>
      <c r="Z24" s="50"/>
      <c r="AA24" s="50"/>
      <c r="AB24" s="50"/>
    </row>
    <row r="25" customFormat="false" ht="225" hidden="false" customHeight="true" outlineLevel="0" collapsed="false">
      <c r="A25" s="53"/>
      <c r="B25" s="53"/>
      <c r="C25" s="5"/>
      <c r="D25" s="48"/>
      <c r="E25" s="51" t="n">
        <f aca="false">IFERROR(__xludf.dummyfunction("COUNTA(SPLIT(D25,"" ""))/COUNTA(SPLIT($B$22,"" ""))"),0.00251256281407035)</f>
        <v>0.002512562814</v>
      </c>
      <c r="F25" s="5"/>
      <c r="G25" s="5"/>
      <c r="H25" s="5"/>
      <c r="I25" s="5"/>
      <c r="J25" s="5"/>
      <c r="K25" s="50"/>
      <c r="L25" s="50"/>
      <c r="M25" s="50"/>
      <c r="N25" s="50"/>
      <c r="O25" s="50"/>
      <c r="P25" s="50"/>
      <c r="Q25" s="50"/>
      <c r="R25" s="50"/>
      <c r="S25" s="50"/>
      <c r="T25" s="50"/>
      <c r="U25" s="50"/>
      <c r="V25" s="50"/>
      <c r="W25" s="50"/>
      <c r="X25" s="50"/>
      <c r="Y25" s="50"/>
      <c r="Z25" s="50"/>
      <c r="AA25" s="50"/>
      <c r="AB25" s="50"/>
    </row>
    <row r="26" customFormat="false" ht="15.75" hidden="false" customHeight="false" outlineLevel="0" collapsed="false">
      <c r="A26" s="50"/>
      <c r="B26" s="50"/>
      <c r="C26" s="5"/>
      <c r="D26" s="48"/>
      <c r="E26" s="52"/>
      <c r="F26" s="5"/>
      <c r="G26" s="5"/>
      <c r="H26" s="5"/>
      <c r="I26" s="5"/>
      <c r="J26" s="5"/>
      <c r="K26" s="50"/>
      <c r="L26" s="50"/>
      <c r="M26" s="50"/>
      <c r="N26" s="50"/>
      <c r="O26" s="50"/>
      <c r="P26" s="50"/>
      <c r="Q26" s="50"/>
      <c r="R26" s="50"/>
      <c r="S26" s="50"/>
      <c r="T26" s="50"/>
      <c r="U26" s="50"/>
      <c r="V26" s="50"/>
      <c r="W26" s="50"/>
      <c r="X26" s="50"/>
      <c r="Y26" s="50"/>
      <c r="Z26" s="50"/>
      <c r="AA26" s="50"/>
      <c r="AB26" s="50"/>
    </row>
    <row r="27" customFormat="false" ht="225" hidden="false" customHeight="true" outlineLevel="0" collapsed="false">
      <c r="A27" s="53" t="s">
        <v>51</v>
      </c>
      <c r="B27" s="54" t="s">
        <v>52</v>
      </c>
      <c r="C27" s="55" t="s">
        <v>16</v>
      </c>
      <c r="D27" s="56" t="s">
        <v>53</v>
      </c>
      <c r="E27" s="60" t="n">
        <f aca="false">IFERROR(__xludf.dummyfunction("COUNTA(SPLIT(D27,"" ""))/COUNTA(SPLIT($B$27,"" ""))"),0.0879765395894428)</f>
        <v>0.08797653959</v>
      </c>
      <c r="F27" s="55" t="n">
        <v>3</v>
      </c>
      <c r="G27" s="55" t="n">
        <v>5</v>
      </c>
      <c r="H27" s="55" t="n">
        <v>5</v>
      </c>
      <c r="I27" s="55" t="n">
        <v>5</v>
      </c>
      <c r="J27" s="55" t="n">
        <v>4</v>
      </c>
      <c r="K27" s="58"/>
      <c r="L27" s="58"/>
      <c r="M27" s="58"/>
      <c r="N27" s="58"/>
      <c r="O27" s="58"/>
      <c r="P27" s="58"/>
      <c r="Q27" s="58"/>
      <c r="R27" s="58"/>
      <c r="S27" s="58"/>
      <c r="T27" s="58"/>
      <c r="U27" s="58"/>
      <c r="V27" s="58"/>
      <c r="W27" s="58"/>
      <c r="X27" s="58"/>
      <c r="Y27" s="58"/>
      <c r="Z27" s="58"/>
      <c r="AA27" s="58"/>
      <c r="AB27" s="58"/>
    </row>
    <row r="28" customFormat="false" ht="225" hidden="false" customHeight="true" outlineLevel="0" collapsed="false">
      <c r="A28" s="53"/>
      <c r="B28" s="53"/>
      <c r="C28" s="5" t="s">
        <v>33</v>
      </c>
      <c r="D28" s="48" t="s">
        <v>54</v>
      </c>
      <c r="E28" s="62" t="n">
        <f aca="false">IFERROR(__xludf.dummyfunction("COUNTA(SPLIT(D28,"" ""))/COUNTA(SPLIT($B$27,"" ""))"),0.519061583577713)</f>
        <v>0.5190615836</v>
      </c>
      <c r="F28" s="5"/>
      <c r="G28" s="5"/>
      <c r="H28" s="5"/>
      <c r="I28" s="5"/>
      <c r="J28" s="5"/>
      <c r="K28" s="50"/>
      <c r="L28" s="50"/>
      <c r="M28" s="50"/>
      <c r="N28" s="50"/>
      <c r="O28" s="50"/>
      <c r="P28" s="50"/>
      <c r="Q28" s="50"/>
      <c r="R28" s="50"/>
      <c r="S28" s="50"/>
      <c r="T28" s="50"/>
      <c r="U28" s="50"/>
      <c r="V28" s="50"/>
      <c r="W28" s="50"/>
      <c r="X28" s="50"/>
      <c r="Y28" s="50"/>
      <c r="Z28" s="50"/>
      <c r="AA28" s="50"/>
      <c r="AB28" s="50"/>
    </row>
    <row r="29" customFormat="false" ht="225" hidden="false" customHeight="true" outlineLevel="0" collapsed="false">
      <c r="A29" s="53"/>
      <c r="B29" s="53"/>
      <c r="C29" s="5"/>
      <c r="D29" s="48"/>
      <c r="E29" s="62" t="n">
        <f aca="false">IFERROR(__xludf.dummyfunction("COUNTA(SPLIT(D29,"" ""))/COUNTA(SPLIT($B$27,"" ""))"),0.00293255131964809)</f>
        <v>0.00293255132</v>
      </c>
      <c r="F29" s="5"/>
      <c r="G29" s="5"/>
      <c r="H29" s="5"/>
      <c r="I29" s="5"/>
      <c r="J29" s="5"/>
      <c r="K29" s="50"/>
      <c r="L29" s="50"/>
      <c r="M29" s="50"/>
      <c r="N29" s="50"/>
      <c r="O29" s="50"/>
      <c r="P29" s="50"/>
      <c r="Q29" s="50"/>
      <c r="R29" s="50"/>
      <c r="S29" s="50"/>
      <c r="T29" s="50"/>
      <c r="U29" s="50"/>
      <c r="V29" s="50"/>
      <c r="W29" s="50"/>
      <c r="X29" s="50"/>
      <c r="Y29" s="50"/>
      <c r="Z29" s="50"/>
      <c r="AA29" s="50"/>
      <c r="AB29" s="50"/>
    </row>
    <row r="30" customFormat="false" ht="225" hidden="false" customHeight="true" outlineLevel="0" collapsed="false">
      <c r="A30" s="53"/>
      <c r="B30" s="53"/>
      <c r="C30" s="5"/>
      <c r="D30" s="48"/>
      <c r="E30" s="62" t="n">
        <f aca="false">IFERROR(__xludf.dummyfunction("COUNTA(SPLIT(D30,"" ""))/COUNTA(SPLIT($B$27,"" ""))"),0.00293255131964809)</f>
        <v>0.00293255132</v>
      </c>
      <c r="F30" s="5"/>
      <c r="G30" s="5"/>
      <c r="H30" s="5"/>
      <c r="I30" s="5"/>
      <c r="J30" s="5"/>
      <c r="K30" s="50"/>
      <c r="L30" s="50"/>
      <c r="M30" s="50"/>
      <c r="N30" s="50"/>
      <c r="O30" s="50"/>
      <c r="P30" s="50"/>
      <c r="Q30" s="50"/>
      <c r="R30" s="50"/>
      <c r="S30" s="50"/>
      <c r="T30" s="50"/>
      <c r="U30" s="50"/>
      <c r="V30" s="50"/>
      <c r="W30" s="50"/>
      <c r="X30" s="50"/>
      <c r="Y30" s="50"/>
      <c r="Z30" s="50"/>
      <c r="AA30" s="50"/>
      <c r="AB30" s="50"/>
    </row>
    <row r="31" customFormat="false" ht="15.75" hidden="false" customHeight="false" outlineLevel="0" collapsed="false">
      <c r="A31" s="50"/>
      <c r="B31" s="50"/>
      <c r="C31" s="5"/>
      <c r="D31" s="48"/>
      <c r="E31" s="52"/>
      <c r="F31" s="5"/>
      <c r="G31" s="5"/>
      <c r="H31" s="5"/>
      <c r="I31" s="5"/>
      <c r="J31" s="5"/>
      <c r="K31" s="50"/>
      <c r="L31" s="50"/>
      <c r="M31" s="50"/>
      <c r="N31" s="50"/>
      <c r="O31" s="50"/>
      <c r="P31" s="50"/>
      <c r="Q31" s="50"/>
      <c r="R31" s="50"/>
      <c r="S31" s="50"/>
      <c r="T31" s="50"/>
      <c r="U31" s="50"/>
      <c r="V31" s="50"/>
      <c r="W31" s="50"/>
      <c r="X31" s="50"/>
      <c r="Y31" s="50"/>
      <c r="Z31" s="50"/>
      <c r="AA31" s="50"/>
      <c r="AB31" s="50"/>
    </row>
    <row r="32" customFormat="false" ht="225" hidden="false" customHeight="true" outlineLevel="0" collapsed="false">
      <c r="A32" s="53" t="s">
        <v>55</v>
      </c>
      <c r="B32" s="54" t="s">
        <v>56</v>
      </c>
      <c r="C32" s="55" t="s">
        <v>16</v>
      </c>
      <c r="D32" s="56" t="s">
        <v>57</v>
      </c>
      <c r="E32" s="63" t="n">
        <f aca="false">IFERROR(__xludf.dummyfunction("COUNTA(SPLIT(D32,"" ""))/COUNTA(SPLIT($B$32,"" ""))"),0.0665529010238908)</f>
        <v>0.06655290102</v>
      </c>
      <c r="F32" s="55" t="n">
        <v>4</v>
      </c>
      <c r="G32" s="55" t="n">
        <v>4</v>
      </c>
      <c r="H32" s="55" t="n">
        <v>5</v>
      </c>
      <c r="I32" s="55" t="n">
        <v>5</v>
      </c>
      <c r="J32" s="55" t="n">
        <v>5</v>
      </c>
      <c r="K32" s="58"/>
      <c r="L32" s="58"/>
      <c r="M32" s="58"/>
      <c r="N32" s="58"/>
      <c r="O32" s="58"/>
      <c r="P32" s="58"/>
      <c r="Q32" s="58"/>
      <c r="R32" s="58"/>
      <c r="S32" s="58"/>
      <c r="T32" s="58"/>
      <c r="U32" s="58"/>
      <c r="V32" s="58"/>
      <c r="W32" s="58"/>
      <c r="X32" s="58"/>
      <c r="Y32" s="58"/>
      <c r="Z32" s="58"/>
      <c r="AA32" s="58"/>
      <c r="AB32" s="58"/>
    </row>
    <row r="33" customFormat="false" ht="225" hidden="false" customHeight="true" outlineLevel="0" collapsed="false">
      <c r="A33" s="53"/>
      <c r="B33" s="53"/>
      <c r="C33" s="5" t="s">
        <v>33</v>
      </c>
      <c r="D33" s="48" t="s">
        <v>58</v>
      </c>
      <c r="E33" s="64" t="n">
        <f aca="false">IFERROR(__xludf.dummyfunction("COUNTA(SPLIT(D33,"" ""))/COUNTA(SPLIT($B$32,"" ""))"),0.242320819112628)</f>
        <v>0.2423208191</v>
      </c>
      <c r="F33" s="5"/>
      <c r="G33" s="5"/>
      <c r="H33" s="5"/>
      <c r="I33" s="5"/>
      <c r="J33" s="5"/>
      <c r="K33" s="50"/>
      <c r="L33" s="50"/>
      <c r="M33" s="50"/>
      <c r="N33" s="50"/>
      <c r="O33" s="50"/>
      <c r="P33" s="50"/>
      <c r="Q33" s="50"/>
      <c r="R33" s="50"/>
      <c r="S33" s="50"/>
      <c r="T33" s="50"/>
      <c r="U33" s="50"/>
      <c r="V33" s="50"/>
      <c r="W33" s="50"/>
      <c r="X33" s="50"/>
      <c r="Y33" s="50"/>
      <c r="Z33" s="50"/>
      <c r="AA33" s="50"/>
      <c r="AB33" s="50"/>
    </row>
    <row r="34" customFormat="false" ht="225" hidden="false" customHeight="true" outlineLevel="0" collapsed="false">
      <c r="A34" s="53"/>
      <c r="B34" s="65"/>
      <c r="C34" s="5"/>
      <c r="D34" s="48"/>
      <c r="E34" s="64" t="n">
        <f aca="false">IFERROR(__xludf.dummyfunction("COUNTA(SPLIT(D34,"" ""))/COUNTA(SPLIT($B$32,"" ""))"),0.00170648464163823)</f>
        <v>0.001706484642</v>
      </c>
      <c r="F34" s="5"/>
      <c r="G34" s="5"/>
      <c r="H34" s="5"/>
      <c r="I34" s="5"/>
      <c r="J34" s="5"/>
      <c r="K34" s="50"/>
      <c r="L34" s="50"/>
      <c r="M34" s="50"/>
      <c r="N34" s="50"/>
      <c r="O34" s="50"/>
      <c r="P34" s="50"/>
      <c r="Q34" s="50"/>
      <c r="R34" s="50"/>
      <c r="S34" s="50"/>
      <c r="T34" s="50"/>
      <c r="U34" s="50"/>
      <c r="V34" s="50"/>
      <c r="W34" s="50"/>
      <c r="X34" s="50"/>
      <c r="Y34" s="50"/>
      <c r="Z34" s="50"/>
      <c r="AA34" s="50"/>
      <c r="AB34" s="50"/>
    </row>
    <row r="35" customFormat="false" ht="225" hidden="false" customHeight="true" outlineLevel="0" collapsed="false">
      <c r="A35" s="53"/>
      <c r="B35" s="65"/>
      <c r="C35" s="5"/>
      <c r="D35" s="48"/>
      <c r="E35" s="64" t="n">
        <f aca="false">IFERROR(__xludf.dummyfunction("COUNTA(SPLIT(D35,"" ""))/COUNTA(SPLIT($B$32,"" ""))"),0.00170648464163823)</f>
        <v>0.001706484642</v>
      </c>
      <c r="F35" s="5"/>
      <c r="G35" s="5"/>
      <c r="H35" s="5"/>
      <c r="I35" s="5"/>
      <c r="J35" s="5"/>
      <c r="K35" s="50"/>
      <c r="L35" s="50"/>
      <c r="M35" s="50"/>
      <c r="N35" s="50"/>
      <c r="O35" s="50"/>
      <c r="P35" s="50"/>
      <c r="Q35" s="50"/>
      <c r="R35" s="50"/>
      <c r="S35" s="50"/>
      <c r="T35" s="50"/>
      <c r="U35" s="50"/>
      <c r="V35" s="50"/>
      <c r="W35" s="50"/>
      <c r="X35" s="50"/>
      <c r="Y35" s="50"/>
      <c r="Z35" s="50"/>
      <c r="AA35" s="50"/>
      <c r="AB35" s="50"/>
    </row>
    <row r="36" customFormat="false" ht="15.75" hidden="false" customHeight="false" outlineLevel="0" collapsed="false">
      <c r="A36" s="50"/>
      <c r="B36" s="50"/>
      <c r="C36" s="5"/>
      <c r="D36" s="48"/>
      <c r="E36" s="52"/>
      <c r="F36" s="5"/>
      <c r="G36" s="5"/>
      <c r="H36" s="5"/>
      <c r="I36" s="5"/>
      <c r="J36" s="5"/>
      <c r="K36" s="50"/>
      <c r="L36" s="50"/>
      <c r="M36" s="50"/>
      <c r="N36" s="50"/>
      <c r="O36" s="50"/>
      <c r="P36" s="50"/>
      <c r="Q36" s="50"/>
      <c r="R36" s="50"/>
      <c r="S36" s="50"/>
      <c r="T36" s="50"/>
      <c r="U36" s="50"/>
      <c r="V36" s="50"/>
      <c r="W36" s="50"/>
      <c r="X36" s="50"/>
      <c r="Y36" s="50"/>
      <c r="Z36" s="50"/>
      <c r="AA36" s="50"/>
      <c r="AB36" s="50"/>
    </row>
    <row r="37" customFormat="false" ht="225" hidden="false" customHeight="true" outlineLevel="0" collapsed="false">
      <c r="A37" s="53" t="s">
        <v>59</v>
      </c>
      <c r="B37" s="54" t="s">
        <v>60</v>
      </c>
      <c r="C37" s="55" t="s">
        <v>16</v>
      </c>
      <c r="D37" s="56" t="s">
        <v>61</v>
      </c>
      <c r="E37" s="66" t="n">
        <f aca="false">IFERROR(__xludf.dummyfunction("COUNTA(SPLIT(D37,"" ""))/COUNTA(SPLIT($B$37,"" ""))"),0.0697050938337802)</f>
        <v>0.06970509383</v>
      </c>
      <c r="F37" s="55" t="n">
        <v>3</v>
      </c>
      <c r="G37" s="55" t="n">
        <v>5</v>
      </c>
      <c r="H37" s="55" t="n">
        <v>5</v>
      </c>
      <c r="I37" s="55" t="n">
        <v>3</v>
      </c>
      <c r="J37" s="55" t="n">
        <v>2</v>
      </c>
      <c r="K37" s="58"/>
      <c r="L37" s="58"/>
      <c r="M37" s="58"/>
      <c r="N37" s="58"/>
      <c r="O37" s="58"/>
      <c r="P37" s="58"/>
      <c r="Q37" s="58"/>
      <c r="R37" s="58"/>
      <c r="S37" s="58"/>
      <c r="T37" s="58"/>
      <c r="U37" s="58"/>
      <c r="V37" s="58"/>
      <c r="W37" s="58"/>
      <c r="X37" s="58"/>
      <c r="Y37" s="58"/>
      <c r="Z37" s="58"/>
      <c r="AA37" s="58"/>
      <c r="AB37" s="58"/>
    </row>
    <row r="38" customFormat="false" ht="225" hidden="false" customHeight="true" outlineLevel="0" collapsed="false">
      <c r="A38" s="53"/>
      <c r="B38" s="53"/>
      <c r="C38" s="5" t="s">
        <v>33</v>
      </c>
      <c r="D38" s="48" t="s">
        <v>62</v>
      </c>
      <c r="E38" s="67" t="n">
        <f aca="false">IFERROR(__xludf.dummyfunction("COUNTA(SPLIT(D38,"" ""))/COUNTA(SPLIT($B$37,"" ""))"),0.453083109919571)</f>
        <v>0.4530831099</v>
      </c>
      <c r="F38" s="5"/>
      <c r="G38" s="5"/>
      <c r="H38" s="5"/>
      <c r="I38" s="5"/>
      <c r="J38" s="5"/>
      <c r="K38" s="50"/>
      <c r="L38" s="50"/>
      <c r="M38" s="50"/>
      <c r="N38" s="50"/>
      <c r="O38" s="50"/>
      <c r="P38" s="50"/>
      <c r="Q38" s="50"/>
      <c r="R38" s="50"/>
      <c r="S38" s="50"/>
      <c r="T38" s="50"/>
      <c r="U38" s="50"/>
      <c r="V38" s="50"/>
      <c r="W38" s="50"/>
      <c r="X38" s="50"/>
      <c r="Y38" s="50"/>
      <c r="Z38" s="50"/>
      <c r="AA38" s="50"/>
      <c r="AB38" s="50"/>
    </row>
    <row r="39" customFormat="false" ht="225" hidden="false" customHeight="true" outlineLevel="0" collapsed="false">
      <c r="A39" s="53"/>
      <c r="B39" s="53"/>
      <c r="C39" s="5"/>
      <c r="D39" s="48"/>
      <c r="E39" s="67" t="n">
        <f aca="false">IFERROR(__xludf.dummyfunction("COUNTA(SPLIT(D39,"" ""))/COUNTA(SPLIT($B$37,"" ""))"),0.00268096514745308)</f>
        <v>0.002680965147</v>
      </c>
      <c r="F39" s="5"/>
      <c r="G39" s="5"/>
      <c r="H39" s="5"/>
      <c r="I39" s="5"/>
      <c r="J39" s="5"/>
      <c r="K39" s="50"/>
      <c r="L39" s="50"/>
      <c r="M39" s="50"/>
      <c r="N39" s="50"/>
      <c r="O39" s="50"/>
      <c r="P39" s="50"/>
      <c r="Q39" s="50"/>
      <c r="R39" s="50"/>
      <c r="S39" s="50"/>
      <c r="T39" s="50"/>
      <c r="U39" s="50"/>
      <c r="V39" s="50"/>
      <c r="W39" s="50"/>
      <c r="X39" s="50"/>
      <c r="Y39" s="50"/>
      <c r="Z39" s="50"/>
      <c r="AA39" s="50"/>
      <c r="AB39" s="50"/>
    </row>
    <row r="40" customFormat="false" ht="225" hidden="false" customHeight="true" outlineLevel="0" collapsed="false">
      <c r="A40" s="53"/>
      <c r="B40" s="53"/>
      <c r="C40" s="5"/>
      <c r="D40" s="48"/>
      <c r="E40" s="67" t="n">
        <f aca="false">IFERROR(__xludf.dummyfunction("COUNTA(SPLIT(D40,"" ""))/COUNTA(SPLIT($B$37,"" ""))"),0.00268096514745308)</f>
        <v>0.002680965147</v>
      </c>
      <c r="F40" s="5"/>
      <c r="G40" s="5"/>
      <c r="H40" s="5"/>
      <c r="I40" s="5"/>
      <c r="J40" s="5"/>
      <c r="K40" s="50"/>
      <c r="L40" s="50"/>
      <c r="M40" s="50"/>
      <c r="N40" s="50"/>
      <c r="O40" s="50"/>
      <c r="P40" s="50"/>
      <c r="Q40" s="50"/>
      <c r="R40" s="50"/>
      <c r="S40" s="50"/>
      <c r="T40" s="50"/>
      <c r="U40" s="50"/>
      <c r="V40" s="50"/>
      <c r="W40" s="50"/>
      <c r="X40" s="50"/>
      <c r="Y40" s="50"/>
      <c r="Z40" s="50"/>
      <c r="AA40" s="50"/>
      <c r="AB40" s="50"/>
    </row>
    <row r="41" customFormat="false" ht="15.75" hidden="false" customHeight="false" outlineLevel="0" collapsed="false">
      <c r="A41" s="50"/>
      <c r="B41" s="50"/>
      <c r="C41" s="5"/>
      <c r="D41" s="48"/>
      <c r="E41" s="52"/>
      <c r="F41" s="5"/>
      <c r="G41" s="5"/>
      <c r="H41" s="5"/>
      <c r="I41" s="5"/>
      <c r="J41" s="5"/>
      <c r="K41" s="50"/>
      <c r="L41" s="50"/>
      <c r="M41" s="50"/>
      <c r="N41" s="50"/>
      <c r="O41" s="50"/>
      <c r="P41" s="50"/>
      <c r="Q41" s="50"/>
      <c r="R41" s="50"/>
      <c r="S41" s="50"/>
      <c r="T41" s="50"/>
      <c r="U41" s="50"/>
      <c r="V41" s="50"/>
      <c r="W41" s="50"/>
      <c r="X41" s="50"/>
      <c r="Y41" s="50"/>
      <c r="Z41" s="50"/>
      <c r="AA41" s="50"/>
      <c r="AB41" s="50"/>
    </row>
    <row r="42" customFormat="false" ht="225" hidden="false" customHeight="true" outlineLevel="0" collapsed="false">
      <c r="A42" s="53" t="s">
        <v>63</v>
      </c>
      <c r="B42" s="54" t="s">
        <v>64</v>
      </c>
      <c r="C42" s="55" t="s">
        <v>16</v>
      </c>
      <c r="D42" s="56" t="s">
        <v>65</v>
      </c>
      <c r="E42" s="68" t="n">
        <f aca="false">IFERROR(__xludf.dummyfunction("COUNTA(SPLIT(D42,"" ""))/COUNTA(SPLIT($B$42,"" ""))"),0.10377358490566)</f>
        <v>0.1037735849</v>
      </c>
      <c r="F42" s="55" t="n">
        <v>4</v>
      </c>
      <c r="G42" s="55" t="n">
        <v>4</v>
      </c>
      <c r="H42" s="55" t="n">
        <v>5</v>
      </c>
      <c r="I42" s="55" t="n">
        <v>5</v>
      </c>
      <c r="J42" s="55" t="n">
        <v>4</v>
      </c>
      <c r="K42" s="58"/>
      <c r="L42" s="58"/>
      <c r="M42" s="58"/>
      <c r="N42" s="58"/>
      <c r="O42" s="58"/>
      <c r="P42" s="58"/>
      <c r="Q42" s="58"/>
      <c r="R42" s="58"/>
      <c r="S42" s="58"/>
      <c r="T42" s="58"/>
      <c r="U42" s="58"/>
      <c r="V42" s="58"/>
      <c r="W42" s="58"/>
      <c r="X42" s="58"/>
      <c r="Y42" s="58"/>
      <c r="Z42" s="58"/>
      <c r="AA42" s="58"/>
      <c r="AB42" s="58"/>
    </row>
    <row r="43" customFormat="false" ht="225" hidden="false" customHeight="true" outlineLevel="0" collapsed="false">
      <c r="A43" s="53"/>
      <c r="B43" s="53"/>
      <c r="C43" s="5" t="s">
        <v>33</v>
      </c>
      <c r="D43" s="48" t="s">
        <v>66</v>
      </c>
      <c r="E43" s="69" t="n">
        <f aca="false">IFERROR(__xludf.dummyfunction("COUNTA(SPLIT(D43,"" ""))/COUNTA(SPLIT($B$42,"" ""))"),0.344339622641509)</f>
        <v>0.3443396226</v>
      </c>
      <c r="F43" s="5"/>
      <c r="G43" s="5"/>
      <c r="H43" s="5"/>
      <c r="I43" s="5"/>
      <c r="J43" s="5"/>
      <c r="K43" s="50"/>
      <c r="L43" s="50"/>
      <c r="M43" s="50"/>
      <c r="N43" s="50"/>
      <c r="O43" s="50"/>
      <c r="P43" s="50"/>
      <c r="Q43" s="50"/>
      <c r="R43" s="50"/>
      <c r="S43" s="50"/>
      <c r="T43" s="50"/>
      <c r="U43" s="50"/>
      <c r="V43" s="50"/>
      <c r="W43" s="50"/>
      <c r="X43" s="50"/>
      <c r="Y43" s="50"/>
      <c r="Z43" s="50"/>
      <c r="AA43" s="50"/>
      <c r="AB43" s="50"/>
    </row>
    <row r="44" customFormat="false" ht="225" hidden="false" customHeight="true" outlineLevel="0" collapsed="false">
      <c r="A44" s="53"/>
      <c r="B44" s="53"/>
      <c r="C44" s="5"/>
      <c r="D44" s="48"/>
      <c r="E44" s="69" t="n">
        <f aca="false">IFERROR(__xludf.dummyfunction("COUNTA(SPLIT(D44,"" ""))/COUNTA(SPLIT($B$42,"" ""))"),0.00471698113207547)</f>
        <v>0.004716981132</v>
      </c>
      <c r="F44" s="5"/>
      <c r="G44" s="5"/>
      <c r="H44" s="5"/>
      <c r="I44" s="5"/>
      <c r="J44" s="5"/>
      <c r="K44" s="50"/>
      <c r="L44" s="50"/>
      <c r="M44" s="50"/>
      <c r="N44" s="50"/>
      <c r="O44" s="50"/>
      <c r="P44" s="50"/>
      <c r="Q44" s="50"/>
      <c r="R44" s="50"/>
      <c r="S44" s="50"/>
      <c r="T44" s="50"/>
      <c r="U44" s="50"/>
      <c r="V44" s="50"/>
      <c r="W44" s="50"/>
      <c r="X44" s="50"/>
      <c r="Y44" s="50"/>
      <c r="Z44" s="50"/>
      <c r="AA44" s="50"/>
      <c r="AB44" s="50"/>
    </row>
    <row r="45" customFormat="false" ht="225" hidden="false" customHeight="true" outlineLevel="0" collapsed="false">
      <c r="A45" s="53"/>
      <c r="B45" s="53"/>
      <c r="C45" s="5"/>
      <c r="D45" s="48"/>
      <c r="E45" s="69" t="n">
        <f aca="false">IFERROR(__xludf.dummyfunction("COUNTA(SPLIT(D45,"" ""))/COUNTA(SPLIT($B$42,"" ""))"),0.00471698113207547)</f>
        <v>0.004716981132</v>
      </c>
      <c r="F45" s="5"/>
      <c r="G45" s="5"/>
      <c r="H45" s="5"/>
      <c r="I45" s="5"/>
      <c r="J45" s="5"/>
      <c r="K45" s="50"/>
      <c r="L45" s="50"/>
      <c r="M45" s="50"/>
      <c r="N45" s="50"/>
      <c r="O45" s="50"/>
      <c r="P45" s="50"/>
      <c r="Q45" s="50"/>
      <c r="R45" s="50"/>
      <c r="S45" s="50"/>
      <c r="T45" s="50"/>
      <c r="U45" s="50"/>
      <c r="V45" s="50"/>
      <c r="W45" s="50"/>
      <c r="X45" s="50"/>
      <c r="Y45" s="50"/>
      <c r="Z45" s="50"/>
      <c r="AA45" s="50"/>
      <c r="AB45" s="50"/>
    </row>
    <row r="46" customFormat="false" ht="15.75" hidden="false" customHeight="false" outlineLevel="0" collapsed="false">
      <c r="A46" s="50"/>
      <c r="B46" s="50"/>
      <c r="C46" s="5"/>
      <c r="D46" s="48"/>
      <c r="E46" s="52"/>
      <c r="F46" s="5"/>
      <c r="G46" s="5"/>
      <c r="H46" s="5"/>
      <c r="I46" s="5"/>
      <c r="J46" s="5"/>
      <c r="K46" s="50"/>
      <c r="L46" s="50"/>
      <c r="M46" s="50"/>
      <c r="N46" s="50"/>
      <c r="O46" s="50"/>
      <c r="P46" s="50"/>
      <c r="Q46" s="50"/>
      <c r="R46" s="50"/>
      <c r="S46" s="50"/>
      <c r="T46" s="50"/>
      <c r="U46" s="50"/>
      <c r="V46" s="50"/>
      <c r="W46" s="50"/>
      <c r="X46" s="50"/>
      <c r="Y46" s="50"/>
      <c r="Z46" s="50"/>
      <c r="AA46" s="50"/>
      <c r="AB46" s="50"/>
    </row>
    <row r="47" customFormat="false" ht="225" hidden="false" customHeight="true" outlineLevel="0" collapsed="false">
      <c r="A47" s="53" t="s">
        <v>67</v>
      </c>
      <c r="B47" s="54" t="s">
        <v>68</v>
      </c>
      <c r="C47" s="55" t="s">
        <v>16</v>
      </c>
      <c r="D47" s="56" t="s">
        <v>69</v>
      </c>
      <c r="E47" s="70" t="n">
        <f aca="false">IFERROR(__xludf.dummyfunction("COUNTA(SPLIT(D47,"" ""))/COUNTA(SPLIT($B$47,"" ""))"),0.0703883495145631)</f>
        <v>0.07038834951</v>
      </c>
      <c r="F47" s="55" t="n">
        <v>4</v>
      </c>
      <c r="G47" s="55" t="n">
        <v>4</v>
      </c>
      <c r="H47" s="55" t="n">
        <v>5</v>
      </c>
      <c r="I47" s="55" t="n">
        <v>3</v>
      </c>
      <c r="J47" s="55" t="n">
        <v>3</v>
      </c>
      <c r="K47" s="58"/>
      <c r="L47" s="58"/>
      <c r="M47" s="58"/>
      <c r="N47" s="58"/>
      <c r="O47" s="58"/>
      <c r="P47" s="58"/>
      <c r="Q47" s="58"/>
      <c r="R47" s="58"/>
      <c r="S47" s="58"/>
      <c r="T47" s="58"/>
      <c r="U47" s="58"/>
      <c r="V47" s="58"/>
      <c r="W47" s="58"/>
      <c r="X47" s="58"/>
      <c r="Y47" s="58"/>
      <c r="Z47" s="58"/>
      <c r="AA47" s="58"/>
      <c r="AB47" s="58"/>
    </row>
    <row r="48" customFormat="false" ht="225" hidden="false" customHeight="true" outlineLevel="0" collapsed="false">
      <c r="A48" s="53"/>
      <c r="B48" s="53"/>
      <c r="C48" s="5" t="s">
        <v>33</v>
      </c>
      <c r="D48" s="48" t="s">
        <v>70</v>
      </c>
      <c r="E48" s="51" t="n">
        <f aca="false">IFERROR(__xludf.dummyfunction("COUNTA(SPLIT(D48,"" ""))/COUNTA(SPLIT($B$47,"" ""))"),0.20873786407767)</f>
        <v>0.2087378641</v>
      </c>
      <c r="F48" s="5"/>
      <c r="G48" s="5"/>
      <c r="H48" s="5"/>
      <c r="I48" s="5"/>
      <c r="J48" s="5"/>
      <c r="K48" s="50"/>
      <c r="L48" s="50"/>
      <c r="M48" s="50"/>
      <c r="N48" s="50"/>
      <c r="O48" s="50"/>
      <c r="P48" s="50"/>
      <c r="Q48" s="50"/>
      <c r="R48" s="50"/>
      <c r="S48" s="50"/>
      <c r="T48" s="50"/>
      <c r="U48" s="50"/>
      <c r="V48" s="50"/>
      <c r="W48" s="50"/>
      <c r="X48" s="50"/>
      <c r="Y48" s="50"/>
      <c r="Z48" s="50"/>
      <c r="AA48" s="50"/>
      <c r="AB48" s="50"/>
    </row>
    <row r="49" customFormat="false" ht="225" hidden="false" customHeight="true" outlineLevel="0" collapsed="false">
      <c r="A49" s="53"/>
      <c r="B49" s="53"/>
      <c r="C49" s="5"/>
      <c r="D49" s="48"/>
      <c r="E49" s="51" t="n">
        <f aca="false">IFERROR(__xludf.dummyfunction("COUNTA(SPLIT(D49,"" ""))/COUNTA(SPLIT($B$47,"" ""))"),0.00242718446601942)</f>
        <v>0.002427184466</v>
      </c>
      <c r="F49" s="5"/>
      <c r="G49" s="5"/>
      <c r="H49" s="5"/>
      <c r="I49" s="5"/>
      <c r="J49" s="5"/>
      <c r="K49" s="50"/>
      <c r="L49" s="50"/>
      <c r="M49" s="50"/>
      <c r="N49" s="50"/>
      <c r="O49" s="50"/>
      <c r="P49" s="50"/>
      <c r="Q49" s="50"/>
      <c r="R49" s="50"/>
      <c r="S49" s="50"/>
      <c r="T49" s="50"/>
      <c r="U49" s="50"/>
      <c r="V49" s="50"/>
      <c r="W49" s="50"/>
      <c r="X49" s="50"/>
      <c r="Y49" s="50"/>
      <c r="Z49" s="50"/>
      <c r="AA49" s="50"/>
      <c r="AB49" s="50"/>
    </row>
    <row r="50" customFormat="false" ht="225" hidden="false" customHeight="true" outlineLevel="0" collapsed="false">
      <c r="A50" s="53"/>
      <c r="B50" s="53"/>
      <c r="C50" s="5"/>
      <c r="D50" s="48"/>
      <c r="E50" s="51" t="n">
        <f aca="false">IFERROR(__xludf.dummyfunction("COUNTA(SPLIT(D50,"" ""))/COUNTA(SPLIT($B$47,"" ""))"),0.00242718446601942)</f>
        <v>0.002427184466</v>
      </c>
      <c r="F50" s="5"/>
      <c r="G50" s="5"/>
      <c r="H50" s="5"/>
      <c r="I50" s="5"/>
      <c r="J50" s="5"/>
      <c r="K50" s="50"/>
      <c r="L50" s="50"/>
      <c r="M50" s="50"/>
      <c r="N50" s="50"/>
      <c r="O50" s="50"/>
      <c r="P50" s="50"/>
      <c r="Q50" s="50"/>
      <c r="R50" s="50"/>
      <c r="S50" s="50"/>
      <c r="T50" s="50"/>
      <c r="U50" s="50"/>
      <c r="V50" s="50"/>
      <c r="W50" s="50"/>
      <c r="X50" s="50"/>
      <c r="Y50" s="50"/>
      <c r="Z50" s="50"/>
      <c r="AA50" s="50"/>
      <c r="AB50" s="50"/>
    </row>
    <row r="51" customFormat="false" ht="15.75" hidden="false" customHeight="false" outlineLevel="0" collapsed="false">
      <c r="A51" s="50"/>
      <c r="B51" s="50"/>
      <c r="C51" s="5"/>
      <c r="D51" s="48"/>
      <c r="E51" s="50"/>
      <c r="F51" s="5"/>
      <c r="G51" s="5"/>
      <c r="H51" s="5"/>
      <c r="I51" s="5"/>
      <c r="J51" s="5"/>
      <c r="K51" s="50"/>
      <c r="L51" s="50"/>
      <c r="M51" s="50"/>
      <c r="N51" s="50"/>
      <c r="O51" s="50"/>
      <c r="P51" s="50"/>
      <c r="Q51" s="50"/>
      <c r="R51" s="50"/>
      <c r="S51" s="50"/>
      <c r="T51" s="50"/>
      <c r="U51" s="50"/>
      <c r="V51" s="50"/>
      <c r="W51" s="50"/>
      <c r="X51" s="50"/>
      <c r="Y51" s="50"/>
      <c r="Z51" s="50"/>
      <c r="AA51" s="50"/>
      <c r="AB51" s="50"/>
    </row>
    <row r="52" customFormat="false" ht="15.75" hidden="false" customHeight="false" outlineLevel="0" collapsed="false">
      <c r="A52" s="71"/>
      <c r="B52" s="54"/>
      <c r="C52" s="55" t="s">
        <v>16</v>
      </c>
      <c r="D52" s="56"/>
      <c r="E52" s="72" t="n">
        <f aca="false">IFERROR(__xludf.dummyfunction("COUNTA(SPLIT(D52,"" ""))/COUNTA(SPLIT($B$67,"" ""))"),1)</f>
        <v>1</v>
      </c>
      <c r="F52" s="55"/>
      <c r="G52" s="55"/>
      <c r="H52" s="55"/>
      <c r="I52" s="55"/>
      <c r="J52" s="55"/>
      <c r="K52" s="58"/>
      <c r="L52" s="58"/>
      <c r="M52" s="58"/>
      <c r="N52" s="58"/>
      <c r="O52" s="58"/>
      <c r="P52" s="58"/>
      <c r="Q52" s="58"/>
      <c r="R52" s="58"/>
      <c r="S52" s="58"/>
      <c r="T52" s="58"/>
      <c r="U52" s="58"/>
      <c r="V52" s="58"/>
      <c r="W52" s="58"/>
      <c r="X52" s="58"/>
      <c r="Y52" s="58"/>
      <c r="Z52" s="58"/>
      <c r="AA52" s="58"/>
      <c r="AB52" s="58"/>
    </row>
    <row r="53" customFormat="false" ht="15.75" hidden="false" customHeight="false" outlineLevel="0" collapsed="false">
      <c r="A53" s="71"/>
      <c r="B53" s="71"/>
      <c r="C53" s="5"/>
      <c r="D53" s="48"/>
      <c r="E53" s="73" t="n">
        <f aca="false">IFERROR(__xludf.dummyfunction("COUNTA(SPLIT(D53,"" ""))/COUNTA(SPLIT($B$67,"" ""))"),1)</f>
        <v>1</v>
      </c>
      <c r="F53" s="5"/>
      <c r="G53" s="5"/>
      <c r="H53" s="5"/>
      <c r="I53" s="5"/>
      <c r="J53" s="5"/>
      <c r="K53" s="50"/>
      <c r="L53" s="50"/>
      <c r="M53" s="50"/>
      <c r="N53" s="50"/>
      <c r="O53" s="50"/>
      <c r="P53" s="50"/>
      <c r="Q53" s="50"/>
      <c r="R53" s="50"/>
      <c r="S53" s="50"/>
      <c r="T53" s="50"/>
      <c r="U53" s="50"/>
      <c r="V53" s="50"/>
      <c r="W53" s="50"/>
      <c r="X53" s="50"/>
      <c r="Y53" s="50"/>
      <c r="Z53" s="50"/>
      <c r="AA53" s="50"/>
      <c r="AB53" s="50"/>
    </row>
    <row r="54" customFormat="false" ht="15.75" hidden="false" customHeight="false" outlineLevel="0" collapsed="false">
      <c r="A54" s="71"/>
      <c r="B54" s="71"/>
      <c r="C54" s="5"/>
      <c r="D54" s="48"/>
      <c r="E54" s="74" t="n">
        <f aca="false">IFERROR(__xludf.dummyfunction("COUNTA(SPLIT(D54,"" ""))/COUNTA(SPLIT($B$67,"" ""))"),1)</f>
        <v>1</v>
      </c>
      <c r="F54" s="5"/>
      <c r="G54" s="5"/>
      <c r="H54" s="5"/>
      <c r="I54" s="5"/>
      <c r="J54" s="5"/>
      <c r="K54" s="50"/>
      <c r="L54" s="50"/>
      <c r="M54" s="50"/>
      <c r="N54" s="50"/>
      <c r="O54" s="50"/>
      <c r="P54" s="50"/>
      <c r="Q54" s="50"/>
      <c r="R54" s="50"/>
      <c r="S54" s="50"/>
      <c r="T54" s="50"/>
      <c r="U54" s="50"/>
      <c r="V54" s="50"/>
      <c r="W54" s="50"/>
      <c r="X54" s="50"/>
      <c r="Y54" s="50"/>
      <c r="Z54" s="50"/>
      <c r="AA54" s="50"/>
      <c r="AB54" s="50"/>
    </row>
    <row r="55" customFormat="false" ht="15.75" hidden="false" customHeight="false" outlineLevel="0" collapsed="false">
      <c r="A55" s="71"/>
      <c r="B55" s="71"/>
      <c r="C55" s="5"/>
      <c r="D55" s="48"/>
      <c r="E55" s="75" t="n">
        <f aca="false">IFERROR(__xludf.dummyfunction("COUNTA(SPLIT(D55,"" ""))/COUNTA(SPLIT($B$67,"" ""))"),1)</f>
        <v>1</v>
      </c>
      <c r="F55" s="5"/>
      <c r="G55" s="5"/>
      <c r="H55" s="5"/>
      <c r="I55" s="5"/>
      <c r="J55" s="5"/>
      <c r="K55" s="50"/>
      <c r="L55" s="50"/>
      <c r="M55" s="50"/>
      <c r="N55" s="50"/>
      <c r="O55" s="50"/>
      <c r="P55" s="50"/>
      <c r="Q55" s="50"/>
      <c r="R55" s="50"/>
      <c r="S55" s="50"/>
      <c r="T55" s="50"/>
      <c r="U55" s="50"/>
      <c r="V55" s="50"/>
      <c r="W55" s="50"/>
      <c r="X55" s="50"/>
      <c r="Y55" s="50"/>
      <c r="Z55" s="50"/>
      <c r="AA55" s="50"/>
      <c r="AB55" s="50"/>
    </row>
    <row r="56" customFormat="false" ht="15.75" hidden="false" customHeight="false" outlineLevel="0" collapsed="false">
      <c r="A56" s="50"/>
      <c r="B56" s="50"/>
      <c r="C56" s="5"/>
      <c r="D56" s="48"/>
      <c r="E56" s="50"/>
      <c r="F56" s="5"/>
      <c r="G56" s="5"/>
      <c r="H56" s="5"/>
      <c r="I56" s="5"/>
      <c r="J56" s="5"/>
      <c r="K56" s="50"/>
      <c r="L56" s="50"/>
      <c r="M56" s="50"/>
      <c r="N56" s="50"/>
      <c r="O56" s="50"/>
      <c r="P56" s="50"/>
      <c r="Q56" s="50"/>
      <c r="R56" s="50"/>
      <c r="S56" s="50"/>
      <c r="T56" s="50"/>
      <c r="U56" s="50"/>
      <c r="V56" s="50"/>
      <c r="W56" s="50"/>
      <c r="X56" s="50"/>
      <c r="Y56" s="50"/>
      <c r="Z56" s="50"/>
      <c r="AA56" s="50"/>
      <c r="AB56" s="50"/>
    </row>
    <row r="57" customFormat="false" ht="15.75" hidden="false" customHeight="false" outlineLevel="0" collapsed="false">
      <c r="A57" s="71"/>
      <c r="B57" s="54"/>
      <c r="C57" s="55" t="s">
        <v>16</v>
      </c>
      <c r="D57" s="56"/>
      <c r="E57" s="72" t="n">
        <f aca="false">IFERROR(__xludf.dummyfunction("COUNTA(SPLIT(D57,"" ""))/COUNTA(SPLIT($B$67,"" ""))"),1)</f>
        <v>1</v>
      </c>
      <c r="F57" s="55"/>
      <c r="G57" s="55"/>
      <c r="H57" s="55"/>
      <c r="I57" s="55"/>
      <c r="J57" s="55"/>
      <c r="K57" s="58"/>
      <c r="L57" s="58"/>
      <c r="M57" s="58"/>
      <c r="N57" s="58"/>
      <c r="O57" s="58"/>
      <c r="P57" s="58"/>
      <c r="Q57" s="58"/>
      <c r="R57" s="58"/>
      <c r="S57" s="58"/>
      <c r="T57" s="58"/>
      <c r="U57" s="58"/>
      <c r="V57" s="58"/>
      <c r="W57" s="58"/>
      <c r="X57" s="58"/>
      <c r="Y57" s="58"/>
      <c r="Z57" s="58"/>
      <c r="AA57" s="58"/>
      <c r="AB57" s="58"/>
    </row>
    <row r="58" customFormat="false" ht="15.75" hidden="false" customHeight="false" outlineLevel="0" collapsed="false">
      <c r="A58" s="71"/>
      <c r="B58" s="71"/>
      <c r="C58" s="5"/>
      <c r="D58" s="48"/>
      <c r="E58" s="73" t="n">
        <f aca="false">IFERROR(__xludf.dummyfunction("COUNTA(SPLIT(D58,"" ""))/COUNTA(SPLIT($B$67,"" ""))"),1)</f>
        <v>1</v>
      </c>
      <c r="F58" s="5"/>
      <c r="G58" s="5"/>
      <c r="H58" s="5"/>
      <c r="I58" s="5"/>
      <c r="J58" s="5"/>
      <c r="K58" s="50"/>
      <c r="L58" s="50"/>
      <c r="M58" s="50"/>
      <c r="N58" s="50"/>
      <c r="O58" s="50"/>
      <c r="P58" s="50"/>
      <c r="Q58" s="50"/>
      <c r="R58" s="50"/>
      <c r="S58" s="50"/>
      <c r="T58" s="50"/>
      <c r="U58" s="50"/>
      <c r="V58" s="50"/>
      <c r="W58" s="50"/>
      <c r="X58" s="50"/>
      <c r="Y58" s="50"/>
      <c r="Z58" s="50"/>
      <c r="AA58" s="50"/>
      <c r="AB58" s="50"/>
    </row>
    <row r="59" customFormat="false" ht="15.75" hidden="false" customHeight="false" outlineLevel="0" collapsed="false">
      <c r="A59" s="71"/>
      <c r="B59" s="71"/>
      <c r="C59" s="5"/>
      <c r="D59" s="48"/>
      <c r="E59" s="74" t="n">
        <f aca="false">IFERROR(__xludf.dummyfunction("COUNTA(SPLIT(D59,"" ""))/COUNTA(SPLIT($B$67,"" ""))"),1)</f>
        <v>1</v>
      </c>
      <c r="F59" s="5"/>
      <c r="G59" s="5"/>
      <c r="H59" s="5"/>
      <c r="I59" s="5"/>
      <c r="J59" s="5"/>
      <c r="K59" s="50"/>
      <c r="L59" s="50"/>
      <c r="M59" s="50"/>
      <c r="N59" s="50"/>
      <c r="O59" s="50"/>
      <c r="P59" s="50"/>
      <c r="Q59" s="50"/>
      <c r="R59" s="50"/>
      <c r="S59" s="50"/>
      <c r="T59" s="50"/>
      <c r="U59" s="50"/>
      <c r="V59" s="50"/>
      <c r="W59" s="50"/>
      <c r="X59" s="50"/>
      <c r="Y59" s="50"/>
      <c r="Z59" s="50"/>
      <c r="AA59" s="50"/>
      <c r="AB59" s="50"/>
    </row>
    <row r="60" customFormat="false" ht="15.75" hidden="false" customHeight="false" outlineLevel="0" collapsed="false">
      <c r="A60" s="71"/>
      <c r="B60" s="71"/>
      <c r="C60" s="5"/>
      <c r="D60" s="48"/>
      <c r="E60" s="75" t="n">
        <f aca="false">IFERROR(__xludf.dummyfunction("COUNTA(SPLIT(D60,"" ""))/COUNTA(SPLIT($B$67,"" ""))"),1)</f>
        <v>1</v>
      </c>
      <c r="F60" s="5"/>
      <c r="G60" s="5"/>
      <c r="H60" s="5"/>
      <c r="I60" s="5"/>
      <c r="J60" s="5"/>
      <c r="K60" s="50"/>
      <c r="L60" s="50"/>
      <c r="M60" s="50"/>
      <c r="N60" s="50"/>
      <c r="O60" s="50"/>
      <c r="P60" s="50"/>
      <c r="Q60" s="50"/>
      <c r="R60" s="50"/>
      <c r="S60" s="50"/>
      <c r="T60" s="50"/>
      <c r="U60" s="50"/>
      <c r="V60" s="50"/>
      <c r="W60" s="50"/>
      <c r="X60" s="50"/>
      <c r="Y60" s="50"/>
      <c r="Z60" s="50"/>
      <c r="AA60" s="50"/>
      <c r="AB60" s="50"/>
    </row>
    <row r="61" customFormat="false" ht="15.75" hidden="false" customHeight="false" outlineLevel="0" collapsed="false">
      <c r="A61" s="50"/>
      <c r="B61" s="50"/>
      <c r="C61" s="5"/>
      <c r="D61" s="48"/>
      <c r="E61" s="50"/>
      <c r="F61" s="5"/>
      <c r="G61" s="5"/>
      <c r="H61" s="5"/>
      <c r="I61" s="5"/>
      <c r="J61" s="5"/>
      <c r="K61" s="50"/>
      <c r="L61" s="50"/>
      <c r="M61" s="50"/>
      <c r="N61" s="50"/>
      <c r="O61" s="50"/>
      <c r="P61" s="50"/>
      <c r="Q61" s="50"/>
      <c r="R61" s="50"/>
      <c r="S61" s="50"/>
      <c r="T61" s="50"/>
      <c r="U61" s="50"/>
      <c r="V61" s="50"/>
      <c r="W61" s="50"/>
      <c r="X61" s="50"/>
      <c r="Y61" s="50"/>
      <c r="Z61" s="50"/>
      <c r="AA61" s="50"/>
      <c r="AB61" s="50"/>
    </row>
    <row r="62" customFormat="false" ht="15.75" hidden="false" customHeight="false" outlineLevel="0" collapsed="false">
      <c r="A62" s="71"/>
      <c r="B62" s="54"/>
      <c r="C62" s="55" t="s">
        <v>16</v>
      </c>
      <c r="D62" s="56"/>
      <c r="E62" s="72" t="n">
        <f aca="false">IFERROR(__xludf.dummyfunction("COUNTA(SPLIT(D62,"" ""))/COUNTA(SPLIT($B$67,"" ""))"),1)</f>
        <v>1</v>
      </c>
      <c r="F62" s="55"/>
      <c r="G62" s="55"/>
      <c r="H62" s="55"/>
      <c r="I62" s="55"/>
      <c r="J62" s="55"/>
      <c r="K62" s="58"/>
      <c r="L62" s="58"/>
      <c r="M62" s="58"/>
      <c r="N62" s="58"/>
      <c r="O62" s="58"/>
      <c r="P62" s="58"/>
      <c r="Q62" s="58"/>
      <c r="R62" s="58"/>
      <c r="S62" s="58"/>
      <c r="T62" s="58"/>
      <c r="U62" s="58"/>
      <c r="V62" s="58"/>
      <c r="W62" s="58"/>
      <c r="X62" s="58"/>
      <c r="Y62" s="58"/>
      <c r="Z62" s="58"/>
      <c r="AA62" s="58"/>
      <c r="AB62" s="58"/>
    </row>
    <row r="63" customFormat="false" ht="15.75" hidden="false" customHeight="false" outlineLevel="0" collapsed="false">
      <c r="A63" s="71"/>
      <c r="B63" s="71"/>
      <c r="C63" s="5"/>
      <c r="D63" s="48"/>
      <c r="E63" s="73" t="n">
        <f aca="false">IFERROR(__xludf.dummyfunction("COUNTA(SPLIT(D63,"" ""))/COUNTA(SPLIT($B$67,"" ""))"),1)</f>
        <v>1</v>
      </c>
      <c r="F63" s="5"/>
      <c r="G63" s="5"/>
      <c r="H63" s="5"/>
      <c r="I63" s="5"/>
      <c r="J63" s="5"/>
      <c r="K63" s="50"/>
      <c r="L63" s="50"/>
      <c r="M63" s="50"/>
      <c r="N63" s="50"/>
      <c r="O63" s="50"/>
      <c r="P63" s="50"/>
      <c r="Q63" s="50"/>
      <c r="R63" s="50"/>
      <c r="S63" s="50"/>
      <c r="T63" s="50"/>
      <c r="U63" s="50"/>
      <c r="V63" s="50"/>
      <c r="W63" s="50"/>
      <c r="X63" s="50"/>
      <c r="Y63" s="50"/>
      <c r="Z63" s="50"/>
      <c r="AA63" s="50"/>
      <c r="AB63" s="50"/>
    </row>
    <row r="64" customFormat="false" ht="15.75" hidden="false" customHeight="false" outlineLevel="0" collapsed="false">
      <c r="A64" s="71"/>
      <c r="B64" s="71"/>
      <c r="C64" s="5"/>
      <c r="D64" s="48"/>
      <c r="E64" s="74" t="n">
        <f aca="false">IFERROR(__xludf.dummyfunction("COUNTA(SPLIT(D64,"" ""))/COUNTA(SPLIT($B$67,"" ""))"),1)</f>
        <v>1</v>
      </c>
      <c r="F64" s="5"/>
      <c r="G64" s="5"/>
      <c r="H64" s="5"/>
      <c r="I64" s="5"/>
      <c r="J64" s="5"/>
      <c r="K64" s="50"/>
      <c r="L64" s="50"/>
      <c r="M64" s="50"/>
      <c r="N64" s="50"/>
      <c r="O64" s="50"/>
      <c r="P64" s="50"/>
      <c r="Q64" s="50"/>
      <c r="R64" s="50"/>
      <c r="S64" s="50"/>
      <c r="T64" s="50"/>
      <c r="U64" s="50"/>
      <c r="V64" s="50"/>
      <c r="W64" s="50"/>
      <c r="X64" s="50"/>
      <c r="Y64" s="50"/>
      <c r="Z64" s="50"/>
      <c r="AA64" s="50"/>
      <c r="AB64" s="50"/>
    </row>
    <row r="65" customFormat="false" ht="15.75" hidden="false" customHeight="false" outlineLevel="0" collapsed="false">
      <c r="A65" s="71"/>
      <c r="B65" s="71"/>
      <c r="C65" s="5"/>
      <c r="D65" s="48"/>
      <c r="E65" s="75" t="n">
        <f aca="false">IFERROR(__xludf.dummyfunction("COUNTA(SPLIT(D65,"" ""))/COUNTA(SPLIT($B$67,"" ""))"),1)</f>
        <v>1</v>
      </c>
      <c r="F65" s="5"/>
      <c r="G65" s="5"/>
      <c r="H65" s="5"/>
      <c r="I65" s="5"/>
      <c r="J65" s="5"/>
      <c r="K65" s="50"/>
      <c r="L65" s="50"/>
      <c r="M65" s="50"/>
      <c r="N65" s="50"/>
      <c r="O65" s="50"/>
      <c r="P65" s="50"/>
      <c r="Q65" s="50"/>
      <c r="R65" s="50"/>
      <c r="S65" s="50"/>
      <c r="T65" s="50"/>
      <c r="U65" s="50"/>
      <c r="V65" s="50"/>
      <c r="W65" s="50"/>
      <c r="X65" s="50"/>
      <c r="Y65" s="50"/>
      <c r="Z65" s="50"/>
      <c r="AA65" s="50"/>
      <c r="AB65" s="50"/>
    </row>
    <row r="66" customFormat="false" ht="15.75" hidden="false" customHeight="false" outlineLevel="0" collapsed="false">
      <c r="A66" s="50"/>
      <c r="B66" s="50"/>
      <c r="C66" s="5"/>
      <c r="D66" s="48"/>
      <c r="E66" s="50"/>
      <c r="F66" s="5"/>
      <c r="G66" s="5"/>
      <c r="H66" s="5"/>
      <c r="I66" s="5"/>
      <c r="J66" s="5"/>
      <c r="K66" s="50"/>
      <c r="L66" s="50"/>
      <c r="M66" s="50"/>
      <c r="N66" s="50"/>
      <c r="O66" s="50"/>
      <c r="P66" s="50"/>
      <c r="Q66" s="50"/>
      <c r="R66" s="50"/>
      <c r="S66" s="50"/>
      <c r="T66" s="50"/>
      <c r="U66" s="50"/>
      <c r="V66" s="50"/>
      <c r="W66" s="50"/>
      <c r="X66" s="50"/>
      <c r="Y66" s="50"/>
      <c r="Z66" s="50"/>
      <c r="AA66" s="50"/>
      <c r="AB66" s="50"/>
    </row>
    <row r="67" customFormat="false" ht="15.75" hidden="false" customHeight="false" outlineLevel="0" collapsed="false">
      <c r="A67" s="71"/>
      <c r="B67" s="54"/>
      <c r="C67" s="55" t="s">
        <v>16</v>
      </c>
      <c r="D67" s="56"/>
      <c r="E67" s="72" t="n">
        <f aca="false">IFERROR(__xludf.dummyfunction("COUNTA(SPLIT(D67,"" ""))/COUNTA(SPLIT($B$67,"" ""))"),1)</f>
        <v>1</v>
      </c>
      <c r="F67" s="55"/>
      <c r="G67" s="55"/>
      <c r="H67" s="55"/>
      <c r="I67" s="55"/>
      <c r="J67" s="55"/>
      <c r="K67" s="58"/>
      <c r="L67" s="58"/>
      <c r="M67" s="58"/>
      <c r="N67" s="58"/>
      <c r="O67" s="58"/>
      <c r="P67" s="58"/>
      <c r="Q67" s="58"/>
      <c r="R67" s="58"/>
      <c r="S67" s="58"/>
      <c r="T67" s="58"/>
      <c r="U67" s="58"/>
      <c r="V67" s="58"/>
      <c r="W67" s="58"/>
      <c r="X67" s="58"/>
      <c r="Y67" s="58"/>
      <c r="Z67" s="58"/>
      <c r="AA67" s="58"/>
      <c r="AB67" s="58"/>
    </row>
    <row r="68" customFormat="false" ht="15.75" hidden="false" customHeight="false" outlineLevel="0" collapsed="false">
      <c r="A68" s="71"/>
      <c r="B68" s="71"/>
      <c r="C68" s="5"/>
      <c r="D68" s="48"/>
      <c r="E68" s="73" t="n">
        <f aca="false">IFERROR(__xludf.dummyfunction("COUNTA(SPLIT(D68,"" ""))/COUNTA(SPLIT($B$67,"" ""))"),1)</f>
        <v>1</v>
      </c>
      <c r="F68" s="5"/>
      <c r="G68" s="5"/>
      <c r="H68" s="5"/>
      <c r="I68" s="5"/>
      <c r="J68" s="5"/>
      <c r="K68" s="50"/>
      <c r="L68" s="50"/>
      <c r="M68" s="50"/>
      <c r="N68" s="50"/>
      <c r="O68" s="50"/>
      <c r="P68" s="50"/>
      <c r="Q68" s="50"/>
      <c r="R68" s="50"/>
      <c r="S68" s="50"/>
      <c r="T68" s="50"/>
      <c r="U68" s="50"/>
      <c r="V68" s="50"/>
      <c r="W68" s="50"/>
      <c r="X68" s="50"/>
      <c r="Y68" s="50"/>
      <c r="Z68" s="50"/>
      <c r="AA68" s="50"/>
      <c r="AB68" s="50"/>
    </row>
    <row r="69" customFormat="false" ht="15.75" hidden="false" customHeight="false" outlineLevel="0" collapsed="false">
      <c r="A69" s="71"/>
      <c r="B69" s="71"/>
      <c r="C69" s="5"/>
      <c r="D69" s="48"/>
      <c r="E69" s="74" t="n">
        <f aca="false">IFERROR(__xludf.dummyfunction("COUNTA(SPLIT(D69,"" ""))/COUNTA(SPLIT($B$67,"" ""))"),1)</f>
        <v>1</v>
      </c>
      <c r="F69" s="5"/>
      <c r="G69" s="5"/>
      <c r="H69" s="5"/>
      <c r="I69" s="5"/>
      <c r="J69" s="5"/>
      <c r="K69" s="50"/>
      <c r="L69" s="50"/>
      <c r="M69" s="50"/>
      <c r="N69" s="50"/>
      <c r="O69" s="50"/>
      <c r="P69" s="50"/>
      <c r="Q69" s="50"/>
      <c r="R69" s="50"/>
      <c r="S69" s="50"/>
      <c r="T69" s="50"/>
      <c r="U69" s="50"/>
      <c r="V69" s="50"/>
      <c r="W69" s="50"/>
      <c r="X69" s="50"/>
      <c r="Y69" s="50"/>
      <c r="Z69" s="50"/>
      <c r="AA69" s="50"/>
      <c r="AB69" s="50"/>
    </row>
    <row r="70" customFormat="false" ht="15.75" hidden="false" customHeight="false" outlineLevel="0" collapsed="false">
      <c r="A70" s="71"/>
      <c r="B70" s="71"/>
      <c r="C70" s="5"/>
      <c r="D70" s="48"/>
      <c r="E70" s="75" t="n">
        <f aca="false">IFERROR(__xludf.dummyfunction("COUNTA(SPLIT(D70,"" ""))/COUNTA(SPLIT($B$67,"" ""))"),1)</f>
        <v>1</v>
      </c>
      <c r="F70" s="5"/>
      <c r="G70" s="5"/>
      <c r="H70" s="5"/>
      <c r="I70" s="5"/>
      <c r="J70" s="5"/>
      <c r="K70" s="50"/>
      <c r="L70" s="50"/>
      <c r="M70" s="50"/>
      <c r="N70" s="50"/>
      <c r="O70" s="50"/>
      <c r="P70" s="50"/>
      <c r="Q70" s="50"/>
      <c r="R70" s="50"/>
      <c r="S70" s="50"/>
      <c r="T70" s="50"/>
      <c r="U70" s="50"/>
      <c r="V70" s="50"/>
      <c r="W70" s="50"/>
      <c r="X70" s="50"/>
      <c r="Y70" s="50"/>
      <c r="Z70" s="50"/>
      <c r="AA70" s="50"/>
      <c r="AB70" s="50"/>
    </row>
    <row r="71" customFormat="false" ht="15.75" hidden="false" customHeight="false" outlineLevel="0" collapsed="false">
      <c r="A71" s="50"/>
      <c r="B71" s="50"/>
      <c r="C71" s="5"/>
      <c r="D71" s="48"/>
      <c r="E71" s="50"/>
      <c r="F71" s="5"/>
      <c r="G71" s="5"/>
      <c r="H71" s="5"/>
      <c r="I71" s="5"/>
      <c r="J71" s="5"/>
      <c r="K71" s="50"/>
      <c r="L71" s="50"/>
      <c r="M71" s="50"/>
      <c r="N71" s="50"/>
      <c r="O71" s="50"/>
      <c r="P71" s="50"/>
      <c r="Q71" s="50"/>
      <c r="R71" s="50"/>
      <c r="S71" s="50"/>
      <c r="T71" s="50"/>
      <c r="U71" s="50"/>
      <c r="V71" s="50"/>
      <c r="W71" s="50"/>
      <c r="X71" s="50"/>
      <c r="Y71" s="50"/>
      <c r="Z71" s="50"/>
      <c r="AA71" s="50"/>
      <c r="AB71" s="50"/>
    </row>
    <row r="72" customFormat="false" ht="15.75" hidden="false" customHeight="false" outlineLevel="0" collapsed="false">
      <c r="A72" s="71"/>
      <c r="B72" s="54"/>
      <c r="C72" s="55" t="s">
        <v>16</v>
      </c>
      <c r="D72" s="56"/>
      <c r="E72" s="72" t="n">
        <f aca="false">IFERROR(__xludf.dummyfunction("COUNTA(SPLIT(D72,"" ""))/COUNTA(SPLIT($B$67,"" ""))"),1)</f>
        <v>1</v>
      </c>
      <c r="F72" s="55"/>
      <c r="G72" s="55"/>
      <c r="H72" s="55"/>
      <c r="I72" s="55"/>
      <c r="J72" s="55"/>
      <c r="K72" s="58"/>
      <c r="L72" s="58"/>
      <c r="M72" s="58"/>
      <c r="N72" s="58"/>
      <c r="O72" s="58"/>
      <c r="P72" s="58"/>
      <c r="Q72" s="58"/>
      <c r="R72" s="58"/>
      <c r="S72" s="58"/>
      <c r="T72" s="58"/>
      <c r="U72" s="58"/>
      <c r="V72" s="58"/>
      <c r="W72" s="58"/>
      <c r="X72" s="58"/>
      <c r="Y72" s="58"/>
      <c r="Z72" s="58"/>
      <c r="AA72" s="58"/>
      <c r="AB72" s="58"/>
    </row>
    <row r="73" customFormat="false" ht="15.75" hidden="false" customHeight="false" outlineLevel="0" collapsed="false">
      <c r="A73" s="71"/>
      <c r="B73" s="71"/>
      <c r="C73" s="5"/>
      <c r="D73" s="48"/>
      <c r="E73" s="73" t="n">
        <f aca="false">IFERROR(__xludf.dummyfunction("COUNTA(SPLIT(D73,"" ""))/COUNTA(SPLIT($B$67,"" ""))"),1)</f>
        <v>1</v>
      </c>
      <c r="F73" s="5"/>
      <c r="G73" s="5"/>
      <c r="H73" s="5"/>
      <c r="I73" s="5"/>
      <c r="J73" s="5"/>
      <c r="K73" s="50"/>
      <c r="L73" s="50"/>
      <c r="M73" s="50"/>
      <c r="N73" s="50"/>
      <c r="O73" s="50"/>
      <c r="P73" s="50"/>
      <c r="Q73" s="50"/>
      <c r="R73" s="50"/>
      <c r="S73" s="50"/>
      <c r="T73" s="50"/>
      <c r="U73" s="50"/>
      <c r="V73" s="50"/>
      <c r="W73" s="50"/>
      <c r="X73" s="50"/>
      <c r="Y73" s="50"/>
      <c r="Z73" s="50"/>
      <c r="AA73" s="50"/>
      <c r="AB73" s="50"/>
    </row>
    <row r="74" customFormat="false" ht="15.75" hidden="false" customHeight="false" outlineLevel="0" collapsed="false">
      <c r="A74" s="71"/>
      <c r="B74" s="71"/>
      <c r="C74" s="5"/>
      <c r="D74" s="48"/>
      <c r="E74" s="74" t="n">
        <f aca="false">IFERROR(__xludf.dummyfunction("COUNTA(SPLIT(D74,"" ""))/COUNTA(SPLIT($B$67,"" ""))"),1)</f>
        <v>1</v>
      </c>
      <c r="F74" s="5"/>
      <c r="G74" s="5"/>
      <c r="H74" s="5"/>
      <c r="I74" s="5"/>
      <c r="J74" s="5"/>
      <c r="K74" s="50"/>
      <c r="L74" s="50"/>
      <c r="M74" s="50"/>
      <c r="N74" s="50"/>
      <c r="O74" s="50"/>
      <c r="P74" s="50"/>
      <c r="Q74" s="50"/>
      <c r="R74" s="50"/>
      <c r="S74" s="50"/>
      <c r="T74" s="50"/>
      <c r="U74" s="50"/>
      <c r="V74" s="50"/>
      <c r="W74" s="50"/>
      <c r="X74" s="50"/>
      <c r="Y74" s="50"/>
      <c r="Z74" s="50"/>
      <c r="AA74" s="50"/>
      <c r="AB74" s="50"/>
    </row>
    <row r="75" customFormat="false" ht="15.75" hidden="false" customHeight="false" outlineLevel="0" collapsed="false">
      <c r="A75" s="71"/>
      <c r="B75" s="71"/>
      <c r="C75" s="5"/>
      <c r="D75" s="48"/>
      <c r="E75" s="75" t="n">
        <f aca="false">IFERROR(__xludf.dummyfunction("COUNTA(SPLIT(D75,"" ""))/COUNTA(SPLIT($B$67,"" ""))"),1)</f>
        <v>1</v>
      </c>
      <c r="F75" s="5"/>
      <c r="G75" s="5"/>
      <c r="H75" s="5"/>
      <c r="I75" s="5"/>
      <c r="J75" s="5"/>
      <c r="K75" s="50"/>
      <c r="L75" s="50"/>
      <c r="M75" s="50"/>
      <c r="N75" s="50"/>
      <c r="O75" s="50"/>
      <c r="P75" s="50"/>
      <c r="Q75" s="50"/>
      <c r="R75" s="50"/>
      <c r="S75" s="50"/>
      <c r="T75" s="50"/>
      <c r="U75" s="50"/>
      <c r="V75" s="50"/>
      <c r="W75" s="50"/>
      <c r="X75" s="50"/>
      <c r="Y75" s="50"/>
      <c r="Z75" s="50"/>
      <c r="AA75" s="50"/>
      <c r="AB75" s="50"/>
    </row>
    <row r="76" customFormat="false" ht="15.75" hidden="false" customHeight="false" outlineLevel="0" collapsed="false">
      <c r="A76" s="50"/>
      <c r="B76" s="50"/>
      <c r="C76" s="5"/>
      <c r="D76" s="48"/>
      <c r="E76" s="50"/>
      <c r="F76" s="5"/>
      <c r="G76" s="5"/>
      <c r="H76" s="5"/>
      <c r="I76" s="5"/>
      <c r="J76" s="5"/>
      <c r="K76" s="50"/>
      <c r="L76" s="50"/>
      <c r="M76" s="50"/>
      <c r="N76" s="50"/>
      <c r="O76" s="50"/>
      <c r="P76" s="50"/>
      <c r="Q76" s="50"/>
      <c r="R76" s="50"/>
      <c r="S76" s="50"/>
      <c r="T76" s="50"/>
      <c r="U76" s="50"/>
      <c r="V76" s="50"/>
      <c r="W76" s="50"/>
      <c r="X76" s="50"/>
      <c r="Y76" s="50"/>
      <c r="Z76" s="50"/>
      <c r="AA76" s="50"/>
      <c r="AB76" s="50"/>
    </row>
    <row r="77" customFormat="false" ht="15.75" hidden="false" customHeight="false" outlineLevel="0" collapsed="false">
      <c r="A77" s="71"/>
      <c r="B77" s="54"/>
      <c r="C77" s="55" t="s">
        <v>16</v>
      </c>
      <c r="D77" s="56"/>
      <c r="E77" s="72" t="n">
        <f aca="false">IFERROR(__xludf.dummyfunction("COUNTA(SPLIT(D77,"" ""))/COUNTA(SPLIT($B$67,"" ""))"),1)</f>
        <v>1</v>
      </c>
      <c r="F77" s="55"/>
      <c r="G77" s="55"/>
      <c r="H77" s="55"/>
      <c r="I77" s="55"/>
      <c r="J77" s="55"/>
      <c r="K77" s="58"/>
      <c r="L77" s="58"/>
      <c r="M77" s="58"/>
      <c r="N77" s="58"/>
      <c r="O77" s="58"/>
      <c r="P77" s="58"/>
      <c r="Q77" s="58"/>
      <c r="R77" s="58"/>
      <c r="S77" s="58"/>
      <c r="T77" s="58"/>
      <c r="U77" s="58"/>
      <c r="V77" s="58"/>
      <c r="W77" s="58"/>
      <c r="X77" s="58"/>
      <c r="Y77" s="58"/>
      <c r="Z77" s="58"/>
      <c r="AA77" s="58"/>
      <c r="AB77" s="58"/>
    </row>
    <row r="78" customFormat="false" ht="15.75" hidden="false" customHeight="false" outlineLevel="0" collapsed="false">
      <c r="A78" s="71"/>
      <c r="B78" s="71"/>
      <c r="C78" s="5"/>
      <c r="D78" s="48"/>
      <c r="E78" s="73" t="n">
        <f aca="false">IFERROR(__xludf.dummyfunction("COUNTA(SPLIT(D78,"" ""))/COUNTA(SPLIT($B$67,"" ""))"),1)</f>
        <v>1</v>
      </c>
      <c r="F78" s="5"/>
      <c r="G78" s="5"/>
      <c r="H78" s="5"/>
      <c r="I78" s="5"/>
      <c r="J78" s="5"/>
      <c r="K78" s="50"/>
      <c r="L78" s="50"/>
      <c r="M78" s="50"/>
      <c r="N78" s="50"/>
      <c r="O78" s="50"/>
      <c r="P78" s="50"/>
      <c r="Q78" s="50"/>
      <c r="R78" s="50"/>
      <c r="S78" s="50"/>
      <c r="T78" s="50"/>
      <c r="U78" s="50"/>
      <c r="V78" s="50"/>
      <c r="W78" s="50"/>
      <c r="X78" s="50"/>
      <c r="Y78" s="50"/>
      <c r="Z78" s="50"/>
      <c r="AA78" s="50"/>
      <c r="AB78" s="50"/>
    </row>
    <row r="79" customFormat="false" ht="15.75" hidden="false" customHeight="false" outlineLevel="0" collapsed="false">
      <c r="A79" s="71"/>
      <c r="B79" s="71"/>
      <c r="C79" s="5"/>
      <c r="D79" s="48"/>
      <c r="E79" s="74" t="n">
        <f aca="false">IFERROR(__xludf.dummyfunction("COUNTA(SPLIT(D79,"" ""))/COUNTA(SPLIT($B$67,"" ""))"),1)</f>
        <v>1</v>
      </c>
      <c r="F79" s="5"/>
      <c r="G79" s="5"/>
      <c r="H79" s="5"/>
      <c r="I79" s="5"/>
      <c r="J79" s="5"/>
      <c r="K79" s="50"/>
      <c r="L79" s="50"/>
      <c r="M79" s="50"/>
      <c r="N79" s="50"/>
      <c r="O79" s="50"/>
      <c r="P79" s="50"/>
      <c r="Q79" s="50"/>
      <c r="R79" s="50"/>
      <c r="S79" s="50"/>
      <c r="T79" s="50"/>
      <c r="U79" s="50"/>
      <c r="V79" s="50"/>
      <c r="W79" s="50"/>
      <c r="X79" s="50"/>
      <c r="Y79" s="50"/>
      <c r="Z79" s="50"/>
      <c r="AA79" s="50"/>
      <c r="AB79" s="50"/>
    </row>
    <row r="80" customFormat="false" ht="15.75" hidden="false" customHeight="false" outlineLevel="0" collapsed="false">
      <c r="A80" s="71"/>
      <c r="B80" s="71"/>
      <c r="C80" s="5"/>
      <c r="D80" s="48"/>
      <c r="E80" s="75" t="n">
        <f aca="false">IFERROR(__xludf.dummyfunction("COUNTA(SPLIT(D80,"" ""))/COUNTA(SPLIT($B$67,"" ""))"),1)</f>
        <v>1</v>
      </c>
      <c r="F80" s="5"/>
      <c r="G80" s="5"/>
      <c r="H80" s="5"/>
      <c r="I80" s="5"/>
      <c r="J80" s="5"/>
      <c r="K80" s="50"/>
      <c r="L80" s="50"/>
      <c r="M80" s="50"/>
      <c r="N80" s="50"/>
      <c r="O80" s="50"/>
      <c r="P80" s="50"/>
      <c r="Q80" s="50"/>
      <c r="R80" s="50"/>
      <c r="S80" s="50"/>
      <c r="T80" s="50"/>
      <c r="U80" s="50"/>
      <c r="V80" s="50"/>
      <c r="W80" s="50"/>
      <c r="X80" s="50"/>
      <c r="Y80" s="50"/>
      <c r="Z80" s="50"/>
      <c r="AA80" s="50"/>
      <c r="AB80" s="50"/>
    </row>
    <row r="81" customFormat="false" ht="15.75" hidden="false" customHeight="false" outlineLevel="0" collapsed="false">
      <c r="A81" s="50"/>
      <c r="B81" s="50"/>
      <c r="C81" s="5"/>
      <c r="D81" s="48"/>
      <c r="E81" s="50"/>
      <c r="F81" s="5"/>
      <c r="G81" s="5"/>
      <c r="H81" s="5"/>
      <c r="I81" s="5"/>
      <c r="J81" s="5"/>
      <c r="K81" s="50"/>
      <c r="L81" s="50"/>
      <c r="M81" s="50"/>
      <c r="N81" s="50"/>
      <c r="O81" s="50"/>
      <c r="P81" s="50"/>
      <c r="Q81" s="50"/>
      <c r="R81" s="50"/>
      <c r="S81" s="50"/>
      <c r="T81" s="50"/>
      <c r="U81" s="50"/>
      <c r="V81" s="50"/>
      <c r="W81" s="50"/>
      <c r="X81" s="50"/>
      <c r="Y81" s="50"/>
      <c r="Z81" s="50"/>
      <c r="AA81" s="50"/>
      <c r="AB81" s="50"/>
    </row>
    <row r="82" customFormat="false" ht="15.75" hidden="false" customHeight="false" outlineLevel="0" collapsed="false">
      <c r="A82" s="71"/>
      <c r="B82" s="54"/>
      <c r="C82" s="55" t="s">
        <v>16</v>
      </c>
      <c r="D82" s="56"/>
      <c r="E82" s="72" t="n">
        <f aca="false">IFERROR(__xludf.dummyfunction("COUNTA(SPLIT(D82,"" ""))/COUNTA(SPLIT($B$67,"" ""))"),1)</f>
        <v>1</v>
      </c>
      <c r="F82" s="55"/>
      <c r="G82" s="55"/>
      <c r="H82" s="55"/>
      <c r="I82" s="55"/>
      <c r="J82" s="55"/>
      <c r="K82" s="58"/>
      <c r="L82" s="58"/>
      <c r="M82" s="58"/>
      <c r="N82" s="58"/>
      <c r="O82" s="58"/>
      <c r="P82" s="58"/>
      <c r="Q82" s="58"/>
      <c r="R82" s="58"/>
      <c r="S82" s="58"/>
      <c r="T82" s="58"/>
      <c r="U82" s="58"/>
      <c r="V82" s="58"/>
      <c r="W82" s="58"/>
      <c r="X82" s="58"/>
      <c r="Y82" s="58"/>
      <c r="Z82" s="58"/>
      <c r="AA82" s="58"/>
      <c r="AB82" s="58"/>
    </row>
    <row r="83" customFormat="false" ht="15.75" hidden="false" customHeight="false" outlineLevel="0" collapsed="false">
      <c r="A83" s="71"/>
      <c r="B83" s="71"/>
      <c r="C83" s="5"/>
      <c r="D83" s="48"/>
      <c r="E83" s="73" t="n">
        <f aca="false">IFERROR(__xludf.dummyfunction("COUNTA(SPLIT(D83,"" ""))/COUNTA(SPLIT($B$67,"" ""))"),1)</f>
        <v>1</v>
      </c>
      <c r="F83" s="5"/>
      <c r="G83" s="5"/>
      <c r="H83" s="5"/>
      <c r="I83" s="5"/>
      <c r="J83" s="5"/>
      <c r="K83" s="50"/>
      <c r="L83" s="50"/>
      <c r="M83" s="50"/>
      <c r="N83" s="50"/>
      <c r="O83" s="50"/>
      <c r="P83" s="50"/>
      <c r="Q83" s="50"/>
      <c r="R83" s="50"/>
      <c r="S83" s="50"/>
      <c r="T83" s="50"/>
      <c r="U83" s="50"/>
      <c r="V83" s="50"/>
      <c r="W83" s="50"/>
      <c r="X83" s="50"/>
      <c r="Y83" s="50"/>
      <c r="Z83" s="50"/>
      <c r="AA83" s="50"/>
      <c r="AB83" s="50"/>
    </row>
    <row r="84" customFormat="false" ht="15.75" hidden="false" customHeight="false" outlineLevel="0" collapsed="false">
      <c r="A84" s="71"/>
      <c r="B84" s="71"/>
      <c r="C84" s="5"/>
      <c r="D84" s="48"/>
      <c r="E84" s="74" t="n">
        <f aca="false">IFERROR(__xludf.dummyfunction("COUNTA(SPLIT(D84,"" ""))/COUNTA(SPLIT($B$67,"" ""))"),1)</f>
        <v>1</v>
      </c>
      <c r="F84" s="5"/>
      <c r="G84" s="5"/>
      <c r="H84" s="5"/>
      <c r="I84" s="5"/>
      <c r="J84" s="5"/>
      <c r="K84" s="50"/>
      <c r="L84" s="50"/>
      <c r="M84" s="50"/>
      <c r="N84" s="50"/>
      <c r="O84" s="50"/>
      <c r="P84" s="50"/>
      <c r="Q84" s="50"/>
      <c r="R84" s="50"/>
      <c r="S84" s="50"/>
      <c r="T84" s="50"/>
      <c r="U84" s="50"/>
      <c r="V84" s="50"/>
      <c r="W84" s="50"/>
      <c r="X84" s="50"/>
      <c r="Y84" s="50"/>
      <c r="Z84" s="50"/>
      <c r="AA84" s="50"/>
      <c r="AB84" s="50"/>
    </row>
    <row r="85" customFormat="false" ht="15.75" hidden="false" customHeight="false" outlineLevel="0" collapsed="false">
      <c r="A85" s="71"/>
      <c r="B85" s="71"/>
      <c r="C85" s="5"/>
      <c r="D85" s="48"/>
      <c r="E85" s="75" t="n">
        <f aca="false">IFERROR(__xludf.dummyfunction("COUNTA(SPLIT(D85,"" ""))/COUNTA(SPLIT($B$67,"" ""))"),1)</f>
        <v>1</v>
      </c>
      <c r="F85" s="5"/>
      <c r="G85" s="5"/>
      <c r="H85" s="5"/>
      <c r="I85" s="5"/>
      <c r="J85" s="5"/>
      <c r="K85" s="50"/>
      <c r="L85" s="50"/>
      <c r="M85" s="50"/>
      <c r="N85" s="50"/>
      <c r="O85" s="50"/>
      <c r="P85" s="50"/>
      <c r="Q85" s="50"/>
      <c r="R85" s="50"/>
      <c r="S85" s="50"/>
      <c r="T85" s="50"/>
      <c r="U85" s="50"/>
      <c r="V85" s="50"/>
      <c r="W85" s="50"/>
      <c r="X85" s="50"/>
      <c r="Y85" s="50"/>
      <c r="Z85" s="50"/>
      <c r="AA85" s="50"/>
      <c r="AB85" s="50"/>
    </row>
    <row r="86" customFormat="false" ht="15.75" hidden="false" customHeight="false" outlineLevel="0" collapsed="false">
      <c r="A86" s="50"/>
      <c r="B86" s="50"/>
      <c r="C86" s="5"/>
      <c r="D86" s="48"/>
      <c r="E86" s="50"/>
      <c r="F86" s="5"/>
      <c r="G86" s="5"/>
      <c r="H86" s="5"/>
      <c r="I86" s="5"/>
      <c r="J86" s="5"/>
      <c r="K86" s="50"/>
      <c r="L86" s="50"/>
      <c r="M86" s="50"/>
      <c r="N86" s="50"/>
      <c r="O86" s="50"/>
      <c r="P86" s="50"/>
      <c r="Q86" s="50"/>
      <c r="R86" s="50"/>
      <c r="S86" s="50"/>
      <c r="T86" s="50"/>
      <c r="U86" s="50"/>
      <c r="V86" s="50"/>
      <c r="W86" s="50"/>
      <c r="X86" s="50"/>
      <c r="Y86" s="50"/>
      <c r="Z86" s="50"/>
      <c r="AA86" s="50"/>
      <c r="AB86" s="50"/>
    </row>
    <row r="87" customFormat="false" ht="15.75" hidden="false" customHeight="false" outlineLevel="0" collapsed="false">
      <c r="A87" s="71"/>
      <c r="B87" s="54"/>
      <c r="C87" s="55" t="s">
        <v>16</v>
      </c>
      <c r="D87" s="56"/>
      <c r="E87" s="72" t="n">
        <f aca="false">IFERROR(__xludf.dummyfunction("COUNTA(SPLIT(D87,"" ""))/COUNTA(SPLIT($B$67,"" ""))"),1)</f>
        <v>1</v>
      </c>
      <c r="F87" s="55"/>
      <c r="G87" s="55"/>
      <c r="H87" s="55"/>
      <c r="I87" s="55"/>
      <c r="J87" s="55"/>
      <c r="K87" s="58"/>
      <c r="L87" s="58"/>
      <c r="M87" s="58"/>
      <c r="N87" s="58"/>
      <c r="O87" s="58"/>
      <c r="P87" s="58"/>
      <c r="Q87" s="58"/>
      <c r="R87" s="58"/>
      <c r="S87" s="58"/>
      <c r="T87" s="58"/>
      <c r="U87" s="58"/>
      <c r="V87" s="58"/>
      <c r="W87" s="58"/>
      <c r="X87" s="58"/>
      <c r="Y87" s="58"/>
      <c r="Z87" s="58"/>
      <c r="AA87" s="58"/>
      <c r="AB87" s="58"/>
    </row>
    <row r="88" customFormat="false" ht="15.75" hidden="false" customHeight="false" outlineLevel="0" collapsed="false">
      <c r="A88" s="71"/>
      <c r="B88" s="71"/>
      <c r="C88" s="5"/>
      <c r="D88" s="48"/>
      <c r="E88" s="73" t="n">
        <f aca="false">IFERROR(__xludf.dummyfunction("COUNTA(SPLIT(D88,"" ""))/COUNTA(SPLIT($B$67,"" ""))"),1)</f>
        <v>1</v>
      </c>
      <c r="F88" s="5"/>
      <c r="G88" s="5"/>
      <c r="H88" s="5"/>
      <c r="I88" s="5"/>
      <c r="J88" s="5"/>
      <c r="K88" s="50"/>
      <c r="L88" s="50"/>
      <c r="M88" s="50"/>
      <c r="N88" s="50"/>
      <c r="O88" s="50"/>
      <c r="P88" s="50"/>
      <c r="Q88" s="50"/>
      <c r="R88" s="50"/>
      <c r="S88" s="50"/>
      <c r="T88" s="50"/>
      <c r="U88" s="50"/>
      <c r="V88" s="50"/>
      <c r="W88" s="50"/>
      <c r="X88" s="50"/>
      <c r="Y88" s="50"/>
      <c r="Z88" s="50"/>
      <c r="AA88" s="50"/>
      <c r="AB88" s="50"/>
    </row>
    <row r="89" customFormat="false" ht="15.75" hidden="false" customHeight="false" outlineLevel="0" collapsed="false">
      <c r="A89" s="71"/>
      <c r="B89" s="71"/>
      <c r="C89" s="5"/>
      <c r="D89" s="48"/>
      <c r="E89" s="74" t="n">
        <f aca="false">IFERROR(__xludf.dummyfunction("COUNTA(SPLIT(D89,"" ""))/COUNTA(SPLIT($B$67,"" ""))"),1)</f>
        <v>1</v>
      </c>
      <c r="F89" s="5"/>
      <c r="G89" s="5"/>
      <c r="H89" s="5"/>
      <c r="I89" s="5"/>
      <c r="J89" s="5"/>
      <c r="K89" s="50"/>
      <c r="L89" s="50"/>
      <c r="M89" s="50"/>
      <c r="N89" s="50"/>
      <c r="O89" s="50"/>
      <c r="P89" s="50"/>
      <c r="Q89" s="50"/>
      <c r="R89" s="50"/>
      <c r="S89" s="50"/>
      <c r="T89" s="50"/>
      <c r="U89" s="50"/>
      <c r="V89" s="50"/>
      <c r="W89" s="50"/>
      <c r="X89" s="50"/>
      <c r="Y89" s="50"/>
      <c r="Z89" s="50"/>
      <c r="AA89" s="50"/>
      <c r="AB89" s="50"/>
    </row>
    <row r="90" customFormat="false" ht="15.75" hidden="false" customHeight="false" outlineLevel="0" collapsed="false">
      <c r="A90" s="71"/>
      <c r="B90" s="71"/>
      <c r="C90" s="5"/>
      <c r="D90" s="48"/>
      <c r="E90" s="75" t="n">
        <f aca="false">IFERROR(__xludf.dummyfunction("COUNTA(SPLIT(D90,"" ""))/COUNTA(SPLIT($B$67,"" ""))"),1)</f>
        <v>1</v>
      </c>
      <c r="F90" s="5"/>
      <c r="G90" s="5"/>
      <c r="H90" s="5"/>
      <c r="I90" s="5"/>
      <c r="J90" s="5"/>
      <c r="K90" s="50"/>
      <c r="L90" s="50"/>
      <c r="M90" s="50"/>
      <c r="N90" s="50"/>
      <c r="O90" s="50"/>
      <c r="P90" s="50"/>
      <c r="Q90" s="50"/>
      <c r="R90" s="50"/>
      <c r="S90" s="50"/>
      <c r="T90" s="50"/>
      <c r="U90" s="50"/>
      <c r="V90" s="50"/>
      <c r="W90" s="50"/>
      <c r="X90" s="50"/>
      <c r="Y90" s="50"/>
      <c r="Z90" s="50"/>
      <c r="AA90" s="50"/>
      <c r="AB90" s="50"/>
    </row>
    <row r="91" customFormat="false" ht="15.75" hidden="false" customHeight="false" outlineLevel="0" collapsed="false">
      <c r="A91" s="50"/>
      <c r="B91" s="50"/>
      <c r="C91" s="5"/>
      <c r="D91" s="48"/>
      <c r="E91" s="50"/>
      <c r="F91" s="5"/>
      <c r="G91" s="5"/>
      <c r="H91" s="5"/>
      <c r="I91" s="5"/>
      <c r="J91" s="5"/>
      <c r="K91" s="50"/>
      <c r="L91" s="50"/>
      <c r="M91" s="50"/>
      <c r="N91" s="50"/>
      <c r="O91" s="50"/>
      <c r="P91" s="50"/>
      <c r="Q91" s="50"/>
      <c r="R91" s="50"/>
      <c r="S91" s="50"/>
      <c r="T91" s="50"/>
      <c r="U91" s="50"/>
      <c r="V91" s="50"/>
      <c r="W91" s="50"/>
      <c r="X91" s="50"/>
      <c r="Y91" s="50"/>
      <c r="Z91" s="50"/>
      <c r="AA91" s="50"/>
      <c r="AB91" s="50"/>
    </row>
    <row r="92" customFormat="false" ht="15.75" hidden="false" customHeight="false" outlineLevel="0" collapsed="false">
      <c r="A92" s="71"/>
      <c r="B92" s="54"/>
      <c r="C92" s="55" t="s">
        <v>16</v>
      </c>
      <c r="D92" s="56"/>
      <c r="E92" s="72" t="n">
        <f aca="false">IFERROR(__xludf.dummyfunction("COUNTA(SPLIT(D92,"" ""))/COUNTA(SPLIT($B$67,"" ""))"),1)</f>
        <v>1</v>
      </c>
      <c r="F92" s="55"/>
      <c r="G92" s="55"/>
      <c r="H92" s="55"/>
      <c r="I92" s="55"/>
      <c r="J92" s="55"/>
      <c r="K92" s="58"/>
      <c r="L92" s="58"/>
      <c r="M92" s="58"/>
      <c r="N92" s="58"/>
      <c r="O92" s="58"/>
      <c r="P92" s="58"/>
      <c r="Q92" s="58"/>
      <c r="R92" s="58"/>
      <c r="S92" s="58"/>
      <c r="T92" s="58"/>
      <c r="U92" s="58"/>
      <c r="V92" s="58"/>
      <c r="W92" s="58"/>
      <c r="X92" s="58"/>
      <c r="Y92" s="58"/>
      <c r="Z92" s="58"/>
      <c r="AA92" s="58"/>
      <c r="AB92" s="58"/>
    </row>
    <row r="93" customFormat="false" ht="15.75" hidden="false" customHeight="false" outlineLevel="0" collapsed="false">
      <c r="A93" s="71"/>
      <c r="B93" s="71"/>
      <c r="C93" s="5"/>
      <c r="D93" s="48"/>
      <c r="E93" s="73" t="n">
        <f aca="false">IFERROR(__xludf.dummyfunction("COUNTA(SPLIT(D93,"" ""))/COUNTA(SPLIT($B$67,"" ""))"),1)</f>
        <v>1</v>
      </c>
      <c r="F93" s="5"/>
      <c r="G93" s="5"/>
      <c r="H93" s="5"/>
      <c r="I93" s="5"/>
      <c r="J93" s="5"/>
      <c r="K93" s="50"/>
      <c r="L93" s="50"/>
      <c r="M93" s="50"/>
      <c r="N93" s="50"/>
      <c r="O93" s="50"/>
      <c r="P93" s="50"/>
      <c r="Q93" s="50"/>
      <c r="R93" s="50"/>
      <c r="S93" s="50"/>
      <c r="T93" s="50"/>
      <c r="U93" s="50"/>
      <c r="V93" s="50"/>
      <c r="W93" s="50"/>
      <c r="X93" s="50"/>
      <c r="Y93" s="50"/>
      <c r="Z93" s="50"/>
      <c r="AA93" s="50"/>
      <c r="AB93" s="50"/>
    </row>
    <row r="94" customFormat="false" ht="15.75" hidden="false" customHeight="false" outlineLevel="0" collapsed="false">
      <c r="A94" s="71"/>
      <c r="B94" s="71"/>
      <c r="C94" s="5"/>
      <c r="D94" s="48"/>
      <c r="E94" s="74" t="n">
        <f aca="false">IFERROR(__xludf.dummyfunction("COUNTA(SPLIT(D94,"" ""))/COUNTA(SPLIT($B$67,"" ""))"),1)</f>
        <v>1</v>
      </c>
      <c r="F94" s="5"/>
      <c r="G94" s="5"/>
      <c r="H94" s="5"/>
      <c r="I94" s="5"/>
      <c r="J94" s="5"/>
      <c r="K94" s="50"/>
      <c r="L94" s="50"/>
      <c r="M94" s="50"/>
      <c r="N94" s="50"/>
      <c r="O94" s="50"/>
      <c r="P94" s="50"/>
      <c r="Q94" s="50"/>
      <c r="R94" s="50"/>
      <c r="S94" s="50"/>
      <c r="T94" s="50"/>
      <c r="U94" s="50"/>
      <c r="V94" s="50"/>
      <c r="W94" s="50"/>
      <c r="X94" s="50"/>
      <c r="Y94" s="50"/>
      <c r="Z94" s="50"/>
      <c r="AA94" s="50"/>
      <c r="AB94" s="50"/>
    </row>
    <row r="95" customFormat="false" ht="15.75" hidden="false" customHeight="false" outlineLevel="0" collapsed="false">
      <c r="A95" s="71"/>
      <c r="B95" s="71"/>
      <c r="C95" s="5"/>
      <c r="D95" s="48"/>
      <c r="E95" s="75" t="n">
        <f aca="false">IFERROR(__xludf.dummyfunction("COUNTA(SPLIT(D95,"" ""))/COUNTA(SPLIT($B$67,"" ""))"),1)</f>
        <v>1</v>
      </c>
      <c r="F95" s="5"/>
      <c r="G95" s="5"/>
      <c r="H95" s="5"/>
      <c r="I95" s="5"/>
      <c r="J95" s="5"/>
      <c r="K95" s="50"/>
      <c r="L95" s="50"/>
      <c r="M95" s="50"/>
      <c r="N95" s="50"/>
      <c r="O95" s="50"/>
      <c r="P95" s="50"/>
      <c r="Q95" s="50"/>
      <c r="R95" s="50"/>
      <c r="S95" s="50"/>
      <c r="T95" s="50"/>
      <c r="U95" s="50"/>
      <c r="V95" s="50"/>
      <c r="W95" s="50"/>
      <c r="X95" s="50"/>
      <c r="Y95" s="50"/>
      <c r="Z95" s="50"/>
      <c r="AA95" s="50"/>
      <c r="AB95" s="50"/>
    </row>
    <row r="96" customFormat="false" ht="15.75" hidden="false" customHeight="false" outlineLevel="0" collapsed="false">
      <c r="A96" s="50"/>
      <c r="B96" s="50"/>
      <c r="C96" s="5"/>
      <c r="D96" s="48"/>
      <c r="E96" s="50"/>
      <c r="F96" s="5"/>
      <c r="G96" s="5"/>
      <c r="H96" s="5"/>
      <c r="I96" s="5"/>
      <c r="J96" s="5"/>
      <c r="K96" s="50"/>
      <c r="L96" s="50"/>
      <c r="M96" s="50"/>
      <c r="N96" s="50"/>
      <c r="O96" s="50"/>
      <c r="P96" s="50"/>
      <c r="Q96" s="50"/>
      <c r="R96" s="50"/>
      <c r="S96" s="50"/>
      <c r="T96" s="50"/>
      <c r="U96" s="50"/>
      <c r="V96" s="50"/>
      <c r="W96" s="50"/>
      <c r="X96" s="50"/>
      <c r="Y96" s="50"/>
      <c r="Z96" s="50"/>
      <c r="AA96" s="50"/>
      <c r="AB96" s="50"/>
    </row>
    <row r="97" customFormat="false" ht="15.75" hidden="false" customHeight="false" outlineLevel="0" collapsed="false">
      <c r="A97" s="71"/>
      <c r="B97" s="54"/>
      <c r="C97" s="55" t="s">
        <v>16</v>
      </c>
      <c r="D97" s="56"/>
      <c r="E97" s="72" t="n">
        <f aca="false">IFERROR(__xludf.dummyfunction("COUNTA(SPLIT(D97,"" ""))/COUNTA(SPLIT($B$67,"" ""))"),1)</f>
        <v>1</v>
      </c>
      <c r="F97" s="55"/>
      <c r="G97" s="55"/>
      <c r="H97" s="55"/>
      <c r="I97" s="55"/>
      <c r="J97" s="55"/>
      <c r="K97" s="58"/>
      <c r="L97" s="58"/>
      <c r="M97" s="58"/>
      <c r="N97" s="58"/>
      <c r="O97" s="58"/>
      <c r="P97" s="58"/>
      <c r="Q97" s="58"/>
      <c r="R97" s="58"/>
      <c r="S97" s="58"/>
      <c r="T97" s="58"/>
      <c r="U97" s="58"/>
      <c r="V97" s="58"/>
      <c r="W97" s="58"/>
      <c r="X97" s="58"/>
      <c r="Y97" s="58"/>
      <c r="Z97" s="58"/>
      <c r="AA97" s="58"/>
      <c r="AB97" s="58"/>
    </row>
    <row r="98" customFormat="false" ht="15.75" hidden="false" customHeight="false" outlineLevel="0" collapsed="false">
      <c r="A98" s="71"/>
      <c r="B98" s="71"/>
      <c r="C98" s="5"/>
      <c r="D98" s="48"/>
      <c r="E98" s="73" t="n">
        <f aca="false">IFERROR(__xludf.dummyfunction("COUNTA(SPLIT(D98,"" ""))/COUNTA(SPLIT($B$67,"" ""))"),1)</f>
        <v>1</v>
      </c>
      <c r="F98" s="5"/>
      <c r="G98" s="5"/>
      <c r="H98" s="5"/>
      <c r="I98" s="5"/>
      <c r="J98" s="5"/>
      <c r="K98" s="50"/>
      <c r="L98" s="50"/>
      <c r="M98" s="50"/>
      <c r="N98" s="50"/>
      <c r="O98" s="50"/>
      <c r="P98" s="50"/>
      <c r="Q98" s="50"/>
      <c r="R98" s="50"/>
      <c r="S98" s="50"/>
      <c r="T98" s="50"/>
      <c r="U98" s="50"/>
      <c r="V98" s="50"/>
      <c r="W98" s="50"/>
      <c r="X98" s="50"/>
      <c r="Y98" s="50"/>
      <c r="Z98" s="50"/>
      <c r="AA98" s="50"/>
      <c r="AB98" s="50"/>
    </row>
    <row r="99" customFormat="false" ht="15.75" hidden="false" customHeight="false" outlineLevel="0" collapsed="false">
      <c r="A99" s="71"/>
      <c r="B99" s="71"/>
      <c r="C99" s="5"/>
      <c r="D99" s="48"/>
      <c r="E99" s="74" t="n">
        <f aca="false">IFERROR(__xludf.dummyfunction("COUNTA(SPLIT(D99,"" ""))/COUNTA(SPLIT($B$67,"" ""))"),1)</f>
        <v>1</v>
      </c>
      <c r="F99" s="5"/>
      <c r="G99" s="5"/>
      <c r="H99" s="5"/>
      <c r="I99" s="5"/>
      <c r="J99" s="5"/>
      <c r="K99" s="50"/>
      <c r="L99" s="50"/>
      <c r="M99" s="50"/>
      <c r="N99" s="50"/>
      <c r="O99" s="50"/>
      <c r="P99" s="50"/>
      <c r="Q99" s="50"/>
      <c r="R99" s="50"/>
      <c r="S99" s="50"/>
      <c r="T99" s="50"/>
      <c r="U99" s="50"/>
      <c r="V99" s="50"/>
      <c r="W99" s="50"/>
      <c r="X99" s="50"/>
      <c r="Y99" s="50"/>
      <c r="Z99" s="50"/>
      <c r="AA99" s="50"/>
      <c r="AB99" s="50"/>
    </row>
    <row r="100" customFormat="false" ht="15.75" hidden="false" customHeight="false" outlineLevel="0" collapsed="false">
      <c r="A100" s="71"/>
      <c r="B100" s="71"/>
      <c r="C100" s="5"/>
      <c r="D100" s="48"/>
      <c r="E100" s="75" t="n">
        <f aca="false">IFERROR(__xludf.dummyfunction("COUNTA(SPLIT(D100,"" ""))/COUNTA(SPLIT($B$67,"" ""))"),1)</f>
        <v>1</v>
      </c>
      <c r="F100" s="5"/>
      <c r="G100" s="5"/>
      <c r="H100" s="5"/>
      <c r="I100" s="5"/>
      <c r="J100" s="5"/>
      <c r="K100" s="50"/>
      <c r="L100" s="50"/>
      <c r="M100" s="50"/>
      <c r="N100" s="50"/>
      <c r="O100" s="50"/>
      <c r="P100" s="50"/>
      <c r="Q100" s="50"/>
      <c r="R100" s="50"/>
      <c r="S100" s="50"/>
      <c r="T100" s="50"/>
      <c r="U100" s="50"/>
      <c r="V100" s="50"/>
      <c r="W100" s="50"/>
      <c r="X100" s="50"/>
      <c r="Y100" s="50"/>
      <c r="Z100" s="50"/>
      <c r="AA100" s="50"/>
      <c r="AB100" s="50"/>
    </row>
    <row r="101" customFormat="false" ht="15.75" hidden="false" customHeight="false" outlineLevel="0" collapsed="false">
      <c r="A101" s="50"/>
      <c r="B101" s="50"/>
      <c r="C101" s="5"/>
      <c r="D101" s="48"/>
      <c r="E101" s="50"/>
      <c r="F101" s="5"/>
      <c r="G101" s="5"/>
      <c r="H101" s="5"/>
      <c r="I101" s="5"/>
      <c r="J101" s="5"/>
      <c r="K101" s="50"/>
      <c r="L101" s="50"/>
      <c r="M101" s="50"/>
      <c r="N101" s="50"/>
      <c r="O101" s="50"/>
      <c r="P101" s="50"/>
      <c r="Q101" s="50"/>
      <c r="R101" s="50"/>
      <c r="S101" s="50"/>
      <c r="T101" s="50"/>
      <c r="U101" s="50"/>
      <c r="V101" s="50"/>
      <c r="W101" s="50"/>
      <c r="X101" s="50"/>
      <c r="Y101" s="50"/>
      <c r="Z101" s="50"/>
      <c r="AA101" s="50"/>
      <c r="AB101" s="50"/>
    </row>
    <row r="102" customFormat="false" ht="15.75" hidden="false" customHeight="false" outlineLevel="0" collapsed="false">
      <c r="A102" s="71"/>
      <c r="B102" s="54"/>
      <c r="C102" s="55" t="s">
        <v>16</v>
      </c>
      <c r="D102" s="56"/>
      <c r="E102" s="72" t="n">
        <f aca="false">IFERROR(__xludf.dummyfunction("COUNTA(SPLIT(D102,"" ""))/COUNTA(SPLIT($B$67,"" ""))"),1)</f>
        <v>1</v>
      </c>
      <c r="F102" s="55"/>
      <c r="G102" s="55"/>
      <c r="H102" s="55"/>
      <c r="I102" s="55"/>
      <c r="J102" s="55"/>
      <c r="K102" s="58"/>
      <c r="L102" s="58"/>
      <c r="M102" s="58"/>
      <c r="N102" s="58"/>
      <c r="O102" s="58"/>
      <c r="P102" s="58"/>
      <c r="Q102" s="58"/>
      <c r="R102" s="58"/>
      <c r="S102" s="58"/>
      <c r="T102" s="58"/>
      <c r="U102" s="58"/>
      <c r="V102" s="58"/>
      <c r="W102" s="58"/>
      <c r="X102" s="58"/>
      <c r="Y102" s="58"/>
      <c r="Z102" s="58"/>
      <c r="AA102" s="58"/>
      <c r="AB102" s="58"/>
    </row>
    <row r="103" customFormat="false" ht="15.75" hidden="false" customHeight="false" outlineLevel="0" collapsed="false">
      <c r="A103" s="71"/>
      <c r="B103" s="71"/>
      <c r="C103" s="5"/>
      <c r="D103" s="48"/>
      <c r="E103" s="73" t="n">
        <f aca="false">IFERROR(__xludf.dummyfunction("COUNTA(SPLIT(D103,"" ""))/COUNTA(SPLIT($B$67,"" ""))"),1)</f>
        <v>1</v>
      </c>
      <c r="F103" s="5"/>
      <c r="G103" s="5"/>
      <c r="H103" s="5"/>
      <c r="I103" s="5"/>
      <c r="J103" s="5"/>
      <c r="K103" s="50"/>
      <c r="L103" s="50"/>
      <c r="M103" s="50"/>
      <c r="N103" s="50"/>
      <c r="O103" s="50"/>
      <c r="P103" s="50"/>
      <c r="Q103" s="50"/>
      <c r="R103" s="50"/>
      <c r="S103" s="50"/>
      <c r="T103" s="50"/>
      <c r="U103" s="50"/>
      <c r="V103" s="50"/>
      <c r="W103" s="50"/>
      <c r="X103" s="50"/>
      <c r="Y103" s="50"/>
      <c r="Z103" s="50"/>
      <c r="AA103" s="50"/>
      <c r="AB103" s="50"/>
    </row>
    <row r="104" customFormat="false" ht="15.75" hidden="false" customHeight="false" outlineLevel="0" collapsed="false">
      <c r="A104" s="71"/>
      <c r="B104" s="71"/>
      <c r="C104" s="5"/>
      <c r="D104" s="48"/>
      <c r="E104" s="74" t="n">
        <f aca="false">IFERROR(__xludf.dummyfunction("COUNTA(SPLIT(D104,"" ""))/COUNTA(SPLIT($B$67,"" ""))"),1)</f>
        <v>1</v>
      </c>
      <c r="F104" s="5"/>
      <c r="G104" s="5"/>
      <c r="H104" s="5"/>
      <c r="I104" s="5"/>
      <c r="J104" s="5"/>
      <c r="K104" s="50"/>
      <c r="L104" s="50"/>
      <c r="M104" s="50"/>
      <c r="N104" s="50"/>
      <c r="O104" s="50"/>
      <c r="P104" s="50"/>
      <c r="Q104" s="50"/>
      <c r="R104" s="50"/>
      <c r="S104" s="50"/>
      <c r="T104" s="50"/>
      <c r="U104" s="50"/>
      <c r="V104" s="50"/>
      <c r="W104" s="50"/>
      <c r="X104" s="50"/>
      <c r="Y104" s="50"/>
      <c r="Z104" s="50"/>
      <c r="AA104" s="50"/>
      <c r="AB104" s="50"/>
    </row>
    <row r="105" customFormat="false" ht="15.75" hidden="false" customHeight="false" outlineLevel="0" collapsed="false">
      <c r="A105" s="71"/>
      <c r="B105" s="71"/>
      <c r="C105" s="5"/>
      <c r="D105" s="48"/>
      <c r="E105" s="75" t="n">
        <f aca="false">IFERROR(__xludf.dummyfunction("COUNTA(SPLIT(D105,"" ""))/COUNTA(SPLIT($B$67,"" ""))"),1)</f>
        <v>1</v>
      </c>
      <c r="F105" s="5"/>
      <c r="G105" s="5"/>
      <c r="H105" s="5"/>
      <c r="I105" s="5"/>
      <c r="J105" s="5"/>
      <c r="K105" s="50"/>
      <c r="L105" s="50"/>
      <c r="M105" s="50"/>
      <c r="N105" s="50"/>
      <c r="O105" s="50"/>
      <c r="P105" s="50"/>
      <c r="Q105" s="50"/>
      <c r="R105" s="50"/>
      <c r="S105" s="50"/>
      <c r="T105" s="50"/>
      <c r="U105" s="50"/>
      <c r="V105" s="50"/>
      <c r="W105" s="50"/>
      <c r="X105" s="50"/>
      <c r="Y105" s="50"/>
      <c r="Z105" s="50"/>
      <c r="AA105" s="50"/>
      <c r="AB105" s="50"/>
    </row>
    <row r="106" customFormat="false" ht="15.75" hidden="false" customHeight="false" outlineLevel="0" collapsed="false">
      <c r="A106" s="50"/>
      <c r="B106" s="50"/>
      <c r="C106" s="5"/>
      <c r="D106" s="48"/>
      <c r="E106" s="50"/>
      <c r="F106" s="5"/>
      <c r="G106" s="5"/>
      <c r="H106" s="5"/>
      <c r="I106" s="5"/>
      <c r="J106" s="5"/>
      <c r="K106" s="50"/>
      <c r="L106" s="50"/>
      <c r="M106" s="50"/>
      <c r="N106" s="50"/>
      <c r="O106" s="50"/>
      <c r="P106" s="50"/>
      <c r="Q106" s="50"/>
      <c r="R106" s="50"/>
      <c r="S106" s="50"/>
      <c r="T106" s="50"/>
      <c r="U106" s="50"/>
      <c r="V106" s="50"/>
      <c r="W106" s="50"/>
      <c r="X106" s="50"/>
      <c r="Y106" s="50"/>
      <c r="Z106" s="50"/>
      <c r="AA106" s="50"/>
      <c r="AB106" s="50"/>
    </row>
    <row r="107" customFormat="false" ht="15.75" hidden="false" customHeight="false" outlineLevel="0" collapsed="false">
      <c r="A107" s="71"/>
      <c r="B107" s="54"/>
      <c r="C107" s="55" t="s">
        <v>16</v>
      </c>
      <c r="D107" s="56"/>
      <c r="E107" s="72" t="n">
        <f aca="false">IFERROR(__xludf.dummyfunction("COUNTA(SPLIT(D107,"" ""))/COUNTA(SPLIT($B$67,"" ""))"),1)</f>
        <v>1</v>
      </c>
      <c r="F107" s="55"/>
      <c r="G107" s="55"/>
      <c r="H107" s="55"/>
      <c r="I107" s="55"/>
      <c r="J107" s="55"/>
      <c r="K107" s="58"/>
      <c r="L107" s="58"/>
      <c r="M107" s="58"/>
      <c r="N107" s="58"/>
      <c r="O107" s="58"/>
      <c r="P107" s="58"/>
      <c r="Q107" s="58"/>
      <c r="R107" s="58"/>
      <c r="S107" s="58"/>
      <c r="T107" s="58"/>
      <c r="U107" s="58"/>
      <c r="V107" s="58"/>
      <c r="W107" s="58"/>
      <c r="X107" s="58"/>
      <c r="Y107" s="58"/>
      <c r="Z107" s="58"/>
      <c r="AA107" s="58"/>
      <c r="AB107" s="58"/>
    </row>
    <row r="108" customFormat="false" ht="15.75" hidden="false" customHeight="false" outlineLevel="0" collapsed="false">
      <c r="A108" s="71"/>
      <c r="B108" s="71"/>
      <c r="C108" s="5"/>
      <c r="D108" s="48"/>
      <c r="E108" s="73" t="n">
        <f aca="false">IFERROR(__xludf.dummyfunction("COUNTA(SPLIT(D108,"" ""))/COUNTA(SPLIT($B$67,"" ""))"),1)</f>
        <v>1</v>
      </c>
      <c r="F108" s="5"/>
      <c r="G108" s="5"/>
      <c r="H108" s="5"/>
      <c r="I108" s="5"/>
      <c r="J108" s="5"/>
      <c r="K108" s="50"/>
      <c r="L108" s="50"/>
      <c r="M108" s="50"/>
      <c r="N108" s="50"/>
      <c r="O108" s="50"/>
      <c r="P108" s="50"/>
      <c r="Q108" s="50"/>
      <c r="R108" s="50"/>
      <c r="S108" s="50"/>
      <c r="T108" s="50"/>
      <c r="U108" s="50"/>
      <c r="V108" s="50"/>
      <c r="W108" s="50"/>
      <c r="X108" s="50"/>
      <c r="Y108" s="50"/>
      <c r="Z108" s="50"/>
      <c r="AA108" s="50"/>
      <c r="AB108" s="50"/>
    </row>
    <row r="109" customFormat="false" ht="15.75" hidden="false" customHeight="false" outlineLevel="0" collapsed="false">
      <c r="A109" s="71"/>
      <c r="B109" s="71"/>
      <c r="C109" s="5"/>
      <c r="D109" s="48"/>
      <c r="E109" s="74" t="n">
        <f aca="false">IFERROR(__xludf.dummyfunction("COUNTA(SPLIT(D109,"" ""))/COUNTA(SPLIT($B$67,"" ""))"),1)</f>
        <v>1</v>
      </c>
      <c r="F109" s="5"/>
      <c r="G109" s="5"/>
      <c r="H109" s="5"/>
      <c r="I109" s="5"/>
      <c r="J109" s="5"/>
      <c r="K109" s="50"/>
      <c r="L109" s="50"/>
      <c r="M109" s="50"/>
      <c r="N109" s="50"/>
      <c r="O109" s="50"/>
      <c r="P109" s="50"/>
      <c r="Q109" s="50"/>
      <c r="R109" s="50"/>
      <c r="S109" s="50"/>
      <c r="T109" s="50"/>
      <c r="U109" s="50"/>
      <c r="V109" s="50"/>
      <c r="W109" s="50"/>
      <c r="X109" s="50"/>
      <c r="Y109" s="50"/>
      <c r="Z109" s="50"/>
      <c r="AA109" s="50"/>
      <c r="AB109" s="50"/>
    </row>
    <row r="110" customFormat="false" ht="15.75" hidden="false" customHeight="false" outlineLevel="0" collapsed="false">
      <c r="A110" s="71"/>
      <c r="B110" s="71"/>
      <c r="C110" s="5"/>
      <c r="D110" s="48"/>
      <c r="E110" s="75" t="n">
        <f aca="false">IFERROR(__xludf.dummyfunction("COUNTA(SPLIT(D110,"" ""))/COUNTA(SPLIT($B$67,"" ""))"),1)</f>
        <v>1</v>
      </c>
      <c r="F110" s="5"/>
      <c r="G110" s="5"/>
      <c r="H110" s="5"/>
      <c r="I110" s="5"/>
      <c r="J110" s="5"/>
      <c r="K110" s="50"/>
      <c r="L110" s="50"/>
      <c r="M110" s="50"/>
      <c r="N110" s="50"/>
      <c r="O110" s="50"/>
      <c r="P110" s="50"/>
      <c r="Q110" s="50"/>
      <c r="R110" s="50"/>
      <c r="S110" s="50"/>
      <c r="T110" s="50"/>
      <c r="U110" s="50"/>
      <c r="V110" s="50"/>
      <c r="W110" s="50"/>
      <c r="X110" s="50"/>
      <c r="Y110" s="50"/>
      <c r="Z110" s="50"/>
      <c r="AA110" s="50"/>
      <c r="AB110" s="50"/>
    </row>
    <row r="111" customFormat="false" ht="15.75" hidden="false" customHeight="false" outlineLevel="0" collapsed="false">
      <c r="A111" s="50"/>
      <c r="B111" s="50"/>
      <c r="C111" s="5"/>
      <c r="D111" s="48"/>
      <c r="E111" s="50"/>
      <c r="F111" s="5"/>
      <c r="G111" s="5"/>
      <c r="H111" s="5"/>
      <c r="I111" s="5"/>
      <c r="J111" s="5"/>
      <c r="K111" s="50"/>
      <c r="L111" s="50"/>
      <c r="M111" s="50"/>
      <c r="N111" s="50"/>
      <c r="O111" s="50"/>
      <c r="P111" s="50"/>
      <c r="Q111" s="50"/>
      <c r="R111" s="50"/>
      <c r="S111" s="50"/>
      <c r="T111" s="50"/>
      <c r="U111" s="50"/>
      <c r="V111" s="50"/>
      <c r="W111" s="50"/>
      <c r="X111" s="50"/>
      <c r="Y111" s="50"/>
      <c r="Z111" s="50"/>
      <c r="AA111" s="50"/>
      <c r="AB111" s="50"/>
    </row>
    <row r="112" customFormat="false" ht="15.75" hidden="false" customHeight="false" outlineLevel="0" collapsed="false">
      <c r="A112" s="71"/>
      <c r="B112" s="54"/>
      <c r="C112" s="55" t="s">
        <v>16</v>
      </c>
      <c r="D112" s="56"/>
      <c r="E112" s="72" t="n">
        <f aca="false">IFERROR(__xludf.dummyfunction("COUNTA(SPLIT(D112,"" ""))/COUNTA(SPLIT($B$67,"" ""))"),1)</f>
        <v>1</v>
      </c>
      <c r="F112" s="55"/>
      <c r="G112" s="55"/>
      <c r="H112" s="55"/>
      <c r="I112" s="55"/>
      <c r="J112" s="55"/>
      <c r="K112" s="58"/>
      <c r="L112" s="58"/>
      <c r="M112" s="58"/>
      <c r="N112" s="58"/>
      <c r="O112" s="58"/>
      <c r="P112" s="58"/>
      <c r="Q112" s="58"/>
      <c r="R112" s="58"/>
      <c r="S112" s="58"/>
      <c r="T112" s="58"/>
      <c r="U112" s="58"/>
      <c r="V112" s="58"/>
      <c r="W112" s="58"/>
      <c r="X112" s="58"/>
      <c r="Y112" s="58"/>
      <c r="Z112" s="58"/>
      <c r="AA112" s="58"/>
      <c r="AB112" s="58"/>
    </row>
    <row r="113" customFormat="false" ht="15.75" hidden="false" customHeight="false" outlineLevel="0" collapsed="false">
      <c r="A113" s="71"/>
      <c r="B113" s="71"/>
      <c r="C113" s="5"/>
      <c r="D113" s="48"/>
      <c r="E113" s="73" t="n">
        <f aca="false">IFERROR(__xludf.dummyfunction("COUNTA(SPLIT(D113,"" ""))/COUNTA(SPLIT($B$67,"" ""))"),1)</f>
        <v>1</v>
      </c>
      <c r="F113" s="5"/>
      <c r="G113" s="5"/>
      <c r="H113" s="5"/>
      <c r="I113" s="5"/>
      <c r="J113" s="5"/>
      <c r="K113" s="50"/>
      <c r="L113" s="50"/>
      <c r="M113" s="50"/>
      <c r="N113" s="50"/>
      <c r="O113" s="50"/>
      <c r="P113" s="50"/>
      <c r="Q113" s="50"/>
      <c r="R113" s="50"/>
      <c r="S113" s="50"/>
      <c r="T113" s="50"/>
      <c r="U113" s="50"/>
      <c r="V113" s="50"/>
      <c r="W113" s="50"/>
      <c r="X113" s="50"/>
      <c r="Y113" s="50"/>
      <c r="Z113" s="50"/>
      <c r="AA113" s="50"/>
      <c r="AB113" s="50"/>
    </row>
    <row r="114" customFormat="false" ht="15.75" hidden="false" customHeight="false" outlineLevel="0" collapsed="false">
      <c r="A114" s="71"/>
      <c r="B114" s="71"/>
      <c r="C114" s="5"/>
      <c r="D114" s="48"/>
      <c r="E114" s="74" t="n">
        <f aca="false">IFERROR(__xludf.dummyfunction("COUNTA(SPLIT(D114,"" ""))/COUNTA(SPLIT($B$67,"" ""))"),1)</f>
        <v>1</v>
      </c>
      <c r="F114" s="5"/>
      <c r="G114" s="5"/>
      <c r="H114" s="5"/>
      <c r="I114" s="5"/>
      <c r="J114" s="5"/>
      <c r="K114" s="50"/>
      <c r="L114" s="50"/>
      <c r="M114" s="50"/>
      <c r="N114" s="50"/>
      <c r="O114" s="50"/>
      <c r="P114" s="50"/>
      <c r="Q114" s="50"/>
      <c r="R114" s="50"/>
      <c r="S114" s="50"/>
      <c r="T114" s="50"/>
      <c r="U114" s="50"/>
      <c r="V114" s="50"/>
      <c r="W114" s="50"/>
      <c r="X114" s="50"/>
      <c r="Y114" s="50"/>
      <c r="Z114" s="50"/>
      <c r="AA114" s="50"/>
      <c r="AB114" s="50"/>
    </row>
    <row r="115" customFormat="false" ht="15.75" hidden="false" customHeight="false" outlineLevel="0" collapsed="false">
      <c r="A115" s="71"/>
      <c r="B115" s="71"/>
      <c r="C115" s="5"/>
      <c r="D115" s="48"/>
      <c r="E115" s="75" t="n">
        <f aca="false">IFERROR(__xludf.dummyfunction("COUNTA(SPLIT(D115,"" ""))/COUNTA(SPLIT($B$67,"" ""))"),1)</f>
        <v>1</v>
      </c>
      <c r="F115" s="5"/>
      <c r="G115" s="5"/>
      <c r="H115" s="5"/>
      <c r="I115" s="5"/>
      <c r="J115" s="5"/>
      <c r="K115" s="50"/>
      <c r="L115" s="50"/>
      <c r="M115" s="50"/>
      <c r="N115" s="50"/>
      <c r="O115" s="50"/>
      <c r="P115" s="50"/>
      <c r="Q115" s="50"/>
      <c r="R115" s="50"/>
      <c r="S115" s="50"/>
      <c r="T115" s="50"/>
      <c r="U115" s="50"/>
      <c r="V115" s="50"/>
      <c r="W115" s="50"/>
      <c r="X115" s="50"/>
      <c r="Y115" s="50"/>
      <c r="Z115" s="50"/>
      <c r="AA115" s="50"/>
      <c r="AB115" s="50"/>
    </row>
    <row r="116" customFormat="false" ht="15.75" hidden="false" customHeight="false" outlineLevel="0" collapsed="false">
      <c r="A116" s="50"/>
      <c r="B116" s="50"/>
      <c r="C116" s="5"/>
      <c r="D116" s="48"/>
      <c r="E116" s="50"/>
      <c r="F116" s="5"/>
      <c r="G116" s="5"/>
      <c r="H116" s="5"/>
      <c r="I116" s="5"/>
      <c r="J116" s="5"/>
      <c r="K116" s="50"/>
      <c r="L116" s="50"/>
      <c r="M116" s="50"/>
      <c r="N116" s="50"/>
      <c r="O116" s="50"/>
      <c r="P116" s="50"/>
      <c r="Q116" s="50"/>
      <c r="R116" s="50"/>
      <c r="S116" s="50"/>
      <c r="T116" s="50"/>
      <c r="U116" s="50"/>
      <c r="V116" s="50"/>
      <c r="W116" s="50"/>
      <c r="X116" s="50"/>
      <c r="Y116" s="50"/>
      <c r="Z116" s="50"/>
      <c r="AA116" s="50"/>
      <c r="AB116" s="50"/>
    </row>
    <row r="117" customFormat="false" ht="15.75" hidden="false" customHeight="false" outlineLevel="0" collapsed="false">
      <c r="A117" s="71"/>
      <c r="B117" s="54"/>
      <c r="C117" s="55" t="s">
        <v>16</v>
      </c>
      <c r="D117" s="56"/>
      <c r="E117" s="72" t="n">
        <f aca="false">IFERROR(__xludf.dummyfunction("COUNTA(SPLIT(D117,"" ""))/COUNTA(SPLIT($B$67,"" ""))"),1)</f>
        <v>1</v>
      </c>
      <c r="F117" s="55"/>
      <c r="G117" s="55"/>
      <c r="H117" s="55"/>
      <c r="I117" s="55"/>
      <c r="J117" s="55"/>
      <c r="K117" s="58"/>
      <c r="L117" s="58"/>
      <c r="M117" s="58"/>
      <c r="N117" s="58"/>
      <c r="O117" s="58"/>
      <c r="P117" s="58"/>
      <c r="Q117" s="58"/>
      <c r="R117" s="58"/>
      <c r="S117" s="58"/>
      <c r="T117" s="58"/>
      <c r="U117" s="58"/>
      <c r="V117" s="58"/>
      <c r="W117" s="58"/>
      <c r="X117" s="58"/>
      <c r="Y117" s="58"/>
      <c r="Z117" s="58"/>
      <c r="AA117" s="58"/>
      <c r="AB117" s="58"/>
    </row>
    <row r="118" customFormat="false" ht="15.75" hidden="false" customHeight="false" outlineLevel="0" collapsed="false">
      <c r="A118" s="71"/>
      <c r="B118" s="71"/>
      <c r="C118" s="5"/>
      <c r="D118" s="48"/>
      <c r="E118" s="73" t="n">
        <f aca="false">IFERROR(__xludf.dummyfunction("COUNTA(SPLIT(D118,"" ""))/COUNTA(SPLIT($B$67,"" ""))"),1)</f>
        <v>1</v>
      </c>
      <c r="F118" s="5"/>
      <c r="G118" s="5"/>
      <c r="H118" s="5"/>
      <c r="I118" s="5"/>
      <c r="J118" s="5"/>
      <c r="K118" s="50"/>
      <c r="L118" s="50"/>
      <c r="M118" s="50"/>
      <c r="N118" s="50"/>
      <c r="O118" s="50"/>
      <c r="P118" s="50"/>
      <c r="Q118" s="50"/>
      <c r="R118" s="50"/>
      <c r="S118" s="50"/>
      <c r="T118" s="50"/>
      <c r="U118" s="50"/>
      <c r="V118" s="50"/>
      <c r="W118" s="50"/>
      <c r="X118" s="50"/>
      <c r="Y118" s="50"/>
      <c r="Z118" s="50"/>
      <c r="AA118" s="50"/>
      <c r="AB118" s="50"/>
    </row>
    <row r="119" customFormat="false" ht="15.75" hidden="false" customHeight="false" outlineLevel="0" collapsed="false">
      <c r="A119" s="71"/>
      <c r="B119" s="71"/>
      <c r="C119" s="5"/>
      <c r="D119" s="48"/>
      <c r="E119" s="74" t="n">
        <f aca="false">IFERROR(__xludf.dummyfunction("COUNTA(SPLIT(D119,"" ""))/COUNTA(SPLIT($B$67,"" ""))"),1)</f>
        <v>1</v>
      </c>
      <c r="F119" s="5"/>
      <c r="G119" s="5"/>
      <c r="H119" s="5"/>
      <c r="I119" s="5"/>
      <c r="J119" s="5"/>
      <c r="K119" s="50"/>
      <c r="L119" s="50"/>
      <c r="M119" s="50"/>
      <c r="N119" s="50"/>
      <c r="O119" s="50"/>
      <c r="P119" s="50"/>
      <c r="Q119" s="50"/>
      <c r="R119" s="50"/>
      <c r="S119" s="50"/>
      <c r="T119" s="50"/>
      <c r="U119" s="50"/>
      <c r="V119" s="50"/>
      <c r="W119" s="50"/>
      <c r="X119" s="50"/>
      <c r="Y119" s="50"/>
      <c r="Z119" s="50"/>
      <c r="AA119" s="50"/>
      <c r="AB119" s="50"/>
    </row>
    <row r="120" customFormat="false" ht="15.75" hidden="false" customHeight="false" outlineLevel="0" collapsed="false">
      <c r="A120" s="71"/>
      <c r="B120" s="71"/>
      <c r="C120" s="5"/>
      <c r="D120" s="48"/>
      <c r="E120" s="75" t="n">
        <f aca="false">IFERROR(__xludf.dummyfunction("COUNTA(SPLIT(D120,"" ""))/COUNTA(SPLIT($B$67,"" ""))"),1)</f>
        <v>1</v>
      </c>
      <c r="F120" s="5"/>
      <c r="G120" s="5"/>
      <c r="H120" s="5"/>
      <c r="I120" s="5"/>
      <c r="J120" s="5"/>
      <c r="K120" s="50"/>
      <c r="L120" s="50"/>
      <c r="M120" s="50"/>
      <c r="N120" s="50"/>
      <c r="O120" s="50"/>
      <c r="P120" s="50"/>
      <c r="Q120" s="50"/>
      <c r="R120" s="50"/>
      <c r="S120" s="50"/>
      <c r="T120" s="50"/>
      <c r="U120" s="50"/>
      <c r="V120" s="50"/>
      <c r="W120" s="50"/>
      <c r="X120" s="50"/>
      <c r="Y120" s="50"/>
      <c r="Z120" s="50"/>
      <c r="AA120" s="50"/>
      <c r="AB120" s="50"/>
    </row>
    <row r="121" customFormat="false" ht="15.75" hidden="false" customHeight="false" outlineLevel="0" collapsed="false">
      <c r="A121" s="50"/>
      <c r="B121" s="50"/>
      <c r="C121" s="5"/>
      <c r="D121" s="48"/>
      <c r="E121" s="50"/>
      <c r="F121" s="5"/>
      <c r="G121" s="5"/>
      <c r="H121" s="5"/>
      <c r="I121" s="5"/>
      <c r="J121" s="5"/>
      <c r="K121" s="50"/>
      <c r="L121" s="50"/>
      <c r="M121" s="50"/>
      <c r="N121" s="50"/>
      <c r="O121" s="50"/>
      <c r="P121" s="50"/>
      <c r="Q121" s="50"/>
      <c r="R121" s="50"/>
      <c r="S121" s="50"/>
      <c r="T121" s="50"/>
      <c r="U121" s="50"/>
      <c r="V121" s="50"/>
      <c r="W121" s="50"/>
      <c r="X121" s="50"/>
      <c r="Y121" s="50"/>
      <c r="Z121" s="50"/>
      <c r="AA121" s="50"/>
      <c r="AB121" s="50"/>
    </row>
    <row r="122" customFormat="false" ht="15.75" hidden="false" customHeight="false" outlineLevel="0" collapsed="false">
      <c r="A122" s="71"/>
      <c r="B122" s="54"/>
      <c r="C122" s="55" t="s">
        <v>16</v>
      </c>
      <c r="D122" s="56"/>
      <c r="E122" s="72" t="n">
        <f aca="false">IFERROR(__xludf.dummyfunction("COUNTA(SPLIT(D122,"" ""))/COUNTA(SPLIT($B$67,"" ""))"),1)</f>
        <v>1</v>
      </c>
      <c r="F122" s="55"/>
      <c r="G122" s="55"/>
      <c r="H122" s="55"/>
      <c r="I122" s="55"/>
      <c r="J122" s="55"/>
      <c r="K122" s="58"/>
      <c r="L122" s="58"/>
      <c r="M122" s="58"/>
      <c r="N122" s="58"/>
      <c r="O122" s="58"/>
      <c r="P122" s="58"/>
      <c r="Q122" s="58"/>
      <c r="R122" s="58"/>
      <c r="S122" s="58"/>
      <c r="T122" s="58"/>
      <c r="U122" s="58"/>
      <c r="V122" s="58"/>
      <c r="W122" s="58"/>
      <c r="X122" s="58"/>
      <c r="Y122" s="58"/>
      <c r="Z122" s="58"/>
      <c r="AA122" s="58"/>
      <c r="AB122" s="58"/>
    </row>
    <row r="123" customFormat="false" ht="15.75" hidden="false" customHeight="false" outlineLevel="0" collapsed="false">
      <c r="A123" s="71"/>
      <c r="B123" s="71"/>
      <c r="C123" s="5"/>
      <c r="D123" s="48"/>
      <c r="E123" s="73" t="n">
        <f aca="false">IFERROR(__xludf.dummyfunction("COUNTA(SPLIT(D123,"" ""))/COUNTA(SPLIT($B$67,"" ""))"),1)</f>
        <v>1</v>
      </c>
      <c r="F123" s="5"/>
      <c r="G123" s="5"/>
      <c r="H123" s="5"/>
      <c r="I123" s="5"/>
      <c r="J123" s="5"/>
      <c r="K123" s="50"/>
      <c r="L123" s="50"/>
      <c r="M123" s="50"/>
      <c r="N123" s="50"/>
      <c r="O123" s="50"/>
      <c r="P123" s="50"/>
      <c r="Q123" s="50"/>
      <c r="R123" s="50"/>
      <c r="S123" s="50"/>
      <c r="T123" s="50"/>
      <c r="U123" s="50"/>
      <c r="V123" s="50"/>
      <c r="W123" s="50"/>
      <c r="X123" s="50"/>
      <c r="Y123" s="50"/>
      <c r="Z123" s="50"/>
      <c r="AA123" s="50"/>
      <c r="AB123" s="50"/>
    </row>
    <row r="124" customFormat="false" ht="15.75" hidden="false" customHeight="false" outlineLevel="0" collapsed="false">
      <c r="A124" s="71"/>
      <c r="B124" s="71"/>
      <c r="C124" s="5"/>
      <c r="D124" s="48"/>
      <c r="E124" s="74" t="n">
        <f aca="false">IFERROR(__xludf.dummyfunction("COUNTA(SPLIT(D124,"" ""))/COUNTA(SPLIT($B$67,"" ""))"),1)</f>
        <v>1</v>
      </c>
      <c r="F124" s="5"/>
      <c r="G124" s="5"/>
      <c r="H124" s="5"/>
      <c r="I124" s="5"/>
      <c r="J124" s="5"/>
      <c r="K124" s="50"/>
      <c r="L124" s="50"/>
      <c r="M124" s="50"/>
      <c r="N124" s="50"/>
      <c r="O124" s="50"/>
      <c r="P124" s="50"/>
      <c r="Q124" s="50"/>
      <c r="R124" s="50"/>
      <c r="S124" s="50"/>
      <c r="T124" s="50"/>
      <c r="U124" s="50"/>
      <c r="V124" s="50"/>
      <c r="W124" s="50"/>
      <c r="X124" s="50"/>
      <c r="Y124" s="50"/>
      <c r="Z124" s="50"/>
      <c r="AA124" s="50"/>
      <c r="AB124" s="50"/>
    </row>
    <row r="125" customFormat="false" ht="15.75" hidden="false" customHeight="false" outlineLevel="0" collapsed="false">
      <c r="A125" s="71"/>
      <c r="B125" s="71"/>
      <c r="C125" s="5"/>
      <c r="D125" s="48"/>
      <c r="E125" s="75" t="n">
        <f aca="false">IFERROR(__xludf.dummyfunction("COUNTA(SPLIT(D125,"" ""))/COUNTA(SPLIT($B$67,"" ""))"),1)</f>
        <v>1</v>
      </c>
      <c r="F125" s="5"/>
      <c r="G125" s="5"/>
      <c r="H125" s="5"/>
      <c r="I125" s="5"/>
      <c r="J125" s="5"/>
      <c r="K125" s="50"/>
      <c r="L125" s="50"/>
      <c r="M125" s="50"/>
      <c r="N125" s="50"/>
      <c r="O125" s="50"/>
      <c r="P125" s="50"/>
      <c r="Q125" s="50"/>
      <c r="R125" s="50"/>
      <c r="S125" s="50"/>
      <c r="T125" s="50"/>
      <c r="U125" s="50"/>
      <c r="V125" s="50"/>
      <c r="W125" s="50"/>
      <c r="X125" s="50"/>
      <c r="Y125" s="50"/>
      <c r="Z125" s="50"/>
      <c r="AA125" s="50"/>
      <c r="AB125" s="50"/>
    </row>
    <row r="126" customFormat="false" ht="15.75" hidden="false" customHeight="false" outlineLevel="0" collapsed="false">
      <c r="A126" s="50"/>
      <c r="B126" s="50"/>
      <c r="C126" s="5"/>
      <c r="D126" s="48"/>
      <c r="E126" s="50"/>
      <c r="F126" s="5"/>
      <c r="G126" s="5"/>
      <c r="H126" s="5"/>
      <c r="I126" s="5"/>
      <c r="J126" s="5"/>
      <c r="K126" s="50"/>
      <c r="L126" s="50"/>
      <c r="M126" s="50"/>
      <c r="N126" s="50"/>
      <c r="O126" s="50"/>
      <c r="P126" s="50"/>
      <c r="Q126" s="50"/>
      <c r="R126" s="50"/>
      <c r="S126" s="50"/>
      <c r="T126" s="50"/>
      <c r="U126" s="50"/>
      <c r="V126" s="50"/>
      <c r="W126" s="50"/>
      <c r="X126" s="50"/>
      <c r="Y126" s="50"/>
      <c r="Z126" s="50"/>
      <c r="AA126" s="50"/>
      <c r="AB126" s="50"/>
    </row>
    <row r="127" customFormat="false" ht="15.75" hidden="false" customHeight="false" outlineLevel="0" collapsed="false">
      <c r="A127" s="71"/>
      <c r="B127" s="54"/>
      <c r="C127" s="55" t="s">
        <v>16</v>
      </c>
      <c r="D127" s="56"/>
      <c r="E127" s="72" t="n">
        <f aca="false">IFERROR(__xludf.dummyfunction("COUNTA(SPLIT(D127,"" ""))/COUNTA(SPLIT($B$67,"" ""))"),1)</f>
        <v>1</v>
      </c>
      <c r="F127" s="55"/>
      <c r="G127" s="55"/>
      <c r="H127" s="55"/>
      <c r="I127" s="55"/>
      <c r="J127" s="55"/>
      <c r="K127" s="58"/>
      <c r="L127" s="58"/>
      <c r="M127" s="58"/>
      <c r="N127" s="58"/>
      <c r="O127" s="58"/>
      <c r="P127" s="58"/>
      <c r="Q127" s="58"/>
      <c r="R127" s="58"/>
      <c r="S127" s="58"/>
      <c r="T127" s="58"/>
      <c r="U127" s="58"/>
      <c r="V127" s="58"/>
      <c r="W127" s="58"/>
      <c r="X127" s="58"/>
      <c r="Y127" s="58"/>
      <c r="Z127" s="58"/>
      <c r="AA127" s="58"/>
      <c r="AB127" s="58"/>
    </row>
    <row r="128" customFormat="false" ht="15.75" hidden="false" customHeight="false" outlineLevel="0" collapsed="false">
      <c r="A128" s="71"/>
      <c r="B128" s="71"/>
      <c r="C128" s="5"/>
      <c r="D128" s="48"/>
      <c r="E128" s="73" t="n">
        <f aca="false">IFERROR(__xludf.dummyfunction("COUNTA(SPLIT(D128,"" ""))/COUNTA(SPLIT($B$67,"" ""))"),1)</f>
        <v>1</v>
      </c>
      <c r="F128" s="5"/>
      <c r="G128" s="5"/>
      <c r="H128" s="5"/>
      <c r="I128" s="5"/>
      <c r="J128" s="5"/>
      <c r="K128" s="50"/>
      <c r="L128" s="50"/>
      <c r="M128" s="50"/>
      <c r="N128" s="50"/>
      <c r="O128" s="50"/>
      <c r="P128" s="50"/>
      <c r="Q128" s="50"/>
      <c r="R128" s="50"/>
      <c r="S128" s="50"/>
      <c r="T128" s="50"/>
      <c r="U128" s="50"/>
      <c r="V128" s="50"/>
      <c r="W128" s="50"/>
      <c r="X128" s="50"/>
      <c r="Y128" s="50"/>
      <c r="Z128" s="50"/>
      <c r="AA128" s="50"/>
      <c r="AB128" s="50"/>
    </row>
    <row r="129" customFormat="false" ht="15.75" hidden="false" customHeight="false" outlineLevel="0" collapsed="false">
      <c r="A129" s="71"/>
      <c r="B129" s="71"/>
      <c r="C129" s="5"/>
      <c r="D129" s="48"/>
      <c r="E129" s="74" t="n">
        <f aca="false">IFERROR(__xludf.dummyfunction("COUNTA(SPLIT(D129,"" ""))/COUNTA(SPLIT($B$67,"" ""))"),1)</f>
        <v>1</v>
      </c>
      <c r="F129" s="5"/>
      <c r="G129" s="5"/>
      <c r="H129" s="5"/>
      <c r="I129" s="5"/>
      <c r="J129" s="5"/>
      <c r="K129" s="50"/>
      <c r="L129" s="50"/>
      <c r="M129" s="50"/>
      <c r="N129" s="50"/>
      <c r="O129" s="50"/>
      <c r="P129" s="50"/>
      <c r="Q129" s="50"/>
      <c r="R129" s="50"/>
      <c r="S129" s="50"/>
      <c r="T129" s="50"/>
      <c r="U129" s="50"/>
      <c r="V129" s="50"/>
      <c r="W129" s="50"/>
      <c r="X129" s="50"/>
      <c r="Y129" s="50"/>
      <c r="Z129" s="50"/>
      <c r="AA129" s="50"/>
      <c r="AB129" s="50"/>
    </row>
    <row r="130" customFormat="false" ht="15.75" hidden="false" customHeight="false" outlineLevel="0" collapsed="false">
      <c r="A130" s="71"/>
      <c r="B130" s="71"/>
      <c r="C130" s="5"/>
      <c r="D130" s="48"/>
      <c r="E130" s="75" t="n">
        <f aca="false">IFERROR(__xludf.dummyfunction("COUNTA(SPLIT(D130,"" ""))/COUNTA(SPLIT($B$67,"" ""))"),1)</f>
        <v>1</v>
      </c>
      <c r="F130" s="5"/>
      <c r="G130" s="5"/>
      <c r="H130" s="5"/>
      <c r="I130" s="5"/>
      <c r="J130" s="5"/>
      <c r="K130" s="50"/>
      <c r="L130" s="50"/>
      <c r="M130" s="50"/>
      <c r="N130" s="50"/>
      <c r="O130" s="50"/>
      <c r="P130" s="50"/>
      <c r="Q130" s="50"/>
      <c r="R130" s="50"/>
      <c r="S130" s="50"/>
      <c r="T130" s="50"/>
      <c r="U130" s="50"/>
      <c r="V130" s="50"/>
      <c r="W130" s="50"/>
      <c r="X130" s="50"/>
      <c r="Y130" s="50"/>
      <c r="Z130" s="50"/>
      <c r="AA130" s="50"/>
      <c r="AB130" s="50"/>
    </row>
    <row r="131" customFormat="false" ht="15.75" hidden="false" customHeight="false" outlineLevel="0" collapsed="false">
      <c r="A131" s="50"/>
      <c r="B131" s="50"/>
      <c r="C131" s="5"/>
      <c r="D131" s="48"/>
      <c r="E131" s="50"/>
      <c r="F131" s="5"/>
      <c r="G131" s="5"/>
      <c r="H131" s="5"/>
      <c r="I131" s="5"/>
      <c r="J131" s="5"/>
      <c r="K131" s="50"/>
      <c r="L131" s="50"/>
      <c r="M131" s="50"/>
      <c r="N131" s="50"/>
      <c r="O131" s="50"/>
      <c r="P131" s="50"/>
      <c r="Q131" s="50"/>
      <c r="R131" s="50"/>
      <c r="S131" s="50"/>
      <c r="T131" s="50"/>
      <c r="U131" s="50"/>
      <c r="V131" s="50"/>
      <c r="W131" s="50"/>
      <c r="X131" s="50"/>
      <c r="Y131" s="50"/>
      <c r="Z131" s="50"/>
      <c r="AA131" s="50"/>
      <c r="AB131" s="50"/>
    </row>
    <row r="132" customFormat="false" ht="15.75" hidden="false" customHeight="false" outlineLevel="0" collapsed="false">
      <c r="A132" s="71"/>
      <c r="B132" s="54"/>
      <c r="C132" s="55" t="s">
        <v>16</v>
      </c>
      <c r="D132" s="56"/>
      <c r="E132" s="72" t="n">
        <f aca="false">IFERROR(__xludf.dummyfunction("COUNTA(SPLIT(D132,"" ""))/COUNTA(SPLIT($B$67,"" ""))"),1)</f>
        <v>1</v>
      </c>
      <c r="F132" s="55"/>
      <c r="G132" s="55"/>
      <c r="H132" s="55"/>
      <c r="I132" s="55"/>
      <c r="J132" s="55"/>
      <c r="K132" s="58"/>
      <c r="L132" s="58"/>
      <c r="M132" s="58"/>
      <c r="N132" s="58"/>
      <c r="O132" s="58"/>
      <c r="P132" s="58"/>
      <c r="Q132" s="58"/>
      <c r="R132" s="58"/>
      <c r="S132" s="58"/>
      <c r="T132" s="58"/>
      <c r="U132" s="58"/>
      <c r="V132" s="58"/>
      <c r="W132" s="58"/>
      <c r="X132" s="58"/>
      <c r="Y132" s="58"/>
      <c r="Z132" s="58"/>
      <c r="AA132" s="58"/>
      <c r="AB132" s="58"/>
    </row>
    <row r="133" customFormat="false" ht="15.75" hidden="false" customHeight="false" outlineLevel="0" collapsed="false">
      <c r="A133" s="71"/>
      <c r="B133" s="71"/>
      <c r="C133" s="5"/>
      <c r="D133" s="48"/>
      <c r="E133" s="73" t="n">
        <f aca="false">IFERROR(__xludf.dummyfunction("COUNTA(SPLIT(D133,"" ""))/COUNTA(SPLIT($B$67,"" ""))"),1)</f>
        <v>1</v>
      </c>
      <c r="F133" s="5"/>
      <c r="G133" s="5"/>
      <c r="H133" s="5"/>
      <c r="I133" s="5"/>
      <c r="J133" s="5"/>
      <c r="K133" s="50"/>
      <c r="L133" s="50"/>
      <c r="M133" s="50"/>
      <c r="N133" s="50"/>
      <c r="O133" s="50"/>
      <c r="P133" s="50"/>
      <c r="Q133" s="50"/>
      <c r="R133" s="50"/>
      <c r="S133" s="50"/>
      <c r="T133" s="50"/>
      <c r="U133" s="50"/>
      <c r="V133" s="50"/>
      <c r="W133" s="50"/>
      <c r="X133" s="50"/>
      <c r="Y133" s="50"/>
      <c r="Z133" s="50"/>
      <c r="AA133" s="50"/>
      <c r="AB133" s="50"/>
    </row>
    <row r="134" customFormat="false" ht="15.75" hidden="false" customHeight="false" outlineLevel="0" collapsed="false">
      <c r="A134" s="71"/>
      <c r="B134" s="71"/>
      <c r="C134" s="5"/>
      <c r="D134" s="48"/>
      <c r="E134" s="74" t="n">
        <f aca="false">IFERROR(__xludf.dummyfunction("COUNTA(SPLIT(D134,"" ""))/COUNTA(SPLIT($B$67,"" ""))"),1)</f>
        <v>1</v>
      </c>
      <c r="F134" s="5"/>
      <c r="G134" s="5"/>
      <c r="H134" s="5"/>
      <c r="I134" s="5"/>
      <c r="J134" s="5"/>
      <c r="K134" s="50"/>
      <c r="L134" s="50"/>
      <c r="M134" s="50"/>
      <c r="N134" s="50"/>
      <c r="O134" s="50"/>
      <c r="P134" s="50"/>
      <c r="Q134" s="50"/>
      <c r="R134" s="50"/>
      <c r="S134" s="50"/>
      <c r="T134" s="50"/>
      <c r="U134" s="50"/>
      <c r="V134" s="50"/>
      <c r="W134" s="50"/>
      <c r="X134" s="50"/>
      <c r="Y134" s="50"/>
      <c r="Z134" s="50"/>
      <c r="AA134" s="50"/>
      <c r="AB134" s="50"/>
    </row>
    <row r="135" customFormat="false" ht="15.75" hidden="false" customHeight="false" outlineLevel="0" collapsed="false">
      <c r="A135" s="71"/>
      <c r="B135" s="71"/>
      <c r="C135" s="5"/>
      <c r="D135" s="48"/>
      <c r="E135" s="75" t="n">
        <f aca="false">IFERROR(__xludf.dummyfunction("COUNTA(SPLIT(D135,"" ""))/COUNTA(SPLIT($B$67,"" ""))"),1)</f>
        <v>1</v>
      </c>
      <c r="F135" s="5"/>
      <c r="G135" s="5"/>
      <c r="H135" s="5"/>
      <c r="I135" s="5"/>
      <c r="J135" s="5"/>
      <c r="K135" s="50"/>
      <c r="L135" s="50"/>
      <c r="M135" s="50"/>
      <c r="N135" s="50"/>
      <c r="O135" s="50"/>
      <c r="P135" s="50"/>
      <c r="Q135" s="50"/>
      <c r="R135" s="50"/>
      <c r="S135" s="50"/>
      <c r="T135" s="50"/>
      <c r="U135" s="50"/>
      <c r="V135" s="50"/>
      <c r="W135" s="50"/>
      <c r="X135" s="50"/>
      <c r="Y135" s="50"/>
      <c r="Z135" s="50"/>
      <c r="AA135" s="50"/>
      <c r="AB135" s="50"/>
    </row>
    <row r="136" customFormat="false" ht="15.75" hidden="false" customHeight="false" outlineLevel="0" collapsed="false">
      <c r="A136" s="50"/>
      <c r="B136" s="50"/>
      <c r="C136" s="5"/>
      <c r="D136" s="48"/>
      <c r="E136" s="50"/>
      <c r="F136" s="5"/>
      <c r="G136" s="5"/>
      <c r="H136" s="5"/>
      <c r="I136" s="5"/>
      <c r="J136" s="5"/>
      <c r="K136" s="50"/>
      <c r="L136" s="50"/>
      <c r="M136" s="50"/>
      <c r="N136" s="50"/>
      <c r="O136" s="50"/>
      <c r="P136" s="50"/>
      <c r="Q136" s="50"/>
      <c r="R136" s="50"/>
      <c r="S136" s="50"/>
      <c r="T136" s="50"/>
      <c r="U136" s="50"/>
      <c r="V136" s="50"/>
      <c r="W136" s="50"/>
      <c r="X136" s="50"/>
      <c r="Y136" s="50"/>
      <c r="Z136" s="50"/>
      <c r="AA136" s="50"/>
      <c r="AB136" s="50"/>
    </row>
    <row r="137" customFormat="false" ht="15.75" hidden="false" customHeight="false" outlineLevel="0" collapsed="false">
      <c r="A137" s="71"/>
      <c r="B137" s="54"/>
      <c r="C137" s="55" t="s">
        <v>16</v>
      </c>
      <c r="D137" s="56"/>
      <c r="E137" s="72" t="n">
        <f aca="false">IFERROR(__xludf.dummyfunction("COUNTA(SPLIT(D137,"" ""))/COUNTA(SPLIT($B$67,"" ""))"),1)</f>
        <v>1</v>
      </c>
      <c r="F137" s="55"/>
      <c r="G137" s="55"/>
      <c r="H137" s="55"/>
      <c r="I137" s="55"/>
      <c r="J137" s="55"/>
      <c r="K137" s="58"/>
      <c r="L137" s="58"/>
      <c r="M137" s="58"/>
      <c r="N137" s="58"/>
      <c r="O137" s="58"/>
      <c r="P137" s="58"/>
      <c r="Q137" s="58"/>
      <c r="R137" s="58"/>
      <c r="S137" s="58"/>
      <c r="T137" s="58"/>
      <c r="U137" s="58"/>
      <c r="V137" s="58"/>
      <c r="W137" s="58"/>
      <c r="X137" s="58"/>
      <c r="Y137" s="58"/>
      <c r="Z137" s="58"/>
      <c r="AA137" s="58"/>
      <c r="AB137" s="58"/>
    </row>
    <row r="138" customFormat="false" ht="15.75" hidden="false" customHeight="false" outlineLevel="0" collapsed="false">
      <c r="A138" s="71"/>
      <c r="B138" s="71"/>
      <c r="C138" s="5"/>
      <c r="D138" s="48"/>
      <c r="E138" s="73" t="n">
        <f aca="false">IFERROR(__xludf.dummyfunction("COUNTA(SPLIT(D138,"" ""))/COUNTA(SPLIT($B$67,"" ""))"),1)</f>
        <v>1</v>
      </c>
      <c r="F138" s="5"/>
      <c r="G138" s="5"/>
      <c r="H138" s="5"/>
      <c r="I138" s="5"/>
      <c r="J138" s="5"/>
      <c r="K138" s="50"/>
      <c r="L138" s="50"/>
      <c r="M138" s="50"/>
      <c r="N138" s="50"/>
      <c r="O138" s="50"/>
      <c r="P138" s="50"/>
      <c r="Q138" s="50"/>
      <c r="R138" s="50"/>
      <c r="S138" s="50"/>
      <c r="T138" s="50"/>
      <c r="U138" s="50"/>
      <c r="V138" s="50"/>
      <c r="W138" s="50"/>
      <c r="X138" s="50"/>
      <c r="Y138" s="50"/>
      <c r="Z138" s="50"/>
      <c r="AA138" s="50"/>
      <c r="AB138" s="50"/>
    </row>
    <row r="139" customFormat="false" ht="15.75" hidden="false" customHeight="false" outlineLevel="0" collapsed="false">
      <c r="A139" s="71"/>
      <c r="B139" s="71"/>
      <c r="C139" s="5"/>
      <c r="D139" s="48"/>
      <c r="E139" s="74" t="n">
        <f aca="false">IFERROR(__xludf.dummyfunction("COUNTA(SPLIT(D139,"" ""))/COUNTA(SPLIT($B$67,"" ""))"),1)</f>
        <v>1</v>
      </c>
      <c r="F139" s="5"/>
      <c r="G139" s="5"/>
      <c r="H139" s="5"/>
      <c r="I139" s="5"/>
      <c r="J139" s="5"/>
      <c r="K139" s="50"/>
      <c r="L139" s="50"/>
      <c r="M139" s="50"/>
      <c r="N139" s="50"/>
      <c r="O139" s="50"/>
      <c r="P139" s="50"/>
      <c r="Q139" s="50"/>
      <c r="R139" s="50"/>
      <c r="S139" s="50"/>
      <c r="T139" s="50"/>
      <c r="U139" s="50"/>
      <c r="V139" s="50"/>
      <c r="W139" s="50"/>
      <c r="X139" s="50"/>
      <c r="Y139" s="50"/>
      <c r="Z139" s="50"/>
      <c r="AA139" s="50"/>
      <c r="AB139" s="50"/>
    </row>
    <row r="140" customFormat="false" ht="15.75" hidden="false" customHeight="false" outlineLevel="0" collapsed="false">
      <c r="A140" s="71"/>
      <c r="B140" s="71"/>
      <c r="C140" s="5"/>
      <c r="D140" s="48"/>
      <c r="E140" s="75" t="n">
        <f aca="false">IFERROR(__xludf.dummyfunction("COUNTA(SPLIT(D140,"" ""))/COUNTA(SPLIT($B$67,"" ""))"),1)</f>
        <v>1</v>
      </c>
      <c r="F140" s="5"/>
      <c r="G140" s="5"/>
      <c r="H140" s="5"/>
      <c r="I140" s="5"/>
      <c r="J140" s="5"/>
      <c r="K140" s="50"/>
      <c r="L140" s="50"/>
      <c r="M140" s="50"/>
      <c r="N140" s="50"/>
      <c r="O140" s="50"/>
      <c r="P140" s="50"/>
      <c r="Q140" s="50"/>
      <c r="R140" s="50"/>
      <c r="S140" s="50"/>
      <c r="T140" s="50"/>
      <c r="U140" s="50"/>
      <c r="V140" s="50"/>
      <c r="W140" s="50"/>
      <c r="X140" s="50"/>
      <c r="Y140" s="50"/>
      <c r="Z140" s="50"/>
      <c r="AA140" s="50"/>
      <c r="AB140" s="50"/>
    </row>
    <row r="141" customFormat="false" ht="15.75" hidden="false" customHeight="false" outlineLevel="0" collapsed="false">
      <c r="A141" s="50"/>
      <c r="B141" s="50"/>
      <c r="C141" s="5"/>
      <c r="D141" s="48"/>
      <c r="E141" s="50"/>
      <c r="F141" s="5"/>
      <c r="G141" s="5"/>
      <c r="H141" s="5"/>
      <c r="I141" s="5"/>
      <c r="J141" s="5"/>
      <c r="K141" s="50"/>
      <c r="L141" s="50"/>
      <c r="M141" s="50"/>
      <c r="N141" s="50"/>
      <c r="O141" s="50"/>
      <c r="P141" s="50"/>
      <c r="Q141" s="50"/>
      <c r="R141" s="50"/>
      <c r="S141" s="50"/>
      <c r="T141" s="50"/>
      <c r="U141" s="50"/>
      <c r="V141" s="50"/>
      <c r="W141" s="50"/>
      <c r="X141" s="50"/>
      <c r="Y141" s="50"/>
      <c r="Z141" s="50"/>
      <c r="AA141" s="50"/>
      <c r="AB141" s="50"/>
    </row>
    <row r="142" customFormat="false" ht="15.75" hidden="false" customHeight="false" outlineLevel="0" collapsed="false">
      <c r="A142" s="71"/>
      <c r="B142" s="54"/>
      <c r="C142" s="55" t="s">
        <v>16</v>
      </c>
      <c r="D142" s="56"/>
      <c r="E142" s="72" t="n">
        <f aca="false">IFERROR(__xludf.dummyfunction("COUNTA(SPLIT(D142,"" ""))/COUNTA(SPLIT($B$67,"" ""))"),1)</f>
        <v>1</v>
      </c>
      <c r="F142" s="55"/>
      <c r="G142" s="55"/>
      <c r="H142" s="55"/>
      <c r="I142" s="55"/>
      <c r="J142" s="55"/>
      <c r="K142" s="58"/>
      <c r="L142" s="58"/>
      <c r="M142" s="58"/>
      <c r="N142" s="58"/>
      <c r="O142" s="58"/>
      <c r="P142" s="58"/>
      <c r="Q142" s="58"/>
      <c r="R142" s="58"/>
      <c r="S142" s="58"/>
      <c r="T142" s="58"/>
      <c r="U142" s="58"/>
      <c r="V142" s="58"/>
      <c r="W142" s="58"/>
      <c r="X142" s="58"/>
      <c r="Y142" s="58"/>
      <c r="Z142" s="58"/>
      <c r="AA142" s="58"/>
      <c r="AB142" s="58"/>
    </row>
    <row r="143" customFormat="false" ht="15.75" hidden="false" customHeight="false" outlineLevel="0" collapsed="false">
      <c r="A143" s="71"/>
      <c r="B143" s="71"/>
      <c r="C143" s="5"/>
      <c r="D143" s="48"/>
      <c r="E143" s="73" t="n">
        <f aca="false">IFERROR(__xludf.dummyfunction("COUNTA(SPLIT(D143,"" ""))/COUNTA(SPLIT($B$67,"" ""))"),1)</f>
        <v>1</v>
      </c>
      <c r="F143" s="5"/>
      <c r="G143" s="5"/>
      <c r="H143" s="5"/>
      <c r="I143" s="5"/>
      <c r="J143" s="5"/>
      <c r="K143" s="50"/>
      <c r="L143" s="50"/>
      <c r="M143" s="50"/>
      <c r="N143" s="50"/>
      <c r="O143" s="50"/>
      <c r="P143" s="50"/>
      <c r="Q143" s="50"/>
      <c r="R143" s="50"/>
      <c r="S143" s="50"/>
      <c r="T143" s="50"/>
      <c r="U143" s="50"/>
      <c r="V143" s="50"/>
      <c r="W143" s="50"/>
      <c r="X143" s="50"/>
      <c r="Y143" s="50"/>
      <c r="Z143" s="50"/>
      <c r="AA143" s="50"/>
      <c r="AB143" s="50"/>
    </row>
    <row r="144" customFormat="false" ht="15.75" hidden="false" customHeight="false" outlineLevel="0" collapsed="false">
      <c r="A144" s="71"/>
      <c r="B144" s="71"/>
      <c r="C144" s="5"/>
      <c r="D144" s="48"/>
      <c r="E144" s="74" t="n">
        <f aca="false">IFERROR(__xludf.dummyfunction("COUNTA(SPLIT(D144,"" ""))/COUNTA(SPLIT($B$67,"" ""))"),1)</f>
        <v>1</v>
      </c>
      <c r="F144" s="5"/>
      <c r="G144" s="5"/>
      <c r="H144" s="5"/>
      <c r="I144" s="5"/>
      <c r="J144" s="5"/>
      <c r="K144" s="50"/>
      <c r="L144" s="50"/>
      <c r="M144" s="50"/>
      <c r="N144" s="50"/>
      <c r="O144" s="50"/>
      <c r="P144" s="50"/>
      <c r="Q144" s="50"/>
      <c r="R144" s="50"/>
      <c r="S144" s="50"/>
      <c r="T144" s="50"/>
      <c r="U144" s="50"/>
      <c r="V144" s="50"/>
      <c r="W144" s="50"/>
      <c r="X144" s="50"/>
      <c r="Y144" s="50"/>
      <c r="Z144" s="50"/>
      <c r="AA144" s="50"/>
      <c r="AB144" s="50"/>
    </row>
    <row r="145" customFormat="false" ht="15.75" hidden="false" customHeight="false" outlineLevel="0" collapsed="false">
      <c r="A145" s="71"/>
      <c r="B145" s="71"/>
      <c r="C145" s="5"/>
      <c r="D145" s="48"/>
      <c r="E145" s="75" t="n">
        <f aca="false">IFERROR(__xludf.dummyfunction("COUNTA(SPLIT(D145,"" ""))/COUNTA(SPLIT($B$67,"" ""))"),1)</f>
        <v>1</v>
      </c>
      <c r="F145" s="5"/>
      <c r="G145" s="5"/>
      <c r="H145" s="5"/>
      <c r="I145" s="5"/>
      <c r="J145" s="5"/>
      <c r="K145" s="50"/>
      <c r="L145" s="50"/>
      <c r="M145" s="50"/>
      <c r="N145" s="50"/>
      <c r="O145" s="50"/>
      <c r="P145" s="50"/>
      <c r="Q145" s="50"/>
      <c r="R145" s="50"/>
      <c r="S145" s="50"/>
      <c r="T145" s="50"/>
      <c r="U145" s="50"/>
      <c r="V145" s="50"/>
      <c r="W145" s="50"/>
      <c r="X145" s="50"/>
      <c r="Y145" s="50"/>
      <c r="Z145" s="50"/>
      <c r="AA145" s="50"/>
      <c r="AB145" s="50"/>
    </row>
    <row r="146" customFormat="false" ht="15.75" hidden="false" customHeight="false" outlineLevel="0" collapsed="false">
      <c r="A146" s="50"/>
      <c r="B146" s="50"/>
      <c r="C146" s="5"/>
      <c r="D146" s="48"/>
      <c r="E146" s="50"/>
      <c r="F146" s="5"/>
      <c r="G146" s="5"/>
      <c r="H146" s="5"/>
      <c r="I146" s="5"/>
      <c r="J146" s="5"/>
      <c r="K146" s="50"/>
      <c r="L146" s="50"/>
      <c r="M146" s="50"/>
      <c r="N146" s="50"/>
      <c r="O146" s="50"/>
      <c r="P146" s="50"/>
      <c r="Q146" s="50"/>
      <c r="R146" s="50"/>
      <c r="S146" s="50"/>
      <c r="T146" s="50"/>
      <c r="U146" s="50"/>
      <c r="V146" s="50"/>
      <c r="W146" s="50"/>
      <c r="X146" s="50"/>
      <c r="Y146" s="50"/>
      <c r="Z146" s="50"/>
      <c r="AA146" s="50"/>
      <c r="AB146" s="50"/>
    </row>
    <row r="147" customFormat="false" ht="15.75" hidden="false" customHeight="false" outlineLevel="0" collapsed="false">
      <c r="A147" s="71"/>
      <c r="B147" s="54"/>
      <c r="C147" s="55" t="s">
        <v>16</v>
      </c>
      <c r="D147" s="56"/>
      <c r="E147" s="72" t="n">
        <f aca="false">IFERROR(__xludf.dummyfunction("COUNTA(SPLIT(D147,"" ""))/COUNTA(SPLIT($B$67,"" ""))"),1)</f>
        <v>1</v>
      </c>
      <c r="F147" s="55"/>
      <c r="G147" s="55"/>
      <c r="H147" s="55"/>
      <c r="I147" s="55"/>
      <c r="J147" s="55"/>
      <c r="K147" s="58"/>
      <c r="L147" s="58"/>
      <c r="M147" s="58"/>
      <c r="N147" s="58"/>
      <c r="O147" s="58"/>
      <c r="P147" s="58"/>
      <c r="Q147" s="58"/>
      <c r="R147" s="58"/>
      <c r="S147" s="58"/>
      <c r="T147" s="58"/>
      <c r="U147" s="58"/>
      <c r="V147" s="58"/>
      <c r="W147" s="58"/>
      <c r="X147" s="58"/>
      <c r="Y147" s="58"/>
      <c r="Z147" s="58"/>
      <c r="AA147" s="58"/>
      <c r="AB147" s="58"/>
    </row>
    <row r="148" customFormat="false" ht="15.75" hidden="false" customHeight="false" outlineLevel="0" collapsed="false">
      <c r="A148" s="71"/>
      <c r="B148" s="71"/>
      <c r="C148" s="5"/>
      <c r="D148" s="48"/>
      <c r="E148" s="73" t="n">
        <f aca="false">IFERROR(__xludf.dummyfunction("COUNTA(SPLIT(D148,"" ""))/COUNTA(SPLIT($B$67,"" ""))"),1)</f>
        <v>1</v>
      </c>
      <c r="F148" s="5"/>
      <c r="G148" s="5"/>
      <c r="H148" s="5"/>
      <c r="I148" s="5"/>
      <c r="J148" s="5"/>
      <c r="K148" s="50"/>
      <c r="L148" s="50"/>
      <c r="M148" s="50"/>
      <c r="N148" s="50"/>
      <c r="O148" s="50"/>
      <c r="P148" s="50"/>
      <c r="Q148" s="50"/>
      <c r="R148" s="50"/>
      <c r="S148" s="50"/>
      <c r="T148" s="50"/>
      <c r="U148" s="50"/>
      <c r="V148" s="50"/>
      <c r="W148" s="50"/>
      <c r="X148" s="50"/>
      <c r="Y148" s="50"/>
      <c r="Z148" s="50"/>
      <c r="AA148" s="50"/>
      <c r="AB148" s="50"/>
    </row>
    <row r="149" customFormat="false" ht="15.75" hidden="false" customHeight="false" outlineLevel="0" collapsed="false">
      <c r="A149" s="71"/>
      <c r="B149" s="71"/>
      <c r="C149" s="5"/>
      <c r="D149" s="48"/>
      <c r="E149" s="74" t="n">
        <f aca="false">IFERROR(__xludf.dummyfunction("COUNTA(SPLIT(D149,"" ""))/COUNTA(SPLIT($B$67,"" ""))"),1)</f>
        <v>1</v>
      </c>
      <c r="F149" s="5"/>
      <c r="G149" s="5"/>
      <c r="H149" s="5"/>
      <c r="I149" s="5"/>
      <c r="J149" s="5"/>
      <c r="K149" s="50"/>
      <c r="L149" s="50"/>
      <c r="M149" s="50"/>
      <c r="N149" s="50"/>
      <c r="O149" s="50"/>
      <c r="P149" s="50"/>
      <c r="Q149" s="50"/>
      <c r="R149" s="50"/>
      <c r="S149" s="50"/>
      <c r="T149" s="50"/>
      <c r="U149" s="50"/>
      <c r="V149" s="50"/>
      <c r="W149" s="50"/>
      <c r="X149" s="50"/>
      <c r="Y149" s="50"/>
      <c r="Z149" s="50"/>
      <c r="AA149" s="50"/>
      <c r="AB149" s="50"/>
    </row>
    <row r="150" customFormat="false" ht="15.75" hidden="false" customHeight="false" outlineLevel="0" collapsed="false">
      <c r="A150" s="71"/>
      <c r="B150" s="71"/>
      <c r="C150" s="5"/>
      <c r="D150" s="48"/>
      <c r="E150" s="75" t="n">
        <f aca="false">IFERROR(__xludf.dummyfunction("COUNTA(SPLIT(D150,"" ""))/COUNTA(SPLIT($B$67,"" ""))"),1)</f>
        <v>1</v>
      </c>
      <c r="F150" s="5"/>
      <c r="G150" s="5"/>
      <c r="H150" s="5"/>
      <c r="I150" s="5"/>
      <c r="J150" s="5"/>
      <c r="K150" s="50"/>
      <c r="L150" s="50"/>
      <c r="M150" s="50"/>
      <c r="N150" s="50"/>
      <c r="O150" s="50"/>
      <c r="P150" s="50"/>
      <c r="Q150" s="50"/>
      <c r="R150" s="50"/>
      <c r="S150" s="50"/>
      <c r="T150" s="50"/>
      <c r="U150" s="50"/>
      <c r="V150" s="50"/>
      <c r="W150" s="50"/>
      <c r="X150" s="50"/>
      <c r="Y150" s="50"/>
      <c r="Z150" s="50"/>
      <c r="AA150" s="50"/>
      <c r="AB150" s="50"/>
    </row>
    <row r="151" customFormat="false" ht="15.75" hidden="false" customHeight="false" outlineLevel="0" collapsed="false">
      <c r="A151" s="50"/>
      <c r="B151" s="50"/>
      <c r="C151" s="5"/>
      <c r="D151" s="48"/>
      <c r="E151" s="50"/>
      <c r="F151" s="5"/>
      <c r="G151" s="5"/>
      <c r="H151" s="5"/>
      <c r="I151" s="5"/>
      <c r="J151" s="5"/>
      <c r="K151" s="50"/>
      <c r="L151" s="50"/>
      <c r="M151" s="50"/>
      <c r="N151" s="50"/>
      <c r="O151" s="50"/>
      <c r="P151" s="50"/>
      <c r="Q151" s="50"/>
      <c r="R151" s="50"/>
      <c r="S151" s="50"/>
      <c r="T151" s="50"/>
      <c r="U151" s="50"/>
      <c r="V151" s="50"/>
      <c r="W151" s="50"/>
      <c r="X151" s="50"/>
      <c r="Y151" s="50"/>
      <c r="Z151" s="50"/>
      <c r="AA151" s="50"/>
      <c r="AB151" s="50"/>
    </row>
    <row r="152" customFormat="false" ht="15.75" hidden="false" customHeight="false" outlineLevel="0" collapsed="false">
      <c r="A152" s="71"/>
      <c r="B152" s="54"/>
      <c r="C152" s="55" t="s">
        <v>16</v>
      </c>
      <c r="D152" s="56"/>
      <c r="E152" s="72" t="n">
        <f aca="false">IFERROR(__xludf.dummyfunction("COUNTA(SPLIT(D152,"" ""))/COUNTA(SPLIT($B$67,"" ""))"),1)</f>
        <v>1</v>
      </c>
      <c r="F152" s="55"/>
      <c r="G152" s="55"/>
      <c r="H152" s="55"/>
      <c r="I152" s="55"/>
      <c r="J152" s="55"/>
      <c r="K152" s="58"/>
      <c r="L152" s="58"/>
      <c r="M152" s="58"/>
      <c r="N152" s="58"/>
      <c r="O152" s="58"/>
      <c r="P152" s="58"/>
      <c r="Q152" s="58"/>
      <c r="R152" s="58"/>
      <c r="S152" s="58"/>
      <c r="T152" s="58"/>
      <c r="U152" s="58"/>
      <c r="V152" s="58"/>
      <c r="W152" s="58"/>
      <c r="X152" s="58"/>
      <c r="Y152" s="58"/>
      <c r="Z152" s="58"/>
      <c r="AA152" s="58"/>
      <c r="AB152" s="58"/>
    </row>
    <row r="153" customFormat="false" ht="15.75" hidden="false" customHeight="false" outlineLevel="0" collapsed="false">
      <c r="A153" s="71"/>
      <c r="B153" s="71"/>
      <c r="C153" s="5"/>
      <c r="D153" s="48"/>
      <c r="E153" s="73" t="n">
        <f aca="false">IFERROR(__xludf.dummyfunction("COUNTA(SPLIT(D153,"" ""))/COUNTA(SPLIT($B$67,"" ""))"),1)</f>
        <v>1</v>
      </c>
      <c r="F153" s="5"/>
      <c r="G153" s="5"/>
      <c r="H153" s="5"/>
      <c r="I153" s="5"/>
      <c r="J153" s="5"/>
      <c r="K153" s="50"/>
      <c r="L153" s="50"/>
      <c r="M153" s="50"/>
      <c r="N153" s="50"/>
      <c r="O153" s="50"/>
      <c r="P153" s="50"/>
      <c r="Q153" s="50"/>
      <c r="R153" s="50"/>
      <c r="S153" s="50"/>
      <c r="T153" s="50"/>
      <c r="U153" s="50"/>
      <c r="V153" s="50"/>
      <c r="W153" s="50"/>
      <c r="X153" s="50"/>
      <c r="Y153" s="50"/>
      <c r="Z153" s="50"/>
      <c r="AA153" s="50"/>
      <c r="AB153" s="50"/>
    </row>
    <row r="154" customFormat="false" ht="15.75" hidden="false" customHeight="false" outlineLevel="0" collapsed="false">
      <c r="A154" s="71"/>
      <c r="B154" s="71"/>
      <c r="C154" s="5"/>
      <c r="D154" s="48"/>
      <c r="E154" s="74" t="n">
        <f aca="false">IFERROR(__xludf.dummyfunction("COUNTA(SPLIT(D154,"" ""))/COUNTA(SPLIT($B$67,"" ""))"),1)</f>
        <v>1</v>
      </c>
      <c r="F154" s="5"/>
      <c r="G154" s="5"/>
      <c r="H154" s="5"/>
      <c r="I154" s="5"/>
      <c r="J154" s="5"/>
      <c r="K154" s="50"/>
      <c r="L154" s="50"/>
      <c r="M154" s="50"/>
      <c r="N154" s="50"/>
      <c r="O154" s="50"/>
      <c r="P154" s="50"/>
      <c r="Q154" s="50"/>
      <c r="R154" s="50"/>
      <c r="S154" s="50"/>
      <c r="T154" s="50"/>
      <c r="U154" s="50"/>
      <c r="V154" s="50"/>
      <c r="W154" s="50"/>
      <c r="X154" s="50"/>
      <c r="Y154" s="50"/>
      <c r="Z154" s="50"/>
      <c r="AA154" s="50"/>
      <c r="AB154" s="50"/>
    </row>
    <row r="155" customFormat="false" ht="15.75" hidden="false" customHeight="false" outlineLevel="0" collapsed="false">
      <c r="A155" s="71"/>
      <c r="B155" s="71"/>
      <c r="C155" s="5"/>
      <c r="D155" s="48"/>
      <c r="E155" s="75" t="n">
        <f aca="false">IFERROR(__xludf.dummyfunction("COUNTA(SPLIT(D155,"" ""))/COUNTA(SPLIT($B$67,"" ""))"),1)</f>
        <v>1</v>
      </c>
      <c r="F155" s="5"/>
      <c r="G155" s="5"/>
      <c r="H155" s="5"/>
      <c r="I155" s="5"/>
      <c r="J155" s="5"/>
      <c r="K155" s="50"/>
      <c r="L155" s="50"/>
      <c r="M155" s="50"/>
      <c r="N155" s="50"/>
      <c r="O155" s="50"/>
      <c r="P155" s="50"/>
      <c r="Q155" s="50"/>
      <c r="R155" s="50"/>
      <c r="S155" s="50"/>
      <c r="T155" s="50"/>
      <c r="U155" s="50"/>
      <c r="V155" s="50"/>
      <c r="W155" s="50"/>
      <c r="X155" s="50"/>
      <c r="Y155" s="50"/>
      <c r="Z155" s="50"/>
      <c r="AA155" s="50"/>
      <c r="AB155" s="50"/>
    </row>
    <row r="156" customFormat="false" ht="15.75" hidden="false" customHeight="false" outlineLevel="0" collapsed="false">
      <c r="A156" s="50"/>
      <c r="B156" s="50"/>
      <c r="C156" s="5"/>
      <c r="D156" s="48"/>
      <c r="E156" s="50"/>
      <c r="F156" s="5"/>
      <c r="G156" s="5"/>
      <c r="H156" s="5"/>
      <c r="I156" s="5"/>
      <c r="J156" s="5"/>
      <c r="K156" s="50"/>
      <c r="L156" s="50"/>
      <c r="M156" s="50"/>
      <c r="N156" s="50"/>
      <c r="O156" s="50"/>
      <c r="P156" s="50"/>
      <c r="Q156" s="50"/>
      <c r="R156" s="50"/>
      <c r="S156" s="50"/>
      <c r="T156" s="50"/>
      <c r="U156" s="50"/>
      <c r="V156" s="50"/>
      <c r="W156" s="50"/>
      <c r="X156" s="50"/>
      <c r="Y156" s="50"/>
      <c r="Z156" s="50"/>
      <c r="AA156" s="50"/>
      <c r="AB156" s="50"/>
    </row>
    <row r="157" customFormat="false" ht="15.75" hidden="false" customHeight="false" outlineLevel="0" collapsed="false">
      <c r="A157" s="71"/>
      <c r="B157" s="54"/>
      <c r="C157" s="55" t="s">
        <v>16</v>
      </c>
      <c r="D157" s="56"/>
      <c r="E157" s="72" t="n">
        <f aca="false">IFERROR(__xludf.dummyfunction("COUNTA(SPLIT(D157,"" ""))/COUNTA(SPLIT($B$67,"" ""))"),1)</f>
        <v>1</v>
      </c>
      <c r="F157" s="55"/>
      <c r="G157" s="55"/>
      <c r="H157" s="55"/>
      <c r="I157" s="55"/>
      <c r="J157" s="55"/>
      <c r="K157" s="58"/>
      <c r="L157" s="58"/>
      <c r="M157" s="58"/>
      <c r="N157" s="58"/>
      <c r="O157" s="58"/>
      <c r="P157" s="58"/>
      <c r="Q157" s="58"/>
      <c r="R157" s="58"/>
      <c r="S157" s="58"/>
      <c r="T157" s="58"/>
      <c r="U157" s="58"/>
      <c r="V157" s="58"/>
      <c r="W157" s="58"/>
      <c r="X157" s="58"/>
      <c r="Y157" s="58"/>
      <c r="Z157" s="58"/>
      <c r="AA157" s="58"/>
      <c r="AB157" s="58"/>
    </row>
    <row r="158" customFormat="false" ht="15.75" hidden="false" customHeight="false" outlineLevel="0" collapsed="false">
      <c r="A158" s="71"/>
      <c r="B158" s="71"/>
      <c r="C158" s="5"/>
      <c r="D158" s="48"/>
      <c r="E158" s="73" t="n">
        <f aca="false">IFERROR(__xludf.dummyfunction("COUNTA(SPLIT(D158,"" ""))/COUNTA(SPLIT($B$67,"" ""))"),1)</f>
        <v>1</v>
      </c>
      <c r="F158" s="5"/>
      <c r="G158" s="5"/>
      <c r="H158" s="5"/>
      <c r="I158" s="5"/>
      <c r="J158" s="5"/>
      <c r="K158" s="50"/>
      <c r="L158" s="50"/>
      <c r="M158" s="50"/>
      <c r="N158" s="50"/>
      <c r="O158" s="50"/>
      <c r="P158" s="50"/>
      <c r="Q158" s="50"/>
      <c r="R158" s="50"/>
      <c r="S158" s="50"/>
      <c r="T158" s="50"/>
      <c r="U158" s="50"/>
      <c r="V158" s="50"/>
      <c r="W158" s="50"/>
      <c r="X158" s="50"/>
      <c r="Y158" s="50"/>
      <c r="Z158" s="50"/>
      <c r="AA158" s="50"/>
      <c r="AB158" s="50"/>
    </row>
    <row r="159" customFormat="false" ht="15.75" hidden="false" customHeight="false" outlineLevel="0" collapsed="false">
      <c r="A159" s="71"/>
      <c r="B159" s="71"/>
      <c r="C159" s="5"/>
      <c r="D159" s="48"/>
      <c r="E159" s="74" t="n">
        <f aca="false">IFERROR(__xludf.dummyfunction("COUNTA(SPLIT(D159,"" ""))/COUNTA(SPLIT($B$67,"" ""))"),1)</f>
        <v>1</v>
      </c>
      <c r="F159" s="5"/>
      <c r="G159" s="5"/>
      <c r="H159" s="5"/>
      <c r="I159" s="5"/>
      <c r="J159" s="5"/>
      <c r="K159" s="50"/>
      <c r="L159" s="50"/>
      <c r="M159" s="50"/>
      <c r="N159" s="50"/>
      <c r="O159" s="50"/>
      <c r="P159" s="50"/>
      <c r="Q159" s="50"/>
      <c r="R159" s="50"/>
      <c r="S159" s="50"/>
      <c r="T159" s="50"/>
      <c r="U159" s="50"/>
      <c r="V159" s="50"/>
      <c r="W159" s="50"/>
      <c r="X159" s="50"/>
      <c r="Y159" s="50"/>
      <c r="Z159" s="50"/>
      <c r="AA159" s="50"/>
      <c r="AB159" s="50"/>
    </row>
    <row r="160" customFormat="false" ht="15.75" hidden="false" customHeight="false" outlineLevel="0" collapsed="false">
      <c r="A160" s="71"/>
      <c r="B160" s="71"/>
      <c r="C160" s="5"/>
      <c r="D160" s="48"/>
      <c r="E160" s="75" t="n">
        <f aca="false">IFERROR(__xludf.dummyfunction("COUNTA(SPLIT(D160,"" ""))/COUNTA(SPLIT($B$67,"" ""))"),1)</f>
        <v>1</v>
      </c>
      <c r="F160" s="5"/>
      <c r="G160" s="5"/>
      <c r="H160" s="5"/>
      <c r="I160" s="5"/>
      <c r="J160" s="5"/>
      <c r="K160" s="50"/>
      <c r="L160" s="50"/>
      <c r="M160" s="50"/>
      <c r="N160" s="50"/>
      <c r="O160" s="50"/>
      <c r="P160" s="50"/>
      <c r="Q160" s="50"/>
      <c r="R160" s="50"/>
      <c r="S160" s="50"/>
      <c r="T160" s="50"/>
      <c r="U160" s="50"/>
      <c r="V160" s="50"/>
      <c r="W160" s="50"/>
      <c r="X160" s="50"/>
      <c r="Y160" s="50"/>
      <c r="Z160" s="50"/>
      <c r="AA160" s="50"/>
      <c r="AB160" s="50"/>
    </row>
    <row r="161" customFormat="false" ht="15.75" hidden="false" customHeight="false" outlineLevel="0" collapsed="false">
      <c r="A161" s="50"/>
      <c r="B161" s="50"/>
      <c r="C161" s="5"/>
      <c r="D161" s="48"/>
      <c r="E161" s="50"/>
      <c r="F161" s="5"/>
      <c r="G161" s="5"/>
      <c r="H161" s="5"/>
      <c r="I161" s="5"/>
      <c r="J161" s="5"/>
      <c r="K161" s="50"/>
      <c r="L161" s="50"/>
      <c r="M161" s="50"/>
      <c r="N161" s="50"/>
      <c r="O161" s="50"/>
      <c r="P161" s="50"/>
      <c r="Q161" s="50"/>
      <c r="R161" s="50"/>
      <c r="S161" s="50"/>
      <c r="T161" s="50"/>
      <c r="U161" s="50"/>
      <c r="V161" s="50"/>
      <c r="W161" s="50"/>
      <c r="X161" s="50"/>
      <c r="Y161" s="50"/>
      <c r="Z161" s="50"/>
      <c r="AA161" s="50"/>
      <c r="AB161" s="50"/>
    </row>
    <row r="162" customFormat="false" ht="15.75" hidden="false" customHeight="false" outlineLevel="0" collapsed="false">
      <c r="A162" s="71"/>
      <c r="B162" s="54"/>
      <c r="C162" s="55" t="s">
        <v>16</v>
      </c>
      <c r="D162" s="56"/>
      <c r="E162" s="72" t="n">
        <f aca="false">IFERROR(__xludf.dummyfunction("COUNTA(SPLIT(D162,"" ""))/COUNTA(SPLIT($B$67,"" ""))"),1)</f>
        <v>1</v>
      </c>
      <c r="F162" s="55"/>
      <c r="G162" s="55"/>
      <c r="H162" s="55"/>
      <c r="I162" s="55"/>
      <c r="J162" s="55"/>
      <c r="K162" s="58"/>
      <c r="L162" s="58"/>
      <c r="M162" s="58"/>
      <c r="N162" s="58"/>
      <c r="O162" s="58"/>
      <c r="P162" s="58"/>
      <c r="Q162" s="58"/>
      <c r="R162" s="58"/>
      <c r="S162" s="58"/>
      <c r="T162" s="58"/>
      <c r="U162" s="58"/>
      <c r="V162" s="58"/>
      <c r="W162" s="58"/>
      <c r="X162" s="58"/>
      <c r="Y162" s="58"/>
      <c r="Z162" s="58"/>
      <c r="AA162" s="58"/>
      <c r="AB162" s="58"/>
    </row>
    <row r="163" customFormat="false" ht="15.75" hidden="false" customHeight="false" outlineLevel="0" collapsed="false">
      <c r="A163" s="71"/>
      <c r="B163" s="71"/>
      <c r="C163" s="5"/>
      <c r="D163" s="48"/>
      <c r="E163" s="73" t="n">
        <f aca="false">IFERROR(__xludf.dummyfunction("COUNTA(SPLIT(D163,"" ""))/COUNTA(SPLIT($B$67,"" ""))"),1)</f>
        <v>1</v>
      </c>
      <c r="F163" s="5"/>
      <c r="G163" s="5"/>
      <c r="H163" s="5"/>
      <c r="I163" s="5"/>
      <c r="J163" s="5"/>
      <c r="K163" s="50"/>
      <c r="L163" s="50"/>
      <c r="M163" s="50"/>
      <c r="N163" s="50"/>
      <c r="O163" s="50"/>
      <c r="P163" s="50"/>
      <c r="Q163" s="50"/>
      <c r="R163" s="50"/>
      <c r="S163" s="50"/>
      <c r="T163" s="50"/>
      <c r="U163" s="50"/>
      <c r="V163" s="50"/>
      <c r="W163" s="50"/>
      <c r="X163" s="50"/>
      <c r="Y163" s="50"/>
      <c r="Z163" s="50"/>
      <c r="AA163" s="50"/>
      <c r="AB163" s="50"/>
    </row>
    <row r="164" customFormat="false" ht="15.75" hidden="false" customHeight="false" outlineLevel="0" collapsed="false">
      <c r="A164" s="71"/>
      <c r="B164" s="71"/>
      <c r="C164" s="5"/>
      <c r="D164" s="48"/>
      <c r="E164" s="74" t="n">
        <f aca="false">IFERROR(__xludf.dummyfunction("COUNTA(SPLIT(D164,"" ""))/COUNTA(SPLIT($B$67,"" ""))"),1)</f>
        <v>1</v>
      </c>
      <c r="F164" s="5"/>
      <c r="G164" s="5"/>
      <c r="H164" s="5"/>
      <c r="I164" s="5"/>
      <c r="J164" s="5"/>
      <c r="K164" s="50"/>
      <c r="L164" s="50"/>
      <c r="M164" s="50"/>
      <c r="N164" s="50"/>
      <c r="O164" s="50"/>
      <c r="P164" s="50"/>
      <c r="Q164" s="50"/>
      <c r="R164" s="50"/>
      <c r="S164" s="50"/>
      <c r="T164" s="50"/>
      <c r="U164" s="50"/>
      <c r="V164" s="50"/>
      <c r="W164" s="50"/>
      <c r="X164" s="50"/>
      <c r="Y164" s="50"/>
      <c r="Z164" s="50"/>
      <c r="AA164" s="50"/>
      <c r="AB164" s="50"/>
    </row>
    <row r="165" customFormat="false" ht="15.75" hidden="false" customHeight="false" outlineLevel="0" collapsed="false">
      <c r="A165" s="71"/>
      <c r="B165" s="71"/>
      <c r="C165" s="5"/>
      <c r="D165" s="48"/>
      <c r="E165" s="75" t="n">
        <f aca="false">IFERROR(__xludf.dummyfunction("COUNTA(SPLIT(D165,"" ""))/COUNTA(SPLIT($B$67,"" ""))"),1)</f>
        <v>1</v>
      </c>
      <c r="F165" s="5"/>
      <c r="G165" s="5"/>
      <c r="H165" s="5"/>
      <c r="I165" s="5"/>
      <c r="J165" s="5"/>
      <c r="K165" s="50"/>
      <c r="L165" s="50"/>
      <c r="M165" s="50"/>
      <c r="N165" s="50"/>
      <c r="O165" s="50"/>
      <c r="P165" s="50"/>
      <c r="Q165" s="50"/>
      <c r="R165" s="50"/>
      <c r="S165" s="50"/>
      <c r="T165" s="50"/>
      <c r="U165" s="50"/>
      <c r="V165" s="50"/>
      <c r="W165" s="50"/>
      <c r="X165" s="50"/>
      <c r="Y165" s="50"/>
      <c r="Z165" s="50"/>
      <c r="AA165" s="50"/>
      <c r="AB165" s="50"/>
    </row>
    <row r="166" customFormat="false" ht="15.75" hidden="false" customHeight="false" outlineLevel="0" collapsed="false">
      <c r="A166" s="50"/>
      <c r="B166" s="50"/>
      <c r="C166" s="5"/>
      <c r="D166" s="48"/>
      <c r="E166" s="50"/>
      <c r="F166" s="5"/>
      <c r="G166" s="5"/>
      <c r="H166" s="5"/>
      <c r="I166" s="5"/>
      <c r="J166" s="5"/>
      <c r="K166" s="50"/>
      <c r="L166" s="50"/>
      <c r="M166" s="50"/>
      <c r="N166" s="50"/>
      <c r="O166" s="50"/>
      <c r="P166" s="50"/>
      <c r="Q166" s="50"/>
      <c r="R166" s="50"/>
      <c r="S166" s="50"/>
      <c r="T166" s="50"/>
      <c r="U166" s="50"/>
      <c r="V166" s="50"/>
      <c r="W166" s="50"/>
      <c r="X166" s="50"/>
      <c r="Y166" s="50"/>
      <c r="Z166" s="50"/>
      <c r="AA166" s="50"/>
      <c r="AB166" s="50"/>
    </row>
    <row r="167" customFormat="false" ht="15.75" hidden="false" customHeight="false" outlineLevel="0" collapsed="false">
      <c r="A167" s="50"/>
      <c r="B167" s="50"/>
      <c r="C167" s="5"/>
      <c r="D167" s="48"/>
      <c r="E167" s="50"/>
      <c r="F167" s="5"/>
      <c r="G167" s="5"/>
      <c r="H167" s="5"/>
      <c r="I167" s="5"/>
      <c r="J167" s="5"/>
      <c r="K167" s="50"/>
      <c r="L167" s="50"/>
      <c r="M167" s="50"/>
      <c r="N167" s="50"/>
      <c r="O167" s="50"/>
      <c r="P167" s="50"/>
      <c r="Q167" s="50"/>
      <c r="R167" s="50"/>
      <c r="S167" s="50"/>
      <c r="T167" s="50"/>
      <c r="U167" s="50"/>
      <c r="V167" s="50"/>
      <c r="W167" s="50"/>
      <c r="X167" s="50"/>
      <c r="Y167" s="50"/>
      <c r="Z167" s="50"/>
      <c r="AA167" s="50"/>
      <c r="AB167" s="50"/>
    </row>
    <row r="168" customFormat="false" ht="15.75" hidden="false" customHeight="false" outlineLevel="0" collapsed="false">
      <c r="A168" s="50"/>
      <c r="B168" s="50"/>
      <c r="C168" s="5"/>
      <c r="D168" s="48"/>
      <c r="E168" s="50"/>
      <c r="F168" s="5"/>
      <c r="G168" s="5"/>
      <c r="H168" s="5"/>
      <c r="I168" s="5"/>
      <c r="J168" s="5"/>
      <c r="K168" s="50"/>
      <c r="L168" s="50"/>
      <c r="M168" s="50"/>
      <c r="N168" s="50"/>
      <c r="O168" s="50"/>
      <c r="P168" s="50"/>
      <c r="Q168" s="50"/>
      <c r="R168" s="50"/>
      <c r="S168" s="50"/>
      <c r="T168" s="50"/>
      <c r="U168" s="50"/>
      <c r="V168" s="50"/>
      <c r="W168" s="50"/>
      <c r="X168" s="50"/>
      <c r="Y168" s="50"/>
      <c r="Z168" s="50"/>
      <c r="AA168" s="50"/>
      <c r="AB168" s="50"/>
    </row>
    <row r="169" customFormat="false" ht="15.75" hidden="false" customHeight="false" outlineLevel="0" collapsed="false">
      <c r="A169" s="50"/>
      <c r="B169" s="50"/>
      <c r="C169" s="5"/>
      <c r="D169" s="48"/>
      <c r="E169" s="50"/>
      <c r="F169" s="5"/>
      <c r="G169" s="5"/>
      <c r="H169" s="5"/>
      <c r="I169" s="5"/>
      <c r="J169" s="5"/>
      <c r="K169" s="50"/>
      <c r="L169" s="50"/>
      <c r="M169" s="50"/>
      <c r="N169" s="50"/>
      <c r="O169" s="50"/>
      <c r="P169" s="50"/>
      <c r="Q169" s="50"/>
      <c r="R169" s="50"/>
      <c r="S169" s="50"/>
      <c r="T169" s="50"/>
      <c r="U169" s="50"/>
      <c r="V169" s="50"/>
      <c r="W169" s="50"/>
      <c r="X169" s="50"/>
      <c r="Y169" s="50"/>
      <c r="Z169" s="50"/>
      <c r="AA169" s="50"/>
      <c r="AB169" s="50"/>
    </row>
    <row r="170" customFormat="false" ht="15.75" hidden="false" customHeight="false" outlineLevel="0" collapsed="false">
      <c r="A170" s="50"/>
      <c r="B170" s="50"/>
      <c r="C170" s="5"/>
      <c r="D170" s="48"/>
      <c r="E170" s="50"/>
      <c r="F170" s="5"/>
      <c r="G170" s="5"/>
      <c r="H170" s="5"/>
      <c r="I170" s="5"/>
      <c r="J170" s="5"/>
      <c r="K170" s="50"/>
      <c r="L170" s="50"/>
      <c r="M170" s="50"/>
      <c r="N170" s="50"/>
      <c r="O170" s="50"/>
      <c r="P170" s="50"/>
      <c r="Q170" s="50"/>
      <c r="R170" s="50"/>
      <c r="S170" s="50"/>
      <c r="T170" s="50"/>
      <c r="U170" s="50"/>
      <c r="V170" s="50"/>
      <c r="W170" s="50"/>
      <c r="X170" s="50"/>
      <c r="Y170" s="50"/>
      <c r="Z170" s="50"/>
      <c r="AA170" s="50"/>
      <c r="AB170" s="50"/>
    </row>
    <row r="171" customFormat="false" ht="15.75" hidden="false" customHeight="false" outlineLevel="0" collapsed="false">
      <c r="A171" s="50"/>
      <c r="B171" s="50"/>
      <c r="C171" s="5"/>
      <c r="D171" s="48"/>
      <c r="E171" s="50"/>
      <c r="F171" s="5"/>
      <c r="G171" s="5"/>
      <c r="H171" s="5"/>
      <c r="I171" s="5"/>
      <c r="J171" s="5"/>
      <c r="K171" s="50"/>
      <c r="L171" s="50"/>
      <c r="M171" s="50"/>
      <c r="N171" s="50"/>
      <c r="O171" s="50"/>
      <c r="P171" s="50"/>
      <c r="Q171" s="50"/>
      <c r="R171" s="50"/>
      <c r="S171" s="50"/>
      <c r="T171" s="50"/>
      <c r="U171" s="50"/>
      <c r="V171" s="50"/>
      <c r="W171" s="50"/>
      <c r="X171" s="50"/>
      <c r="Y171" s="50"/>
      <c r="Z171" s="50"/>
      <c r="AA171" s="50"/>
      <c r="AB171" s="50"/>
    </row>
    <row r="172" customFormat="false" ht="15.75" hidden="false" customHeight="false" outlineLevel="0" collapsed="false">
      <c r="A172" s="50"/>
      <c r="B172" s="50"/>
      <c r="C172" s="5"/>
      <c r="D172" s="48"/>
      <c r="E172" s="50"/>
      <c r="F172" s="5"/>
      <c r="G172" s="5"/>
      <c r="H172" s="5"/>
      <c r="I172" s="5"/>
      <c r="J172" s="5"/>
      <c r="K172" s="50"/>
      <c r="L172" s="50"/>
      <c r="M172" s="50"/>
      <c r="N172" s="50"/>
      <c r="O172" s="50"/>
      <c r="P172" s="50"/>
      <c r="Q172" s="50"/>
      <c r="R172" s="50"/>
      <c r="S172" s="50"/>
      <c r="T172" s="50"/>
      <c r="U172" s="50"/>
      <c r="V172" s="50"/>
      <c r="W172" s="50"/>
      <c r="X172" s="50"/>
      <c r="Y172" s="50"/>
      <c r="Z172" s="50"/>
      <c r="AA172" s="50"/>
      <c r="AB172" s="50"/>
    </row>
    <row r="173" customFormat="false" ht="15.75" hidden="false" customHeight="false" outlineLevel="0" collapsed="false">
      <c r="A173" s="50"/>
      <c r="B173" s="50"/>
      <c r="C173" s="5"/>
      <c r="D173" s="48"/>
      <c r="E173" s="50"/>
      <c r="F173" s="5"/>
      <c r="G173" s="5"/>
      <c r="H173" s="5"/>
      <c r="I173" s="5"/>
      <c r="J173" s="5"/>
      <c r="K173" s="50"/>
      <c r="L173" s="50"/>
      <c r="M173" s="50"/>
      <c r="N173" s="50"/>
      <c r="O173" s="50"/>
      <c r="P173" s="50"/>
      <c r="Q173" s="50"/>
      <c r="R173" s="50"/>
      <c r="S173" s="50"/>
      <c r="T173" s="50"/>
      <c r="U173" s="50"/>
      <c r="V173" s="50"/>
      <c r="W173" s="50"/>
      <c r="X173" s="50"/>
      <c r="Y173" s="50"/>
      <c r="Z173" s="50"/>
      <c r="AA173" s="50"/>
      <c r="AB173" s="50"/>
    </row>
    <row r="174" customFormat="false" ht="15.75" hidden="false" customHeight="false" outlineLevel="0" collapsed="false">
      <c r="A174" s="50"/>
      <c r="B174" s="50"/>
      <c r="C174" s="5"/>
      <c r="D174" s="48"/>
      <c r="E174" s="50"/>
      <c r="F174" s="5"/>
      <c r="G174" s="5"/>
      <c r="H174" s="5"/>
      <c r="I174" s="5"/>
      <c r="J174" s="5"/>
      <c r="K174" s="50"/>
      <c r="L174" s="50"/>
      <c r="M174" s="50"/>
      <c r="N174" s="50"/>
      <c r="O174" s="50"/>
      <c r="P174" s="50"/>
      <c r="Q174" s="50"/>
      <c r="R174" s="50"/>
      <c r="S174" s="50"/>
      <c r="T174" s="50"/>
      <c r="U174" s="50"/>
      <c r="V174" s="50"/>
      <c r="W174" s="50"/>
      <c r="X174" s="50"/>
      <c r="Y174" s="50"/>
      <c r="Z174" s="50"/>
      <c r="AA174" s="50"/>
      <c r="AB174" s="50"/>
    </row>
    <row r="175" customFormat="false" ht="15.75" hidden="false" customHeight="false" outlineLevel="0" collapsed="false">
      <c r="A175" s="50"/>
      <c r="B175" s="50"/>
      <c r="C175" s="5"/>
      <c r="D175" s="48"/>
      <c r="E175" s="50"/>
      <c r="F175" s="5"/>
      <c r="G175" s="5"/>
      <c r="H175" s="5"/>
      <c r="I175" s="5"/>
      <c r="J175" s="5"/>
      <c r="K175" s="50"/>
      <c r="L175" s="50"/>
      <c r="M175" s="50"/>
      <c r="N175" s="50"/>
      <c r="O175" s="50"/>
      <c r="P175" s="50"/>
      <c r="Q175" s="50"/>
      <c r="R175" s="50"/>
      <c r="S175" s="50"/>
      <c r="T175" s="50"/>
      <c r="U175" s="50"/>
      <c r="V175" s="50"/>
      <c r="W175" s="50"/>
      <c r="X175" s="50"/>
      <c r="Y175" s="50"/>
      <c r="Z175" s="50"/>
      <c r="AA175" s="50"/>
      <c r="AB175" s="50"/>
    </row>
    <row r="176" customFormat="false" ht="15.75" hidden="false" customHeight="false" outlineLevel="0" collapsed="false">
      <c r="A176" s="50"/>
      <c r="B176" s="50"/>
      <c r="C176" s="5"/>
      <c r="D176" s="48"/>
      <c r="E176" s="50"/>
      <c r="F176" s="5"/>
      <c r="G176" s="5"/>
      <c r="H176" s="5"/>
      <c r="I176" s="5"/>
      <c r="J176" s="5"/>
      <c r="K176" s="50"/>
      <c r="L176" s="50"/>
      <c r="M176" s="50"/>
      <c r="N176" s="50"/>
      <c r="O176" s="50"/>
      <c r="P176" s="50"/>
      <c r="Q176" s="50"/>
      <c r="R176" s="50"/>
      <c r="S176" s="50"/>
      <c r="T176" s="50"/>
      <c r="U176" s="50"/>
      <c r="V176" s="50"/>
      <c r="W176" s="50"/>
      <c r="X176" s="50"/>
      <c r="Y176" s="50"/>
      <c r="Z176" s="50"/>
      <c r="AA176" s="50"/>
      <c r="AB176" s="50"/>
    </row>
    <row r="177" customFormat="false" ht="15.75" hidden="false" customHeight="false" outlineLevel="0" collapsed="false">
      <c r="A177" s="50"/>
      <c r="B177" s="50"/>
      <c r="C177" s="5"/>
      <c r="D177" s="48"/>
      <c r="E177" s="50"/>
      <c r="F177" s="5"/>
      <c r="G177" s="5"/>
      <c r="H177" s="5"/>
      <c r="I177" s="5"/>
      <c r="J177" s="5"/>
      <c r="K177" s="50"/>
      <c r="L177" s="50"/>
      <c r="M177" s="50"/>
      <c r="N177" s="50"/>
      <c r="O177" s="50"/>
      <c r="P177" s="50"/>
      <c r="Q177" s="50"/>
      <c r="R177" s="50"/>
      <c r="S177" s="50"/>
      <c r="T177" s="50"/>
      <c r="U177" s="50"/>
      <c r="V177" s="50"/>
      <c r="W177" s="50"/>
      <c r="X177" s="50"/>
      <c r="Y177" s="50"/>
      <c r="Z177" s="50"/>
      <c r="AA177" s="50"/>
      <c r="AB177" s="50"/>
    </row>
    <row r="178" customFormat="false" ht="15.75" hidden="false" customHeight="false" outlineLevel="0" collapsed="false">
      <c r="A178" s="50"/>
      <c r="B178" s="50"/>
      <c r="C178" s="5"/>
      <c r="D178" s="48"/>
      <c r="E178" s="50"/>
      <c r="F178" s="5"/>
      <c r="G178" s="5"/>
      <c r="H178" s="5"/>
      <c r="I178" s="5"/>
      <c r="J178" s="5"/>
      <c r="K178" s="50"/>
      <c r="L178" s="50"/>
      <c r="M178" s="50"/>
      <c r="N178" s="50"/>
      <c r="O178" s="50"/>
      <c r="P178" s="50"/>
      <c r="Q178" s="50"/>
      <c r="R178" s="50"/>
      <c r="S178" s="50"/>
      <c r="T178" s="50"/>
      <c r="U178" s="50"/>
      <c r="V178" s="50"/>
      <c r="W178" s="50"/>
      <c r="X178" s="50"/>
      <c r="Y178" s="50"/>
      <c r="Z178" s="50"/>
      <c r="AA178" s="50"/>
      <c r="AB178" s="50"/>
    </row>
    <row r="179" customFormat="false" ht="15.75" hidden="false" customHeight="false" outlineLevel="0" collapsed="false">
      <c r="A179" s="50"/>
      <c r="B179" s="50"/>
      <c r="C179" s="5"/>
      <c r="D179" s="48"/>
      <c r="E179" s="50"/>
      <c r="F179" s="5"/>
      <c r="G179" s="5"/>
      <c r="H179" s="5"/>
      <c r="I179" s="5"/>
      <c r="J179" s="5"/>
      <c r="K179" s="50"/>
      <c r="L179" s="50"/>
      <c r="M179" s="50"/>
      <c r="N179" s="50"/>
      <c r="O179" s="50"/>
      <c r="P179" s="50"/>
      <c r="Q179" s="50"/>
      <c r="R179" s="50"/>
      <c r="S179" s="50"/>
      <c r="T179" s="50"/>
      <c r="U179" s="50"/>
      <c r="V179" s="50"/>
      <c r="W179" s="50"/>
      <c r="X179" s="50"/>
      <c r="Y179" s="50"/>
      <c r="Z179" s="50"/>
      <c r="AA179" s="50"/>
      <c r="AB179" s="50"/>
    </row>
    <row r="180" customFormat="false" ht="15.75" hidden="false" customHeight="false" outlineLevel="0" collapsed="false">
      <c r="A180" s="50"/>
      <c r="B180" s="50"/>
      <c r="C180" s="5"/>
      <c r="D180" s="48"/>
      <c r="E180" s="50"/>
      <c r="F180" s="5"/>
      <c r="G180" s="5"/>
      <c r="H180" s="5"/>
      <c r="I180" s="5"/>
      <c r="J180" s="5"/>
      <c r="K180" s="50"/>
      <c r="L180" s="50"/>
      <c r="M180" s="50"/>
      <c r="N180" s="50"/>
      <c r="O180" s="50"/>
      <c r="P180" s="50"/>
      <c r="Q180" s="50"/>
      <c r="R180" s="50"/>
      <c r="S180" s="50"/>
      <c r="T180" s="50"/>
      <c r="U180" s="50"/>
      <c r="V180" s="50"/>
      <c r="W180" s="50"/>
      <c r="X180" s="50"/>
      <c r="Y180" s="50"/>
      <c r="Z180" s="50"/>
      <c r="AA180" s="50"/>
      <c r="AB180" s="50"/>
    </row>
    <row r="181" customFormat="false" ht="15.75" hidden="false" customHeight="false" outlineLevel="0" collapsed="false">
      <c r="A181" s="50"/>
      <c r="B181" s="50"/>
      <c r="C181" s="5"/>
      <c r="D181" s="48"/>
      <c r="E181" s="50"/>
      <c r="F181" s="5"/>
      <c r="G181" s="5"/>
      <c r="H181" s="5"/>
      <c r="I181" s="5"/>
      <c r="J181" s="5"/>
      <c r="K181" s="50"/>
      <c r="L181" s="50"/>
      <c r="M181" s="50"/>
      <c r="N181" s="50"/>
      <c r="O181" s="50"/>
      <c r="P181" s="50"/>
      <c r="Q181" s="50"/>
      <c r="R181" s="50"/>
      <c r="S181" s="50"/>
      <c r="T181" s="50"/>
      <c r="U181" s="50"/>
      <c r="V181" s="50"/>
      <c r="W181" s="50"/>
      <c r="X181" s="50"/>
      <c r="Y181" s="50"/>
      <c r="Z181" s="50"/>
      <c r="AA181" s="50"/>
      <c r="AB181" s="50"/>
    </row>
    <row r="182" customFormat="false" ht="15.75" hidden="false" customHeight="false" outlineLevel="0" collapsed="false">
      <c r="A182" s="50"/>
      <c r="B182" s="50"/>
      <c r="C182" s="5"/>
      <c r="D182" s="48"/>
      <c r="E182" s="50"/>
      <c r="F182" s="5"/>
      <c r="G182" s="5"/>
      <c r="H182" s="5"/>
      <c r="I182" s="5"/>
      <c r="J182" s="5"/>
      <c r="K182" s="50"/>
      <c r="L182" s="50"/>
      <c r="M182" s="50"/>
      <c r="N182" s="50"/>
      <c r="O182" s="50"/>
      <c r="P182" s="50"/>
      <c r="Q182" s="50"/>
      <c r="R182" s="50"/>
      <c r="S182" s="50"/>
      <c r="T182" s="50"/>
      <c r="U182" s="50"/>
      <c r="V182" s="50"/>
      <c r="W182" s="50"/>
      <c r="X182" s="50"/>
      <c r="Y182" s="50"/>
      <c r="Z182" s="50"/>
      <c r="AA182" s="50"/>
      <c r="AB182" s="50"/>
    </row>
    <row r="183" customFormat="false" ht="15.75" hidden="false" customHeight="false" outlineLevel="0" collapsed="false">
      <c r="A183" s="50"/>
      <c r="B183" s="50"/>
      <c r="C183" s="5"/>
      <c r="D183" s="48"/>
      <c r="E183" s="50"/>
      <c r="F183" s="5"/>
      <c r="G183" s="5"/>
      <c r="H183" s="5"/>
      <c r="I183" s="5"/>
      <c r="J183" s="5"/>
      <c r="K183" s="50"/>
      <c r="L183" s="50"/>
      <c r="M183" s="50"/>
      <c r="N183" s="50"/>
      <c r="O183" s="50"/>
      <c r="P183" s="50"/>
      <c r="Q183" s="50"/>
      <c r="R183" s="50"/>
      <c r="S183" s="50"/>
      <c r="T183" s="50"/>
      <c r="U183" s="50"/>
      <c r="V183" s="50"/>
      <c r="W183" s="50"/>
      <c r="X183" s="50"/>
      <c r="Y183" s="50"/>
      <c r="Z183" s="50"/>
      <c r="AA183" s="50"/>
      <c r="AB183" s="50"/>
    </row>
    <row r="184" customFormat="false" ht="15.75" hidden="false" customHeight="false" outlineLevel="0" collapsed="false">
      <c r="A184" s="50"/>
      <c r="B184" s="50"/>
      <c r="C184" s="5"/>
      <c r="D184" s="48"/>
      <c r="E184" s="50"/>
      <c r="F184" s="5"/>
      <c r="G184" s="5"/>
      <c r="H184" s="5"/>
      <c r="I184" s="5"/>
      <c r="J184" s="5"/>
      <c r="K184" s="50"/>
      <c r="L184" s="50"/>
      <c r="M184" s="50"/>
      <c r="N184" s="50"/>
      <c r="O184" s="50"/>
      <c r="P184" s="50"/>
      <c r="Q184" s="50"/>
      <c r="R184" s="50"/>
      <c r="S184" s="50"/>
      <c r="T184" s="50"/>
      <c r="U184" s="50"/>
      <c r="V184" s="50"/>
      <c r="W184" s="50"/>
      <c r="X184" s="50"/>
      <c r="Y184" s="50"/>
      <c r="Z184" s="50"/>
      <c r="AA184" s="50"/>
      <c r="AB184" s="50"/>
    </row>
    <row r="185" customFormat="false" ht="15.75" hidden="false" customHeight="false" outlineLevel="0" collapsed="false">
      <c r="A185" s="50"/>
      <c r="B185" s="50"/>
      <c r="C185" s="5"/>
      <c r="D185" s="48"/>
      <c r="E185" s="50"/>
      <c r="F185" s="5"/>
      <c r="G185" s="5"/>
      <c r="H185" s="5"/>
      <c r="I185" s="5"/>
      <c r="J185" s="5"/>
      <c r="K185" s="50"/>
      <c r="L185" s="50"/>
      <c r="M185" s="50"/>
      <c r="N185" s="50"/>
      <c r="O185" s="50"/>
      <c r="P185" s="50"/>
      <c r="Q185" s="50"/>
      <c r="R185" s="50"/>
      <c r="S185" s="50"/>
      <c r="T185" s="50"/>
      <c r="U185" s="50"/>
      <c r="V185" s="50"/>
      <c r="W185" s="50"/>
      <c r="X185" s="50"/>
      <c r="Y185" s="50"/>
      <c r="Z185" s="50"/>
      <c r="AA185" s="50"/>
      <c r="AB185" s="50"/>
    </row>
    <row r="186" customFormat="false" ht="15.75" hidden="false" customHeight="false" outlineLevel="0" collapsed="false">
      <c r="A186" s="50"/>
      <c r="B186" s="50"/>
      <c r="C186" s="5"/>
      <c r="D186" s="48"/>
      <c r="E186" s="50"/>
      <c r="F186" s="5"/>
      <c r="G186" s="5"/>
      <c r="H186" s="5"/>
      <c r="I186" s="5"/>
      <c r="J186" s="5"/>
      <c r="K186" s="50"/>
      <c r="L186" s="50"/>
      <c r="M186" s="50"/>
      <c r="N186" s="50"/>
      <c r="O186" s="50"/>
      <c r="P186" s="50"/>
      <c r="Q186" s="50"/>
      <c r="R186" s="50"/>
      <c r="S186" s="50"/>
      <c r="T186" s="50"/>
      <c r="U186" s="50"/>
      <c r="V186" s="50"/>
      <c r="W186" s="50"/>
      <c r="X186" s="50"/>
      <c r="Y186" s="50"/>
      <c r="Z186" s="50"/>
      <c r="AA186" s="50"/>
      <c r="AB186" s="50"/>
    </row>
    <row r="187" customFormat="false" ht="15.75" hidden="false" customHeight="false" outlineLevel="0" collapsed="false">
      <c r="A187" s="50"/>
      <c r="B187" s="50"/>
      <c r="C187" s="5"/>
      <c r="D187" s="48"/>
      <c r="E187" s="50"/>
      <c r="F187" s="5"/>
      <c r="G187" s="5"/>
      <c r="H187" s="5"/>
      <c r="I187" s="5"/>
      <c r="J187" s="5"/>
      <c r="K187" s="50"/>
      <c r="L187" s="50"/>
      <c r="M187" s="50"/>
      <c r="N187" s="50"/>
      <c r="O187" s="50"/>
      <c r="P187" s="50"/>
      <c r="Q187" s="50"/>
      <c r="R187" s="50"/>
      <c r="S187" s="50"/>
      <c r="T187" s="50"/>
      <c r="U187" s="50"/>
      <c r="V187" s="50"/>
      <c r="W187" s="50"/>
      <c r="X187" s="50"/>
      <c r="Y187" s="50"/>
      <c r="Z187" s="50"/>
      <c r="AA187" s="50"/>
      <c r="AB187" s="50"/>
    </row>
    <row r="188" customFormat="false" ht="15.75" hidden="false" customHeight="false" outlineLevel="0" collapsed="false">
      <c r="A188" s="50"/>
      <c r="B188" s="50"/>
      <c r="C188" s="5"/>
      <c r="D188" s="48"/>
      <c r="E188" s="50"/>
      <c r="F188" s="5"/>
      <c r="G188" s="5"/>
      <c r="H188" s="5"/>
      <c r="I188" s="5"/>
      <c r="J188" s="5"/>
      <c r="K188" s="50"/>
      <c r="L188" s="50"/>
      <c r="M188" s="50"/>
      <c r="N188" s="50"/>
      <c r="O188" s="50"/>
      <c r="P188" s="50"/>
      <c r="Q188" s="50"/>
      <c r="R188" s="50"/>
      <c r="S188" s="50"/>
      <c r="T188" s="50"/>
      <c r="U188" s="50"/>
      <c r="V188" s="50"/>
      <c r="W188" s="50"/>
      <c r="X188" s="50"/>
      <c r="Y188" s="50"/>
      <c r="Z188" s="50"/>
      <c r="AA188" s="50"/>
      <c r="AB188" s="50"/>
    </row>
    <row r="189" customFormat="false" ht="15.75" hidden="false" customHeight="false" outlineLevel="0" collapsed="false">
      <c r="A189" s="50"/>
      <c r="B189" s="50"/>
      <c r="C189" s="5"/>
      <c r="D189" s="48"/>
      <c r="E189" s="50"/>
      <c r="F189" s="5"/>
      <c r="G189" s="5"/>
      <c r="H189" s="5"/>
      <c r="I189" s="5"/>
      <c r="J189" s="5"/>
      <c r="K189" s="50"/>
      <c r="L189" s="50"/>
      <c r="M189" s="50"/>
      <c r="N189" s="50"/>
      <c r="O189" s="50"/>
      <c r="P189" s="50"/>
      <c r="Q189" s="50"/>
      <c r="R189" s="50"/>
      <c r="S189" s="50"/>
      <c r="T189" s="50"/>
      <c r="U189" s="50"/>
      <c r="V189" s="50"/>
      <c r="W189" s="50"/>
      <c r="X189" s="50"/>
      <c r="Y189" s="50"/>
      <c r="Z189" s="50"/>
      <c r="AA189" s="50"/>
      <c r="AB189" s="50"/>
    </row>
    <row r="190" customFormat="false" ht="15.75" hidden="false" customHeight="false" outlineLevel="0" collapsed="false">
      <c r="A190" s="50"/>
      <c r="B190" s="50"/>
      <c r="C190" s="5"/>
      <c r="D190" s="48"/>
      <c r="E190" s="50"/>
      <c r="F190" s="5"/>
      <c r="G190" s="5"/>
      <c r="H190" s="5"/>
      <c r="I190" s="5"/>
      <c r="J190" s="5"/>
      <c r="K190" s="50"/>
      <c r="L190" s="50"/>
      <c r="M190" s="50"/>
      <c r="N190" s="50"/>
      <c r="O190" s="50"/>
      <c r="P190" s="50"/>
      <c r="Q190" s="50"/>
      <c r="R190" s="50"/>
      <c r="S190" s="50"/>
      <c r="T190" s="50"/>
      <c r="U190" s="50"/>
      <c r="V190" s="50"/>
      <c r="W190" s="50"/>
      <c r="X190" s="50"/>
      <c r="Y190" s="50"/>
      <c r="Z190" s="50"/>
      <c r="AA190" s="50"/>
      <c r="AB190" s="50"/>
    </row>
    <row r="191" customFormat="false" ht="15.75" hidden="false" customHeight="false" outlineLevel="0" collapsed="false">
      <c r="A191" s="50"/>
      <c r="B191" s="50"/>
      <c r="C191" s="5"/>
      <c r="D191" s="48"/>
      <c r="E191" s="50"/>
      <c r="F191" s="5"/>
      <c r="G191" s="5"/>
      <c r="H191" s="5"/>
      <c r="I191" s="5"/>
      <c r="J191" s="5"/>
      <c r="K191" s="50"/>
      <c r="L191" s="50"/>
      <c r="M191" s="50"/>
      <c r="N191" s="50"/>
      <c r="O191" s="50"/>
      <c r="P191" s="50"/>
      <c r="Q191" s="50"/>
      <c r="R191" s="50"/>
      <c r="S191" s="50"/>
      <c r="T191" s="50"/>
      <c r="U191" s="50"/>
      <c r="V191" s="50"/>
      <c r="W191" s="50"/>
      <c r="X191" s="50"/>
      <c r="Y191" s="50"/>
      <c r="Z191" s="50"/>
      <c r="AA191" s="50"/>
      <c r="AB191" s="50"/>
    </row>
    <row r="192" customFormat="false" ht="15.75" hidden="false" customHeight="false" outlineLevel="0" collapsed="false">
      <c r="A192" s="50"/>
      <c r="B192" s="50"/>
      <c r="C192" s="5"/>
      <c r="D192" s="48"/>
      <c r="E192" s="50"/>
      <c r="F192" s="5"/>
      <c r="G192" s="5"/>
      <c r="H192" s="5"/>
      <c r="I192" s="5"/>
      <c r="J192" s="5"/>
      <c r="K192" s="50"/>
      <c r="L192" s="50"/>
      <c r="M192" s="50"/>
      <c r="N192" s="50"/>
      <c r="O192" s="50"/>
      <c r="P192" s="50"/>
      <c r="Q192" s="50"/>
      <c r="R192" s="50"/>
      <c r="S192" s="50"/>
      <c r="T192" s="50"/>
      <c r="U192" s="50"/>
      <c r="V192" s="50"/>
      <c r="W192" s="50"/>
      <c r="X192" s="50"/>
      <c r="Y192" s="50"/>
      <c r="Z192" s="50"/>
      <c r="AA192" s="50"/>
      <c r="AB192" s="50"/>
    </row>
    <row r="193" customFormat="false" ht="15.75" hidden="false" customHeight="false" outlineLevel="0" collapsed="false">
      <c r="A193" s="50"/>
      <c r="B193" s="50"/>
      <c r="C193" s="5"/>
      <c r="D193" s="48"/>
      <c r="E193" s="50"/>
      <c r="F193" s="5"/>
      <c r="G193" s="5"/>
      <c r="H193" s="5"/>
      <c r="I193" s="5"/>
      <c r="J193" s="5"/>
      <c r="K193" s="50"/>
      <c r="L193" s="50"/>
      <c r="M193" s="50"/>
      <c r="N193" s="50"/>
      <c r="O193" s="50"/>
      <c r="P193" s="50"/>
      <c r="Q193" s="50"/>
      <c r="R193" s="50"/>
      <c r="S193" s="50"/>
      <c r="T193" s="50"/>
      <c r="U193" s="50"/>
      <c r="V193" s="50"/>
      <c r="W193" s="50"/>
      <c r="X193" s="50"/>
      <c r="Y193" s="50"/>
      <c r="Z193" s="50"/>
      <c r="AA193" s="50"/>
      <c r="AB193" s="50"/>
    </row>
    <row r="194" customFormat="false" ht="15.75" hidden="false" customHeight="false" outlineLevel="0" collapsed="false">
      <c r="A194" s="50"/>
      <c r="B194" s="50"/>
      <c r="C194" s="5"/>
      <c r="D194" s="48"/>
      <c r="E194" s="50"/>
      <c r="F194" s="5"/>
      <c r="G194" s="5"/>
      <c r="H194" s="5"/>
      <c r="I194" s="5"/>
      <c r="J194" s="5"/>
      <c r="K194" s="50"/>
      <c r="L194" s="50"/>
      <c r="M194" s="50"/>
      <c r="N194" s="50"/>
      <c r="O194" s="50"/>
      <c r="P194" s="50"/>
      <c r="Q194" s="50"/>
      <c r="R194" s="50"/>
      <c r="S194" s="50"/>
      <c r="T194" s="50"/>
      <c r="U194" s="50"/>
      <c r="V194" s="50"/>
      <c r="W194" s="50"/>
      <c r="X194" s="50"/>
      <c r="Y194" s="50"/>
      <c r="Z194" s="50"/>
      <c r="AA194" s="50"/>
      <c r="AB194" s="50"/>
    </row>
    <row r="195" customFormat="false" ht="15.75" hidden="false" customHeight="false" outlineLevel="0" collapsed="false">
      <c r="A195" s="50"/>
      <c r="B195" s="50"/>
      <c r="C195" s="5"/>
      <c r="D195" s="48"/>
      <c r="E195" s="50"/>
      <c r="F195" s="5"/>
      <c r="G195" s="5"/>
      <c r="H195" s="5"/>
      <c r="I195" s="5"/>
      <c r="J195" s="5"/>
      <c r="K195" s="50"/>
      <c r="L195" s="50"/>
      <c r="M195" s="50"/>
      <c r="N195" s="50"/>
      <c r="O195" s="50"/>
      <c r="P195" s="50"/>
      <c r="Q195" s="50"/>
      <c r="R195" s="50"/>
      <c r="S195" s="50"/>
      <c r="T195" s="50"/>
      <c r="U195" s="50"/>
      <c r="V195" s="50"/>
      <c r="W195" s="50"/>
      <c r="X195" s="50"/>
      <c r="Y195" s="50"/>
      <c r="Z195" s="50"/>
      <c r="AA195" s="50"/>
      <c r="AB195" s="50"/>
    </row>
    <row r="196" customFormat="false" ht="15.75" hidden="false" customHeight="false" outlineLevel="0" collapsed="false">
      <c r="A196" s="50"/>
      <c r="B196" s="50"/>
      <c r="C196" s="5"/>
      <c r="D196" s="48"/>
      <c r="E196" s="50"/>
      <c r="F196" s="5"/>
      <c r="G196" s="5"/>
      <c r="H196" s="5"/>
      <c r="I196" s="5"/>
      <c r="J196" s="5"/>
      <c r="K196" s="50"/>
      <c r="L196" s="50"/>
      <c r="M196" s="50"/>
      <c r="N196" s="50"/>
      <c r="O196" s="50"/>
      <c r="P196" s="50"/>
      <c r="Q196" s="50"/>
      <c r="R196" s="50"/>
      <c r="S196" s="50"/>
      <c r="T196" s="50"/>
      <c r="U196" s="50"/>
      <c r="V196" s="50"/>
      <c r="W196" s="50"/>
      <c r="X196" s="50"/>
      <c r="Y196" s="50"/>
      <c r="Z196" s="50"/>
      <c r="AA196" s="50"/>
      <c r="AB196" s="50"/>
    </row>
    <row r="197" customFormat="false" ht="15.75" hidden="false" customHeight="false" outlineLevel="0" collapsed="false">
      <c r="A197" s="50"/>
      <c r="B197" s="50"/>
      <c r="C197" s="5"/>
      <c r="D197" s="48"/>
      <c r="E197" s="50"/>
      <c r="F197" s="5"/>
      <c r="G197" s="5"/>
      <c r="H197" s="5"/>
      <c r="I197" s="5"/>
      <c r="J197" s="5"/>
      <c r="K197" s="50"/>
      <c r="L197" s="50"/>
      <c r="M197" s="50"/>
      <c r="N197" s="50"/>
      <c r="O197" s="50"/>
      <c r="P197" s="50"/>
      <c r="Q197" s="50"/>
      <c r="R197" s="50"/>
      <c r="S197" s="50"/>
      <c r="T197" s="50"/>
      <c r="U197" s="50"/>
      <c r="V197" s="50"/>
      <c r="W197" s="50"/>
      <c r="X197" s="50"/>
      <c r="Y197" s="50"/>
      <c r="Z197" s="50"/>
      <c r="AA197" s="50"/>
      <c r="AB197" s="50"/>
    </row>
    <row r="198" customFormat="false" ht="15.75" hidden="false" customHeight="false" outlineLevel="0" collapsed="false">
      <c r="A198" s="50"/>
      <c r="B198" s="50"/>
      <c r="C198" s="5"/>
      <c r="D198" s="48"/>
      <c r="E198" s="50"/>
      <c r="F198" s="5"/>
      <c r="G198" s="5"/>
      <c r="H198" s="5"/>
      <c r="I198" s="5"/>
      <c r="J198" s="5"/>
      <c r="K198" s="50"/>
      <c r="L198" s="50"/>
      <c r="M198" s="50"/>
      <c r="N198" s="50"/>
      <c r="O198" s="50"/>
      <c r="P198" s="50"/>
      <c r="Q198" s="50"/>
      <c r="R198" s="50"/>
      <c r="S198" s="50"/>
      <c r="T198" s="50"/>
      <c r="U198" s="50"/>
      <c r="V198" s="50"/>
      <c r="W198" s="50"/>
      <c r="X198" s="50"/>
      <c r="Y198" s="50"/>
      <c r="Z198" s="50"/>
      <c r="AA198" s="50"/>
      <c r="AB198" s="50"/>
    </row>
    <row r="199" customFormat="false" ht="15.75" hidden="false" customHeight="false" outlineLevel="0" collapsed="false">
      <c r="A199" s="50"/>
      <c r="B199" s="50"/>
      <c r="C199" s="5"/>
      <c r="D199" s="48"/>
      <c r="E199" s="50"/>
      <c r="F199" s="5"/>
      <c r="G199" s="5"/>
      <c r="H199" s="5"/>
      <c r="I199" s="5"/>
      <c r="J199" s="5"/>
      <c r="K199" s="50"/>
      <c r="L199" s="50"/>
      <c r="M199" s="50"/>
      <c r="N199" s="50"/>
      <c r="O199" s="50"/>
      <c r="P199" s="50"/>
      <c r="Q199" s="50"/>
      <c r="R199" s="50"/>
      <c r="S199" s="50"/>
      <c r="T199" s="50"/>
      <c r="U199" s="50"/>
      <c r="V199" s="50"/>
      <c r="W199" s="50"/>
      <c r="X199" s="50"/>
      <c r="Y199" s="50"/>
      <c r="Z199" s="50"/>
      <c r="AA199" s="50"/>
      <c r="AB199" s="50"/>
    </row>
    <row r="200" customFormat="false" ht="15.75" hidden="false" customHeight="false" outlineLevel="0" collapsed="false">
      <c r="A200" s="50"/>
      <c r="B200" s="50"/>
      <c r="C200" s="5"/>
      <c r="D200" s="48"/>
      <c r="E200" s="50"/>
      <c r="F200" s="5"/>
      <c r="G200" s="5"/>
      <c r="H200" s="5"/>
      <c r="I200" s="5"/>
      <c r="J200" s="5"/>
      <c r="K200" s="50"/>
      <c r="L200" s="50"/>
      <c r="M200" s="50"/>
      <c r="N200" s="50"/>
      <c r="O200" s="50"/>
      <c r="P200" s="50"/>
      <c r="Q200" s="50"/>
      <c r="R200" s="50"/>
      <c r="S200" s="50"/>
      <c r="T200" s="50"/>
      <c r="U200" s="50"/>
      <c r="V200" s="50"/>
      <c r="W200" s="50"/>
      <c r="X200" s="50"/>
      <c r="Y200" s="50"/>
      <c r="Z200" s="50"/>
      <c r="AA200" s="50"/>
      <c r="AB200" s="50"/>
    </row>
    <row r="201" customFormat="false" ht="15.75" hidden="false" customHeight="false" outlineLevel="0" collapsed="false">
      <c r="A201" s="50"/>
      <c r="B201" s="50"/>
      <c r="C201" s="5"/>
      <c r="D201" s="48"/>
      <c r="E201" s="50"/>
      <c r="F201" s="5"/>
      <c r="G201" s="5"/>
      <c r="H201" s="5"/>
      <c r="I201" s="5"/>
      <c r="J201" s="5"/>
      <c r="K201" s="50"/>
      <c r="L201" s="50"/>
      <c r="M201" s="50"/>
      <c r="N201" s="50"/>
      <c r="O201" s="50"/>
      <c r="P201" s="50"/>
      <c r="Q201" s="50"/>
      <c r="R201" s="50"/>
      <c r="S201" s="50"/>
      <c r="T201" s="50"/>
      <c r="U201" s="50"/>
      <c r="V201" s="50"/>
      <c r="W201" s="50"/>
      <c r="X201" s="50"/>
      <c r="Y201" s="50"/>
      <c r="Z201" s="50"/>
      <c r="AA201" s="50"/>
      <c r="AB201" s="50"/>
    </row>
    <row r="202" customFormat="false" ht="15.75" hidden="false" customHeight="false" outlineLevel="0" collapsed="false">
      <c r="A202" s="50"/>
      <c r="B202" s="50"/>
      <c r="C202" s="5"/>
      <c r="D202" s="48"/>
      <c r="E202" s="50"/>
      <c r="F202" s="5"/>
      <c r="G202" s="5"/>
      <c r="H202" s="5"/>
      <c r="I202" s="5"/>
      <c r="J202" s="5"/>
      <c r="K202" s="50"/>
      <c r="L202" s="50"/>
      <c r="M202" s="50"/>
      <c r="N202" s="50"/>
      <c r="O202" s="50"/>
      <c r="P202" s="50"/>
      <c r="Q202" s="50"/>
      <c r="R202" s="50"/>
      <c r="S202" s="50"/>
      <c r="T202" s="50"/>
      <c r="U202" s="50"/>
      <c r="V202" s="50"/>
      <c r="W202" s="50"/>
      <c r="X202" s="50"/>
      <c r="Y202" s="50"/>
      <c r="Z202" s="50"/>
      <c r="AA202" s="50"/>
      <c r="AB202" s="50"/>
    </row>
    <row r="203" customFormat="false" ht="15.75" hidden="false" customHeight="false" outlineLevel="0" collapsed="false">
      <c r="A203" s="50"/>
      <c r="B203" s="50"/>
      <c r="C203" s="5"/>
      <c r="D203" s="48"/>
      <c r="E203" s="50"/>
      <c r="F203" s="5"/>
      <c r="G203" s="5"/>
      <c r="H203" s="5"/>
      <c r="I203" s="5"/>
      <c r="J203" s="5"/>
      <c r="K203" s="50"/>
      <c r="L203" s="50"/>
      <c r="M203" s="50"/>
      <c r="N203" s="50"/>
      <c r="O203" s="50"/>
      <c r="P203" s="50"/>
      <c r="Q203" s="50"/>
      <c r="R203" s="50"/>
      <c r="S203" s="50"/>
      <c r="T203" s="50"/>
      <c r="U203" s="50"/>
      <c r="V203" s="50"/>
      <c r="W203" s="50"/>
      <c r="X203" s="50"/>
      <c r="Y203" s="50"/>
      <c r="Z203" s="50"/>
      <c r="AA203" s="50"/>
      <c r="AB203" s="50"/>
    </row>
    <row r="204" customFormat="false" ht="15.75" hidden="false" customHeight="false" outlineLevel="0" collapsed="false">
      <c r="A204" s="50"/>
      <c r="B204" s="50"/>
      <c r="C204" s="5"/>
      <c r="D204" s="48"/>
      <c r="E204" s="50"/>
      <c r="F204" s="5"/>
      <c r="G204" s="5"/>
      <c r="H204" s="5"/>
      <c r="I204" s="5"/>
      <c r="J204" s="5"/>
      <c r="K204" s="50"/>
      <c r="L204" s="50"/>
      <c r="M204" s="50"/>
      <c r="N204" s="50"/>
      <c r="O204" s="50"/>
      <c r="P204" s="50"/>
      <c r="Q204" s="50"/>
      <c r="R204" s="50"/>
      <c r="S204" s="50"/>
      <c r="T204" s="50"/>
      <c r="U204" s="50"/>
      <c r="V204" s="50"/>
      <c r="W204" s="50"/>
      <c r="X204" s="50"/>
      <c r="Y204" s="50"/>
      <c r="Z204" s="50"/>
      <c r="AA204" s="50"/>
      <c r="AB204" s="50"/>
    </row>
    <row r="205" customFormat="false" ht="15.75" hidden="false" customHeight="false" outlineLevel="0" collapsed="false">
      <c r="A205" s="50"/>
      <c r="B205" s="50"/>
      <c r="C205" s="5"/>
      <c r="D205" s="48"/>
      <c r="E205" s="50"/>
      <c r="F205" s="5"/>
      <c r="G205" s="5"/>
      <c r="H205" s="5"/>
      <c r="I205" s="5"/>
      <c r="J205" s="5"/>
      <c r="K205" s="50"/>
      <c r="L205" s="50"/>
      <c r="M205" s="50"/>
      <c r="N205" s="50"/>
      <c r="O205" s="50"/>
      <c r="P205" s="50"/>
      <c r="Q205" s="50"/>
      <c r="R205" s="50"/>
      <c r="S205" s="50"/>
      <c r="T205" s="50"/>
      <c r="U205" s="50"/>
      <c r="V205" s="50"/>
      <c r="W205" s="50"/>
      <c r="X205" s="50"/>
      <c r="Y205" s="50"/>
      <c r="Z205" s="50"/>
      <c r="AA205" s="50"/>
      <c r="AB205" s="50"/>
    </row>
    <row r="206" customFormat="false" ht="15.75" hidden="false" customHeight="false" outlineLevel="0" collapsed="false">
      <c r="A206" s="50"/>
      <c r="B206" s="50"/>
      <c r="C206" s="5"/>
      <c r="D206" s="48"/>
      <c r="E206" s="50"/>
      <c r="F206" s="5"/>
      <c r="G206" s="5"/>
      <c r="H206" s="5"/>
      <c r="I206" s="5"/>
      <c r="J206" s="5"/>
      <c r="K206" s="50"/>
      <c r="L206" s="50"/>
      <c r="M206" s="50"/>
      <c r="N206" s="50"/>
      <c r="O206" s="50"/>
      <c r="P206" s="50"/>
      <c r="Q206" s="50"/>
      <c r="R206" s="50"/>
      <c r="S206" s="50"/>
      <c r="T206" s="50"/>
      <c r="U206" s="50"/>
      <c r="V206" s="50"/>
      <c r="W206" s="50"/>
      <c r="X206" s="50"/>
      <c r="Y206" s="50"/>
      <c r="Z206" s="50"/>
      <c r="AA206" s="50"/>
      <c r="AB206" s="50"/>
    </row>
    <row r="207" customFormat="false" ht="15.75" hidden="false" customHeight="false" outlineLevel="0" collapsed="false">
      <c r="A207" s="50"/>
      <c r="B207" s="50"/>
      <c r="C207" s="5"/>
      <c r="D207" s="48"/>
      <c r="E207" s="50"/>
      <c r="F207" s="5"/>
      <c r="G207" s="5"/>
      <c r="H207" s="5"/>
      <c r="I207" s="5"/>
      <c r="J207" s="5"/>
      <c r="K207" s="50"/>
      <c r="L207" s="50"/>
      <c r="M207" s="50"/>
      <c r="N207" s="50"/>
      <c r="O207" s="50"/>
      <c r="P207" s="50"/>
      <c r="Q207" s="50"/>
      <c r="R207" s="50"/>
      <c r="S207" s="50"/>
      <c r="T207" s="50"/>
      <c r="U207" s="50"/>
      <c r="V207" s="50"/>
      <c r="W207" s="50"/>
      <c r="X207" s="50"/>
      <c r="Y207" s="50"/>
      <c r="Z207" s="50"/>
      <c r="AA207" s="50"/>
      <c r="AB207" s="50"/>
    </row>
    <row r="208" customFormat="false" ht="15.75" hidden="false" customHeight="false" outlineLevel="0" collapsed="false">
      <c r="A208" s="50"/>
      <c r="B208" s="50"/>
      <c r="C208" s="5"/>
      <c r="D208" s="48"/>
      <c r="E208" s="50"/>
      <c r="F208" s="5"/>
      <c r="G208" s="5"/>
      <c r="H208" s="5"/>
      <c r="I208" s="5"/>
      <c r="J208" s="5"/>
      <c r="K208" s="50"/>
      <c r="L208" s="50"/>
      <c r="M208" s="50"/>
      <c r="N208" s="50"/>
      <c r="O208" s="50"/>
      <c r="P208" s="50"/>
      <c r="Q208" s="50"/>
      <c r="R208" s="50"/>
      <c r="S208" s="50"/>
      <c r="T208" s="50"/>
      <c r="U208" s="50"/>
      <c r="V208" s="50"/>
      <c r="W208" s="50"/>
      <c r="X208" s="50"/>
      <c r="Y208" s="50"/>
      <c r="Z208" s="50"/>
      <c r="AA208" s="50"/>
      <c r="AB208" s="50"/>
    </row>
    <row r="209" customFormat="false" ht="15.75" hidden="false" customHeight="false" outlineLevel="0" collapsed="false">
      <c r="A209" s="50"/>
      <c r="B209" s="50"/>
      <c r="C209" s="5"/>
      <c r="D209" s="48"/>
      <c r="E209" s="50"/>
      <c r="F209" s="5"/>
      <c r="G209" s="5"/>
      <c r="H209" s="5"/>
      <c r="I209" s="5"/>
      <c r="J209" s="5"/>
      <c r="K209" s="50"/>
      <c r="L209" s="50"/>
      <c r="M209" s="50"/>
      <c r="N209" s="50"/>
      <c r="O209" s="50"/>
      <c r="P209" s="50"/>
      <c r="Q209" s="50"/>
      <c r="R209" s="50"/>
      <c r="S209" s="50"/>
      <c r="T209" s="50"/>
      <c r="U209" s="50"/>
      <c r="V209" s="50"/>
      <c r="W209" s="50"/>
      <c r="X209" s="50"/>
      <c r="Y209" s="50"/>
      <c r="Z209" s="50"/>
      <c r="AA209" s="50"/>
      <c r="AB209" s="50"/>
    </row>
    <row r="210" customFormat="false" ht="15.75" hidden="false" customHeight="false" outlineLevel="0" collapsed="false">
      <c r="A210" s="50"/>
      <c r="B210" s="50"/>
      <c r="C210" s="5"/>
      <c r="D210" s="48"/>
      <c r="E210" s="50"/>
      <c r="F210" s="5"/>
      <c r="G210" s="5"/>
      <c r="H210" s="5"/>
      <c r="I210" s="5"/>
      <c r="J210" s="5"/>
      <c r="K210" s="50"/>
      <c r="L210" s="50"/>
      <c r="M210" s="50"/>
      <c r="N210" s="50"/>
      <c r="O210" s="50"/>
      <c r="P210" s="50"/>
      <c r="Q210" s="50"/>
      <c r="R210" s="50"/>
      <c r="S210" s="50"/>
      <c r="T210" s="50"/>
      <c r="U210" s="50"/>
      <c r="V210" s="50"/>
      <c r="W210" s="50"/>
      <c r="X210" s="50"/>
      <c r="Y210" s="50"/>
      <c r="Z210" s="50"/>
      <c r="AA210" s="50"/>
      <c r="AB210" s="50"/>
    </row>
    <row r="211" customFormat="false" ht="15.75" hidden="false" customHeight="false" outlineLevel="0" collapsed="false">
      <c r="A211" s="50"/>
      <c r="B211" s="50"/>
      <c r="C211" s="5"/>
      <c r="D211" s="48"/>
      <c r="E211" s="50"/>
      <c r="F211" s="5"/>
      <c r="G211" s="5"/>
      <c r="H211" s="5"/>
      <c r="I211" s="5"/>
      <c r="J211" s="5"/>
      <c r="K211" s="50"/>
      <c r="L211" s="50"/>
      <c r="M211" s="50"/>
      <c r="N211" s="50"/>
      <c r="O211" s="50"/>
      <c r="P211" s="50"/>
      <c r="Q211" s="50"/>
      <c r="R211" s="50"/>
      <c r="S211" s="50"/>
      <c r="T211" s="50"/>
      <c r="U211" s="50"/>
      <c r="V211" s="50"/>
      <c r="W211" s="50"/>
      <c r="X211" s="50"/>
      <c r="Y211" s="50"/>
      <c r="Z211" s="50"/>
      <c r="AA211" s="50"/>
      <c r="AB211" s="50"/>
    </row>
    <row r="212" customFormat="false" ht="15.75" hidden="false" customHeight="false" outlineLevel="0" collapsed="false">
      <c r="A212" s="50"/>
      <c r="B212" s="50"/>
      <c r="C212" s="5"/>
      <c r="D212" s="48"/>
      <c r="E212" s="50"/>
      <c r="F212" s="5"/>
      <c r="G212" s="5"/>
      <c r="H212" s="5"/>
      <c r="I212" s="5"/>
      <c r="J212" s="5"/>
      <c r="K212" s="50"/>
      <c r="L212" s="50"/>
      <c r="M212" s="50"/>
      <c r="N212" s="50"/>
      <c r="O212" s="50"/>
      <c r="P212" s="50"/>
      <c r="Q212" s="50"/>
      <c r="R212" s="50"/>
      <c r="S212" s="50"/>
      <c r="T212" s="50"/>
      <c r="U212" s="50"/>
      <c r="V212" s="50"/>
      <c r="W212" s="50"/>
      <c r="X212" s="50"/>
      <c r="Y212" s="50"/>
      <c r="Z212" s="50"/>
      <c r="AA212" s="50"/>
      <c r="AB212" s="50"/>
    </row>
    <row r="213" customFormat="false" ht="15.75" hidden="false" customHeight="false" outlineLevel="0" collapsed="false">
      <c r="A213" s="50"/>
      <c r="B213" s="50"/>
      <c r="C213" s="5"/>
      <c r="D213" s="48"/>
      <c r="E213" s="50"/>
      <c r="F213" s="5"/>
      <c r="G213" s="5"/>
      <c r="H213" s="5"/>
      <c r="I213" s="5"/>
      <c r="J213" s="5"/>
      <c r="K213" s="50"/>
      <c r="L213" s="50"/>
      <c r="M213" s="50"/>
      <c r="N213" s="50"/>
      <c r="O213" s="50"/>
      <c r="P213" s="50"/>
      <c r="Q213" s="50"/>
      <c r="R213" s="50"/>
      <c r="S213" s="50"/>
      <c r="T213" s="50"/>
      <c r="U213" s="50"/>
      <c r="V213" s="50"/>
      <c r="W213" s="50"/>
      <c r="X213" s="50"/>
      <c r="Y213" s="50"/>
      <c r="Z213" s="50"/>
      <c r="AA213" s="50"/>
      <c r="AB213" s="50"/>
    </row>
    <row r="214" customFormat="false" ht="15.75" hidden="false" customHeight="false" outlineLevel="0" collapsed="false">
      <c r="A214" s="50"/>
      <c r="B214" s="50"/>
      <c r="C214" s="5"/>
      <c r="D214" s="48"/>
      <c r="E214" s="50"/>
      <c r="F214" s="5"/>
      <c r="G214" s="5"/>
      <c r="H214" s="5"/>
      <c r="I214" s="5"/>
      <c r="J214" s="5"/>
      <c r="K214" s="50"/>
      <c r="L214" s="50"/>
      <c r="M214" s="50"/>
      <c r="N214" s="50"/>
      <c r="O214" s="50"/>
      <c r="P214" s="50"/>
      <c r="Q214" s="50"/>
      <c r="R214" s="50"/>
      <c r="S214" s="50"/>
      <c r="T214" s="50"/>
      <c r="U214" s="50"/>
      <c r="V214" s="50"/>
      <c r="W214" s="50"/>
      <c r="X214" s="50"/>
      <c r="Y214" s="50"/>
      <c r="Z214" s="50"/>
      <c r="AA214" s="50"/>
      <c r="AB214" s="50"/>
    </row>
    <row r="215" customFormat="false" ht="15.75" hidden="false" customHeight="false" outlineLevel="0" collapsed="false">
      <c r="A215" s="50"/>
      <c r="B215" s="50"/>
      <c r="C215" s="5"/>
      <c r="D215" s="48"/>
      <c r="E215" s="50"/>
      <c r="F215" s="5"/>
      <c r="G215" s="5"/>
      <c r="H215" s="5"/>
      <c r="I215" s="5"/>
      <c r="J215" s="5"/>
      <c r="K215" s="50"/>
      <c r="L215" s="50"/>
      <c r="M215" s="50"/>
      <c r="N215" s="50"/>
      <c r="O215" s="50"/>
      <c r="P215" s="50"/>
      <c r="Q215" s="50"/>
      <c r="R215" s="50"/>
      <c r="S215" s="50"/>
      <c r="T215" s="50"/>
      <c r="U215" s="50"/>
      <c r="V215" s="50"/>
      <c r="W215" s="50"/>
      <c r="X215" s="50"/>
      <c r="Y215" s="50"/>
      <c r="Z215" s="50"/>
      <c r="AA215" s="50"/>
      <c r="AB215" s="50"/>
    </row>
    <row r="216" customFormat="false" ht="15.75" hidden="false" customHeight="false" outlineLevel="0" collapsed="false">
      <c r="A216" s="50"/>
      <c r="B216" s="50"/>
      <c r="C216" s="5"/>
      <c r="D216" s="48"/>
      <c r="E216" s="50"/>
      <c r="F216" s="5"/>
      <c r="G216" s="5"/>
      <c r="H216" s="5"/>
      <c r="I216" s="5"/>
      <c r="J216" s="5"/>
      <c r="K216" s="50"/>
      <c r="L216" s="50"/>
      <c r="M216" s="50"/>
      <c r="N216" s="50"/>
      <c r="O216" s="50"/>
      <c r="P216" s="50"/>
      <c r="Q216" s="50"/>
      <c r="R216" s="50"/>
      <c r="S216" s="50"/>
      <c r="T216" s="50"/>
      <c r="U216" s="50"/>
      <c r="V216" s="50"/>
      <c r="W216" s="50"/>
      <c r="X216" s="50"/>
      <c r="Y216" s="50"/>
      <c r="Z216" s="50"/>
      <c r="AA216" s="50"/>
      <c r="AB216" s="50"/>
    </row>
    <row r="217" customFormat="false" ht="15.75" hidden="false" customHeight="false" outlineLevel="0" collapsed="false">
      <c r="A217" s="50"/>
      <c r="B217" s="50"/>
      <c r="C217" s="5"/>
      <c r="D217" s="48"/>
      <c r="E217" s="50"/>
      <c r="F217" s="5"/>
      <c r="G217" s="5"/>
      <c r="H217" s="5"/>
      <c r="I217" s="5"/>
      <c r="J217" s="5"/>
      <c r="K217" s="50"/>
      <c r="L217" s="50"/>
      <c r="M217" s="50"/>
      <c r="N217" s="50"/>
      <c r="O217" s="50"/>
      <c r="P217" s="50"/>
      <c r="Q217" s="50"/>
      <c r="R217" s="50"/>
      <c r="S217" s="50"/>
      <c r="T217" s="50"/>
      <c r="U217" s="50"/>
      <c r="V217" s="50"/>
      <c r="W217" s="50"/>
      <c r="X217" s="50"/>
      <c r="Y217" s="50"/>
      <c r="Z217" s="50"/>
      <c r="AA217" s="50"/>
      <c r="AB217" s="50"/>
    </row>
    <row r="218" customFormat="false" ht="15.75" hidden="false" customHeight="false" outlineLevel="0" collapsed="false">
      <c r="A218" s="50"/>
      <c r="B218" s="50"/>
      <c r="C218" s="5"/>
      <c r="D218" s="48"/>
      <c r="E218" s="50"/>
      <c r="F218" s="5"/>
      <c r="G218" s="5"/>
      <c r="H218" s="5"/>
      <c r="I218" s="5"/>
      <c r="J218" s="5"/>
      <c r="K218" s="50"/>
      <c r="L218" s="50"/>
      <c r="M218" s="50"/>
      <c r="N218" s="50"/>
      <c r="O218" s="50"/>
      <c r="P218" s="50"/>
      <c r="Q218" s="50"/>
      <c r="R218" s="50"/>
      <c r="S218" s="50"/>
      <c r="T218" s="50"/>
      <c r="U218" s="50"/>
      <c r="V218" s="50"/>
      <c r="W218" s="50"/>
      <c r="X218" s="50"/>
      <c r="Y218" s="50"/>
      <c r="Z218" s="50"/>
      <c r="AA218" s="50"/>
      <c r="AB218" s="50"/>
    </row>
    <row r="219" customFormat="false" ht="15.75" hidden="false" customHeight="false" outlineLevel="0" collapsed="false">
      <c r="A219" s="50"/>
      <c r="B219" s="50"/>
      <c r="C219" s="5"/>
      <c r="D219" s="48"/>
      <c r="E219" s="50"/>
      <c r="F219" s="5"/>
      <c r="G219" s="5"/>
      <c r="H219" s="5"/>
      <c r="I219" s="5"/>
      <c r="J219" s="5"/>
      <c r="K219" s="50"/>
      <c r="L219" s="50"/>
      <c r="M219" s="50"/>
      <c r="N219" s="50"/>
      <c r="O219" s="50"/>
      <c r="P219" s="50"/>
      <c r="Q219" s="50"/>
      <c r="R219" s="50"/>
      <c r="S219" s="50"/>
      <c r="T219" s="50"/>
      <c r="U219" s="50"/>
      <c r="V219" s="50"/>
      <c r="W219" s="50"/>
      <c r="X219" s="50"/>
      <c r="Y219" s="50"/>
      <c r="Z219" s="50"/>
      <c r="AA219" s="50"/>
      <c r="AB219" s="50"/>
    </row>
    <row r="220" customFormat="false" ht="15.75" hidden="false" customHeight="false" outlineLevel="0" collapsed="false">
      <c r="A220" s="50"/>
      <c r="B220" s="50"/>
      <c r="C220" s="5"/>
      <c r="D220" s="48"/>
      <c r="E220" s="50"/>
      <c r="F220" s="5"/>
      <c r="G220" s="5"/>
      <c r="H220" s="5"/>
      <c r="I220" s="5"/>
      <c r="J220" s="5"/>
      <c r="K220" s="50"/>
      <c r="L220" s="50"/>
      <c r="M220" s="50"/>
      <c r="N220" s="50"/>
      <c r="O220" s="50"/>
      <c r="P220" s="50"/>
      <c r="Q220" s="50"/>
      <c r="R220" s="50"/>
      <c r="S220" s="50"/>
      <c r="T220" s="50"/>
      <c r="U220" s="50"/>
      <c r="V220" s="50"/>
      <c r="W220" s="50"/>
      <c r="X220" s="50"/>
      <c r="Y220" s="50"/>
      <c r="Z220" s="50"/>
      <c r="AA220" s="50"/>
      <c r="AB220" s="50"/>
    </row>
    <row r="221" customFormat="false" ht="15.75" hidden="false" customHeight="false" outlineLevel="0" collapsed="false">
      <c r="A221" s="50"/>
      <c r="B221" s="50"/>
      <c r="C221" s="5"/>
      <c r="D221" s="48"/>
      <c r="E221" s="50"/>
      <c r="F221" s="5"/>
      <c r="G221" s="5"/>
      <c r="H221" s="5"/>
      <c r="I221" s="5"/>
      <c r="J221" s="5"/>
      <c r="K221" s="50"/>
      <c r="L221" s="50"/>
      <c r="M221" s="50"/>
      <c r="N221" s="50"/>
      <c r="O221" s="50"/>
      <c r="P221" s="50"/>
      <c r="Q221" s="50"/>
      <c r="R221" s="50"/>
      <c r="S221" s="50"/>
      <c r="T221" s="50"/>
      <c r="U221" s="50"/>
      <c r="V221" s="50"/>
      <c r="W221" s="50"/>
      <c r="X221" s="50"/>
      <c r="Y221" s="50"/>
      <c r="Z221" s="50"/>
      <c r="AA221" s="50"/>
      <c r="AB221" s="50"/>
    </row>
    <row r="222" customFormat="false" ht="15.75" hidden="false" customHeight="false" outlineLevel="0" collapsed="false">
      <c r="A222" s="50"/>
      <c r="B222" s="50"/>
      <c r="C222" s="5"/>
      <c r="D222" s="48"/>
      <c r="E222" s="50"/>
      <c r="F222" s="5"/>
      <c r="G222" s="5"/>
      <c r="H222" s="5"/>
      <c r="I222" s="5"/>
      <c r="J222" s="5"/>
      <c r="K222" s="50"/>
      <c r="L222" s="50"/>
      <c r="M222" s="50"/>
      <c r="N222" s="50"/>
      <c r="O222" s="50"/>
      <c r="P222" s="50"/>
      <c r="Q222" s="50"/>
      <c r="R222" s="50"/>
      <c r="S222" s="50"/>
      <c r="T222" s="50"/>
      <c r="U222" s="50"/>
      <c r="V222" s="50"/>
      <c r="W222" s="50"/>
      <c r="X222" s="50"/>
      <c r="Y222" s="50"/>
      <c r="Z222" s="50"/>
      <c r="AA222" s="50"/>
      <c r="AB222" s="50"/>
    </row>
    <row r="223" customFormat="false" ht="15.75" hidden="false" customHeight="false" outlineLevel="0" collapsed="false">
      <c r="A223" s="50"/>
      <c r="B223" s="50"/>
      <c r="C223" s="5"/>
      <c r="D223" s="48"/>
      <c r="E223" s="50"/>
      <c r="F223" s="5"/>
      <c r="G223" s="5"/>
      <c r="H223" s="5"/>
      <c r="I223" s="5"/>
      <c r="J223" s="5"/>
      <c r="K223" s="50"/>
      <c r="L223" s="50"/>
      <c r="M223" s="50"/>
      <c r="N223" s="50"/>
      <c r="O223" s="50"/>
      <c r="P223" s="50"/>
      <c r="Q223" s="50"/>
      <c r="R223" s="50"/>
      <c r="S223" s="50"/>
      <c r="T223" s="50"/>
      <c r="U223" s="50"/>
      <c r="V223" s="50"/>
      <c r="W223" s="50"/>
      <c r="X223" s="50"/>
      <c r="Y223" s="50"/>
      <c r="Z223" s="50"/>
      <c r="AA223" s="50"/>
      <c r="AB223" s="50"/>
    </row>
    <row r="224" customFormat="false" ht="15.75" hidden="false" customHeight="false" outlineLevel="0" collapsed="false">
      <c r="A224" s="50"/>
      <c r="B224" s="50"/>
      <c r="C224" s="5"/>
      <c r="D224" s="48"/>
      <c r="E224" s="50"/>
      <c r="F224" s="5"/>
      <c r="G224" s="5"/>
      <c r="H224" s="5"/>
      <c r="I224" s="5"/>
      <c r="J224" s="5"/>
      <c r="K224" s="50"/>
      <c r="L224" s="50"/>
      <c r="M224" s="50"/>
      <c r="N224" s="50"/>
      <c r="O224" s="50"/>
      <c r="P224" s="50"/>
      <c r="Q224" s="50"/>
      <c r="R224" s="50"/>
      <c r="S224" s="50"/>
      <c r="T224" s="50"/>
      <c r="U224" s="50"/>
      <c r="V224" s="50"/>
      <c r="W224" s="50"/>
      <c r="X224" s="50"/>
      <c r="Y224" s="50"/>
      <c r="Z224" s="50"/>
      <c r="AA224" s="50"/>
      <c r="AB224" s="50"/>
    </row>
    <row r="225" customFormat="false" ht="15.75" hidden="false" customHeight="false" outlineLevel="0" collapsed="false">
      <c r="A225" s="50"/>
      <c r="B225" s="50"/>
      <c r="C225" s="5"/>
      <c r="D225" s="48"/>
      <c r="E225" s="50"/>
      <c r="F225" s="5"/>
      <c r="G225" s="5"/>
      <c r="H225" s="5"/>
      <c r="I225" s="5"/>
      <c r="J225" s="5"/>
      <c r="K225" s="50"/>
      <c r="L225" s="50"/>
      <c r="M225" s="50"/>
      <c r="N225" s="50"/>
      <c r="O225" s="50"/>
      <c r="P225" s="50"/>
      <c r="Q225" s="50"/>
      <c r="R225" s="50"/>
      <c r="S225" s="50"/>
      <c r="T225" s="50"/>
      <c r="U225" s="50"/>
      <c r="V225" s="50"/>
      <c r="W225" s="50"/>
      <c r="X225" s="50"/>
      <c r="Y225" s="50"/>
      <c r="Z225" s="50"/>
      <c r="AA225" s="50"/>
      <c r="AB225" s="50"/>
    </row>
    <row r="226" customFormat="false" ht="15.75" hidden="false" customHeight="false" outlineLevel="0" collapsed="false">
      <c r="A226" s="50"/>
      <c r="B226" s="50"/>
      <c r="C226" s="5"/>
      <c r="D226" s="48"/>
      <c r="E226" s="50"/>
      <c r="F226" s="5"/>
      <c r="G226" s="5"/>
      <c r="H226" s="5"/>
      <c r="I226" s="5"/>
      <c r="J226" s="5"/>
      <c r="K226" s="50"/>
      <c r="L226" s="50"/>
      <c r="M226" s="50"/>
      <c r="N226" s="50"/>
      <c r="O226" s="50"/>
      <c r="P226" s="50"/>
      <c r="Q226" s="50"/>
      <c r="R226" s="50"/>
      <c r="S226" s="50"/>
      <c r="T226" s="50"/>
      <c r="U226" s="50"/>
      <c r="V226" s="50"/>
      <c r="W226" s="50"/>
      <c r="X226" s="50"/>
      <c r="Y226" s="50"/>
      <c r="Z226" s="50"/>
      <c r="AA226" s="50"/>
      <c r="AB226" s="50"/>
    </row>
    <row r="227" customFormat="false" ht="15.75" hidden="false" customHeight="false" outlineLevel="0" collapsed="false">
      <c r="A227" s="50"/>
      <c r="B227" s="50"/>
      <c r="C227" s="5"/>
      <c r="D227" s="48"/>
      <c r="E227" s="50"/>
      <c r="F227" s="5"/>
      <c r="G227" s="5"/>
      <c r="H227" s="5"/>
      <c r="I227" s="5"/>
      <c r="J227" s="5"/>
      <c r="K227" s="50"/>
      <c r="L227" s="50"/>
      <c r="M227" s="50"/>
      <c r="N227" s="50"/>
      <c r="O227" s="50"/>
      <c r="P227" s="50"/>
      <c r="Q227" s="50"/>
      <c r="R227" s="50"/>
      <c r="S227" s="50"/>
      <c r="T227" s="50"/>
      <c r="U227" s="50"/>
      <c r="V227" s="50"/>
      <c r="W227" s="50"/>
      <c r="X227" s="50"/>
      <c r="Y227" s="50"/>
      <c r="Z227" s="50"/>
      <c r="AA227" s="50"/>
      <c r="AB227" s="50"/>
    </row>
    <row r="228" customFormat="false" ht="15.75" hidden="false" customHeight="false" outlineLevel="0" collapsed="false">
      <c r="A228" s="50"/>
      <c r="B228" s="50"/>
      <c r="C228" s="5"/>
      <c r="D228" s="48"/>
      <c r="E228" s="50"/>
      <c r="F228" s="5"/>
      <c r="G228" s="5"/>
      <c r="H228" s="5"/>
      <c r="I228" s="5"/>
      <c r="J228" s="5"/>
      <c r="K228" s="50"/>
      <c r="L228" s="50"/>
      <c r="M228" s="50"/>
      <c r="N228" s="50"/>
      <c r="O228" s="50"/>
      <c r="P228" s="50"/>
      <c r="Q228" s="50"/>
      <c r="R228" s="50"/>
      <c r="S228" s="50"/>
      <c r="T228" s="50"/>
      <c r="U228" s="50"/>
      <c r="V228" s="50"/>
      <c r="W228" s="50"/>
      <c r="X228" s="50"/>
      <c r="Y228" s="50"/>
      <c r="Z228" s="50"/>
      <c r="AA228" s="50"/>
      <c r="AB228" s="50"/>
    </row>
    <row r="229" customFormat="false" ht="15.75" hidden="false" customHeight="false" outlineLevel="0" collapsed="false">
      <c r="A229" s="50"/>
      <c r="B229" s="50"/>
      <c r="C229" s="5"/>
      <c r="D229" s="48"/>
      <c r="E229" s="50"/>
      <c r="F229" s="5"/>
      <c r="G229" s="5"/>
      <c r="H229" s="5"/>
      <c r="I229" s="5"/>
      <c r="J229" s="5"/>
      <c r="K229" s="50"/>
      <c r="L229" s="50"/>
      <c r="M229" s="50"/>
      <c r="N229" s="50"/>
      <c r="O229" s="50"/>
      <c r="P229" s="50"/>
      <c r="Q229" s="50"/>
      <c r="R229" s="50"/>
      <c r="S229" s="50"/>
      <c r="T229" s="50"/>
      <c r="U229" s="50"/>
      <c r="V229" s="50"/>
      <c r="W229" s="50"/>
      <c r="X229" s="50"/>
      <c r="Y229" s="50"/>
      <c r="Z229" s="50"/>
      <c r="AA229" s="50"/>
      <c r="AB229" s="50"/>
    </row>
    <row r="230" customFormat="false" ht="15.75" hidden="false" customHeight="false" outlineLevel="0" collapsed="false">
      <c r="A230" s="50"/>
      <c r="B230" s="50"/>
      <c r="C230" s="5"/>
      <c r="D230" s="48"/>
      <c r="E230" s="50"/>
      <c r="F230" s="5"/>
      <c r="G230" s="5"/>
      <c r="H230" s="5"/>
      <c r="I230" s="5"/>
      <c r="J230" s="5"/>
      <c r="K230" s="50"/>
      <c r="L230" s="50"/>
      <c r="M230" s="50"/>
      <c r="N230" s="50"/>
      <c r="O230" s="50"/>
      <c r="P230" s="50"/>
      <c r="Q230" s="50"/>
      <c r="R230" s="50"/>
      <c r="S230" s="50"/>
      <c r="T230" s="50"/>
      <c r="U230" s="50"/>
      <c r="V230" s="50"/>
      <c r="W230" s="50"/>
      <c r="X230" s="50"/>
      <c r="Y230" s="50"/>
      <c r="Z230" s="50"/>
      <c r="AA230" s="50"/>
      <c r="AB230" s="50"/>
    </row>
    <row r="231" customFormat="false" ht="15.75" hidden="false" customHeight="false" outlineLevel="0" collapsed="false">
      <c r="A231" s="50"/>
      <c r="B231" s="50"/>
      <c r="C231" s="5"/>
      <c r="D231" s="48"/>
      <c r="E231" s="50"/>
      <c r="F231" s="5"/>
      <c r="G231" s="5"/>
      <c r="H231" s="5"/>
      <c r="I231" s="5"/>
      <c r="J231" s="5"/>
      <c r="K231" s="50"/>
      <c r="L231" s="50"/>
      <c r="M231" s="50"/>
      <c r="N231" s="50"/>
      <c r="O231" s="50"/>
      <c r="P231" s="50"/>
      <c r="Q231" s="50"/>
      <c r="R231" s="50"/>
      <c r="S231" s="50"/>
      <c r="T231" s="50"/>
      <c r="U231" s="50"/>
      <c r="V231" s="50"/>
      <c r="W231" s="50"/>
      <c r="X231" s="50"/>
      <c r="Y231" s="50"/>
      <c r="Z231" s="50"/>
      <c r="AA231" s="50"/>
      <c r="AB231" s="50"/>
    </row>
    <row r="232" customFormat="false" ht="15.75" hidden="false" customHeight="false" outlineLevel="0" collapsed="false">
      <c r="A232" s="50"/>
      <c r="B232" s="50"/>
      <c r="C232" s="5"/>
      <c r="D232" s="48"/>
      <c r="E232" s="50"/>
      <c r="F232" s="5"/>
      <c r="G232" s="5"/>
      <c r="H232" s="5"/>
      <c r="I232" s="5"/>
      <c r="J232" s="5"/>
      <c r="K232" s="50"/>
      <c r="L232" s="50"/>
      <c r="M232" s="50"/>
      <c r="N232" s="50"/>
      <c r="O232" s="50"/>
      <c r="P232" s="50"/>
      <c r="Q232" s="50"/>
      <c r="R232" s="50"/>
      <c r="S232" s="50"/>
      <c r="T232" s="50"/>
      <c r="U232" s="50"/>
      <c r="V232" s="50"/>
      <c r="W232" s="50"/>
      <c r="X232" s="50"/>
      <c r="Y232" s="50"/>
      <c r="Z232" s="50"/>
      <c r="AA232" s="50"/>
      <c r="AB232" s="50"/>
    </row>
    <row r="233" customFormat="false" ht="15.75" hidden="false" customHeight="false" outlineLevel="0" collapsed="false">
      <c r="A233" s="50"/>
      <c r="B233" s="50"/>
      <c r="C233" s="5"/>
      <c r="D233" s="48"/>
      <c r="E233" s="50"/>
      <c r="F233" s="5"/>
      <c r="G233" s="5"/>
      <c r="H233" s="5"/>
      <c r="I233" s="5"/>
      <c r="J233" s="5"/>
      <c r="K233" s="50"/>
      <c r="L233" s="50"/>
      <c r="M233" s="50"/>
      <c r="N233" s="50"/>
      <c r="O233" s="50"/>
      <c r="P233" s="50"/>
      <c r="Q233" s="50"/>
      <c r="R233" s="50"/>
      <c r="S233" s="50"/>
      <c r="T233" s="50"/>
      <c r="U233" s="50"/>
      <c r="V233" s="50"/>
      <c r="W233" s="50"/>
      <c r="X233" s="50"/>
      <c r="Y233" s="50"/>
      <c r="Z233" s="50"/>
      <c r="AA233" s="50"/>
      <c r="AB233" s="50"/>
    </row>
    <row r="234" customFormat="false" ht="15.75" hidden="false" customHeight="false" outlineLevel="0" collapsed="false">
      <c r="A234" s="50"/>
      <c r="B234" s="50"/>
      <c r="C234" s="5"/>
      <c r="D234" s="48"/>
      <c r="E234" s="50"/>
      <c r="F234" s="5"/>
      <c r="G234" s="5"/>
      <c r="H234" s="5"/>
      <c r="I234" s="5"/>
      <c r="J234" s="5"/>
      <c r="K234" s="50"/>
      <c r="L234" s="50"/>
      <c r="M234" s="50"/>
      <c r="N234" s="50"/>
      <c r="O234" s="50"/>
      <c r="P234" s="50"/>
      <c r="Q234" s="50"/>
      <c r="R234" s="50"/>
      <c r="S234" s="50"/>
      <c r="T234" s="50"/>
      <c r="U234" s="50"/>
      <c r="V234" s="50"/>
      <c r="W234" s="50"/>
      <c r="X234" s="50"/>
      <c r="Y234" s="50"/>
      <c r="Z234" s="50"/>
      <c r="AA234" s="50"/>
      <c r="AB234" s="50"/>
    </row>
    <row r="235" customFormat="false" ht="15.75" hidden="false" customHeight="false" outlineLevel="0" collapsed="false">
      <c r="A235" s="50"/>
      <c r="B235" s="50"/>
      <c r="C235" s="5"/>
      <c r="D235" s="48"/>
      <c r="E235" s="50"/>
      <c r="F235" s="5"/>
      <c r="G235" s="5"/>
      <c r="H235" s="5"/>
      <c r="I235" s="5"/>
      <c r="J235" s="5"/>
      <c r="K235" s="50"/>
      <c r="L235" s="50"/>
      <c r="M235" s="50"/>
      <c r="N235" s="50"/>
      <c r="O235" s="50"/>
      <c r="P235" s="50"/>
      <c r="Q235" s="50"/>
      <c r="R235" s="50"/>
      <c r="S235" s="50"/>
      <c r="T235" s="50"/>
      <c r="U235" s="50"/>
      <c r="V235" s="50"/>
      <c r="W235" s="50"/>
      <c r="X235" s="50"/>
      <c r="Y235" s="50"/>
      <c r="Z235" s="50"/>
      <c r="AA235" s="50"/>
      <c r="AB235" s="50"/>
    </row>
    <row r="236" customFormat="false" ht="15.75" hidden="false" customHeight="false" outlineLevel="0" collapsed="false">
      <c r="A236" s="50"/>
      <c r="B236" s="50"/>
      <c r="C236" s="5"/>
      <c r="D236" s="48"/>
      <c r="E236" s="50"/>
      <c r="F236" s="5"/>
      <c r="G236" s="5"/>
      <c r="H236" s="5"/>
      <c r="I236" s="5"/>
      <c r="J236" s="5"/>
      <c r="K236" s="50"/>
      <c r="L236" s="50"/>
      <c r="M236" s="50"/>
      <c r="N236" s="50"/>
      <c r="O236" s="50"/>
      <c r="P236" s="50"/>
      <c r="Q236" s="50"/>
      <c r="R236" s="50"/>
      <c r="S236" s="50"/>
      <c r="T236" s="50"/>
      <c r="U236" s="50"/>
      <c r="V236" s="50"/>
      <c r="W236" s="50"/>
      <c r="X236" s="50"/>
      <c r="Y236" s="50"/>
      <c r="Z236" s="50"/>
      <c r="AA236" s="50"/>
      <c r="AB236" s="50"/>
    </row>
    <row r="237" customFormat="false" ht="15.75" hidden="false" customHeight="false" outlineLevel="0" collapsed="false">
      <c r="A237" s="50"/>
      <c r="B237" s="50"/>
      <c r="C237" s="5"/>
      <c r="D237" s="48"/>
      <c r="E237" s="50"/>
      <c r="F237" s="5"/>
      <c r="G237" s="5"/>
      <c r="H237" s="5"/>
      <c r="I237" s="5"/>
      <c r="J237" s="5"/>
      <c r="K237" s="50"/>
      <c r="L237" s="50"/>
      <c r="M237" s="50"/>
      <c r="N237" s="50"/>
      <c r="O237" s="50"/>
      <c r="P237" s="50"/>
      <c r="Q237" s="50"/>
      <c r="R237" s="50"/>
      <c r="S237" s="50"/>
      <c r="T237" s="50"/>
      <c r="U237" s="50"/>
      <c r="V237" s="50"/>
      <c r="W237" s="50"/>
      <c r="X237" s="50"/>
      <c r="Y237" s="50"/>
      <c r="Z237" s="50"/>
      <c r="AA237" s="50"/>
      <c r="AB237" s="50"/>
    </row>
    <row r="238" customFormat="false" ht="15.75" hidden="false" customHeight="false" outlineLevel="0" collapsed="false">
      <c r="A238" s="50"/>
      <c r="B238" s="50"/>
      <c r="C238" s="5"/>
      <c r="D238" s="48"/>
      <c r="E238" s="50"/>
      <c r="F238" s="5"/>
      <c r="G238" s="5"/>
      <c r="H238" s="5"/>
      <c r="I238" s="5"/>
      <c r="J238" s="5"/>
      <c r="K238" s="50"/>
      <c r="L238" s="50"/>
      <c r="M238" s="50"/>
      <c r="N238" s="50"/>
      <c r="O238" s="50"/>
      <c r="P238" s="50"/>
      <c r="Q238" s="50"/>
      <c r="R238" s="50"/>
      <c r="S238" s="50"/>
      <c r="T238" s="50"/>
      <c r="U238" s="50"/>
      <c r="V238" s="50"/>
      <c r="W238" s="50"/>
      <c r="X238" s="50"/>
      <c r="Y238" s="50"/>
      <c r="Z238" s="50"/>
      <c r="AA238" s="50"/>
      <c r="AB238" s="50"/>
    </row>
    <row r="239" customFormat="false" ht="15.75" hidden="false" customHeight="false" outlineLevel="0" collapsed="false">
      <c r="A239" s="50"/>
      <c r="B239" s="50"/>
      <c r="C239" s="5"/>
      <c r="D239" s="48"/>
      <c r="E239" s="50"/>
      <c r="F239" s="5"/>
      <c r="G239" s="5"/>
      <c r="H239" s="5"/>
      <c r="I239" s="5"/>
      <c r="J239" s="5"/>
      <c r="K239" s="50"/>
      <c r="L239" s="50"/>
      <c r="M239" s="50"/>
      <c r="N239" s="50"/>
      <c r="O239" s="50"/>
      <c r="P239" s="50"/>
      <c r="Q239" s="50"/>
      <c r="R239" s="50"/>
      <c r="S239" s="50"/>
      <c r="T239" s="50"/>
      <c r="U239" s="50"/>
      <c r="V239" s="50"/>
      <c r="W239" s="50"/>
      <c r="X239" s="50"/>
      <c r="Y239" s="50"/>
      <c r="Z239" s="50"/>
      <c r="AA239" s="50"/>
      <c r="AB239" s="50"/>
    </row>
    <row r="240" customFormat="false" ht="15.75" hidden="false" customHeight="false" outlineLevel="0" collapsed="false">
      <c r="A240" s="50"/>
      <c r="B240" s="50"/>
      <c r="C240" s="5"/>
      <c r="D240" s="48"/>
      <c r="E240" s="50"/>
      <c r="F240" s="5"/>
      <c r="G240" s="5"/>
      <c r="H240" s="5"/>
      <c r="I240" s="5"/>
      <c r="J240" s="5"/>
      <c r="K240" s="50"/>
      <c r="L240" s="50"/>
      <c r="M240" s="50"/>
      <c r="N240" s="50"/>
      <c r="O240" s="50"/>
      <c r="P240" s="50"/>
      <c r="Q240" s="50"/>
      <c r="R240" s="50"/>
      <c r="S240" s="50"/>
      <c r="T240" s="50"/>
      <c r="U240" s="50"/>
      <c r="V240" s="50"/>
      <c r="W240" s="50"/>
      <c r="X240" s="50"/>
      <c r="Y240" s="50"/>
      <c r="Z240" s="50"/>
      <c r="AA240" s="50"/>
      <c r="AB240" s="50"/>
    </row>
    <row r="241" customFormat="false" ht="15.75" hidden="false" customHeight="false" outlineLevel="0" collapsed="false">
      <c r="A241" s="50"/>
      <c r="B241" s="50"/>
      <c r="C241" s="5"/>
      <c r="D241" s="48"/>
      <c r="E241" s="50"/>
      <c r="F241" s="5"/>
      <c r="G241" s="5"/>
      <c r="H241" s="5"/>
      <c r="I241" s="5"/>
      <c r="J241" s="5"/>
      <c r="K241" s="50"/>
      <c r="L241" s="50"/>
      <c r="M241" s="50"/>
      <c r="N241" s="50"/>
      <c r="O241" s="50"/>
      <c r="P241" s="50"/>
      <c r="Q241" s="50"/>
      <c r="R241" s="50"/>
      <c r="S241" s="50"/>
      <c r="T241" s="50"/>
      <c r="U241" s="50"/>
      <c r="V241" s="50"/>
      <c r="W241" s="50"/>
      <c r="X241" s="50"/>
      <c r="Y241" s="50"/>
      <c r="Z241" s="50"/>
      <c r="AA241" s="50"/>
      <c r="AB241" s="50"/>
    </row>
    <row r="242" customFormat="false" ht="15.75" hidden="false" customHeight="false" outlineLevel="0" collapsed="false">
      <c r="A242" s="50"/>
      <c r="B242" s="50"/>
      <c r="C242" s="5"/>
      <c r="D242" s="48"/>
      <c r="E242" s="50"/>
      <c r="F242" s="5"/>
      <c r="G242" s="5"/>
      <c r="H242" s="5"/>
      <c r="I242" s="5"/>
      <c r="J242" s="5"/>
      <c r="K242" s="50"/>
      <c r="L242" s="50"/>
      <c r="M242" s="50"/>
      <c r="N242" s="50"/>
      <c r="O242" s="50"/>
      <c r="P242" s="50"/>
      <c r="Q242" s="50"/>
      <c r="R242" s="50"/>
      <c r="S242" s="50"/>
      <c r="T242" s="50"/>
      <c r="U242" s="50"/>
      <c r="V242" s="50"/>
      <c r="W242" s="50"/>
      <c r="X242" s="50"/>
      <c r="Y242" s="50"/>
      <c r="Z242" s="50"/>
      <c r="AA242" s="50"/>
      <c r="AB242" s="50"/>
    </row>
    <row r="243" customFormat="false" ht="15.75" hidden="false" customHeight="false" outlineLevel="0" collapsed="false">
      <c r="A243" s="50"/>
      <c r="B243" s="50"/>
      <c r="C243" s="5"/>
      <c r="D243" s="48"/>
      <c r="E243" s="50"/>
      <c r="F243" s="5"/>
      <c r="G243" s="5"/>
      <c r="H243" s="5"/>
      <c r="I243" s="5"/>
      <c r="J243" s="5"/>
      <c r="K243" s="50"/>
      <c r="L243" s="50"/>
      <c r="M243" s="50"/>
      <c r="N243" s="50"/>
      <c r="O243" s="50"/>
      <c r="P243" s="50"/>
      <c r="Q243" s="50"/>
      <c r="R243" s="50"/>
      <c r="S243" s="50"/>
      <c r="T243" s="50"/>
      <c r="U243" s="50"/>
      <c r="V243" s="50"/>
      <c r="W243" s="50"/>
      <c r="X243" s="50"/>
      <c r="Y243" s="50"/>
      <c r="Z243" s="50"/>
      <c r="AA243" s="50"/>
      <c r="AB243" s="50"/>
    </row>
    <row r="244" customFormat="false" ht="15.75" hidden="false" customHeight="false" outlineLevel="0" collapsed="false">
      <c r="A244" s="50"/>
      <c r="B244" s="50"/>
      <c r="C244" s="5"/>
      <c r="D244" s="48"/>
      <c r="E244" s="50"/>
      <c r="F244" s="5"/>
      <c r="G244" s="5"/>
      <c r="H244" s="5"/>
      <c r="I244" s="5"/>
      <c r="J244" s="5"/>
      <c r="K244" s="50"/>
      <c r="L244" s="50"/>
      <c r="M244" s="50"/>
      <c r="N244" s="50"/>
      <c r="O244" s="50"/>
      <c r="P244" s="50"/>
      <c r="Q244" s="50"/>
      <c r="R244" s="50"/>
      <c r="S244" s="50"/>
      <c r="T244" s="50"/>
      <c r="U244" s="50"/>
      <c r="V244" s="50"/>
      <c r="W244" s="50"/>
      <c r="X244" s="50"/>
      <c r="Y244" s="50"/>
      <c r="Z244" s="50"/>
      <c r="AA244" s="50"/>
      <c r="AB244" s="50"/>
    </row>
    <row r="245" customFormat="false" ht="15.75" hidden="false" customHeight="false" outlineLevel="0" collapsed="false">
      <c r="A245" s="50"/>
      <c r="B245" s="50"/>
      <c r="C245" s="5"/>
      <c r="D245" s="48"/>
      <c r="E245" s="50"/>
      <c r="F245" s="5"/>
      <c r="G245" s="5"/>
      <c r="H245" s="5"/>
      <c r="I245" s="5"/>
      <c r="J245" s="5"/>
      <c r="K245" s="50"/>
      <c r="L245" s="50"/>
      <c r="M245" s="50"/>
      <c r="N245" s="50"/>
      <c r="O245" s="50"/>
      <c r="P245" s="50"/>
      <c r="Q245" s="50"/>
      <c r="R245" s="50"/>
      <c r="S245" s="50"/>
      <c r="T245" s="50"/>
      <c r="U245" s="50"/>
      <c r="V245" s="50"/>
      <c r="W245" s="50"/>
      <c r="X245" s="50"/>
      <c r="Y245" s="50"/>
      <c r="Z245" s="50"/>
      <c r="AA245" s="50"/>
      <c r="AB245" s="50"/>
    </row>
    <row r="246" customFormat="false" ht="15.75" hidden="false" customHeight="false" outlineLevel="0" collapsed="false">
      <c r="A246" s="50"/>
      <c r="B246" s="50"/>
      <c r="C246" s="5"/>
      <c r="D246" s="48"/>
      <c r="E246" s="50"/>
      <c r="F246" s="5"/>
      <c r="G246" s="5"/>
      <c r="H246" s="5"/>
      <c r="I246" s="5"/>
      <c r="J246" s="5"/>
      <c r="K246" s="50"/>
      <c r="L246" s="50"/>
      <c r="M246" s="50"/>
      <c r="N246" s="50"/>
      <c r="O246" s="50"/>
      <c r="P246" s="50"/>
      <c r="Q246" s="50"/>
      <c r="R246" s="50"/>
      <c r="S246" s="50"/>
      <c r="T246" s="50"/>
      <c r="U246" s="50"/>
      <c r="V246" s="50"/>
      <c r="W246" s="50"/>
      <c r="X246" s="50"/>
      <c r="Y246" s="50"/>
      <c r="Z246" s="50"/>
      <c r="AA246" s="50"/>
      <c r="AB246" s="50"/>
    </row>
    <row r="247" customFormat="false" ht="15.75" hidden="false" customHeight="false" outlineLevel="0" collapsed="false">
      <c r="A247" s="50"/>
      <c r="B247" s="50"/>
      <c r="C247" s="5"/>
      <c r="D247" s="48"/>
      <c r="E247" s="50"/>
      <c r="F247" s="5"/>
      <c r="G247" s="5"/>
      <c r="H247" s="5"/>
      <c r="I247" s="5"/>
      <c r="J247" s="5"/>
      <c r="K247" s="50"/>
      <c r="L247" s="50"/>
      <c r="M247" s="50"/>
      <c r="N247" s="50"/>
      <c r="O247" s="50"/>
      <c r="P247" s="50"/>
      <c r="Q247" s="50"/>
      <c r="R247" s="50"/>
      <c r="S247" s="50"/>
      <c r="T247" s="50"/>
      <c r="U247" s="50"/>
      <c r="V247" s="50"/>
      <c r="W247" s="50"/>
      <c r="X247" s="50"/>
      <c r="Y247" s="50"/>
      <c r="Z247" s="50"/>
      <c r="AA247" s="50"/>
      <c r="AB247" s="50"/>
    </row>
    <row r="248" customFormat="false" ht="15.75" hidden="false" customHeight="false" outlineLevel="0" collapsed="false">
      <c r="A248" s="50"/>
      <c r="B248" s="50"/>
      <c r="C248" s="5"/>
      <c r="D248" s="48"/>
      <c r="E248" s="50"/>
      <c r="F248" s="5"/>
      <c r="G248" s="5"/>
      <c r="H248" s="5"/>
      <c r="I248" s="5"/>
      <c r="J248" s="5"/>
      <c r="K248" s="50"/>
      <c r="L248" s="50"/>
      <c r="M248" s="50"/>
      <c r="N248" s="50"/>
      <c r="O248" s="50"/>
      <c r="P248" s="50"/>
      <c r="Q248" s="50"/>
      <c r="R248" s="50"/>
      <c r="S248" s="50"/>
      <c r="T248" s="50"/>
      <c r="U248" s="50"/>
      <c r="V248" s="50"/>
      <c r="W248" s="50"/>
      <c r="X248" s="50"/>
      <c r="Y248" s="50"/>
      <c r="Z248" s="50"/>
      <c r="AA248" s="50"/>
      <c r="AB248" s="50"/>
    </row>
    <row r="249" customFormat="false" ht="15.75" hidden="false" customHeight="false" outlineLevel="0" collapsed="false">
      <c r="A249" s="50"/>
      <c r="B249" s="50"/>
      <c r="C249" s="5"/>
      <c r="D249" s="48"/>
      <c r="E249" s="50"/>
      <c r="F249" s="5"/>
      <c r="G249" s="5"/>
      <c r="H249" s="5"/>
      <c r="I249" s="5"/>
      <c r="J249" s="5"/>
      <c r="K249" s="50"/>
      <c r="L249" s="50"/>
      <c r="M249" s="50"/>
      <c r="N249" s="50"/>
      <c r="O249" s="50"/>
      <c r="P249" s="50"/>
      <c r="Q249" s="50"/>
      <c r="R249" s="50"/>
      <c r="S249" s="50"/>
      <c r="T249" s="50"/>
      <c r="U249" s="50"/>
      <c r="V249" s="50"/>
      <c r="W249" s="50"/>
      <c r="X249" s="50"/>
      <c r="Y249" s="50"/>
      <c r="Z249" s="50"/>
      <c r="AA249" s="50"/>
      <c r="AB249" s="50"/>
    </row>
    <row r="250" customFormat="false" ht="15.75" hidden="false" customHeight="false" outlineLevel="0" collapsed="false">
      <c r="A250" s="50"/>
      <c r="B250" s="50"/>
      <c r="C250" s="5"/>
      <c r="D250" s="48"/>
      <c r="E250" s="50"/>
      <c r="F250" s="5"/>
      <c r="G250" s="5"/>
      <c r="H250" s="5"/>
      <c r="I250" s="5"/>
      <c r="J250" s="5"/>
      <c r="K250" s="50"/>
      <c r="L250" s="50"/>
      <c r="M250" s="50"/>
      <c r="N250" s="50"/>
      <c r="O250" s="50"/>
      <c r="P250" s="50"/>
      <c r="Q250" s="50"/>
      <c r="R250" s="50"/>
      <c r="S250" s="50"/>
      <c r="T250" s="50"/>
      <c r="U250" s="50"/>
      <c r="V250" s="50"/>
      <c r="W250" s="50"/>
      <c r="X250" s="50"/>
      <c r="Y250" s="50"/>
      <c r="Z250" s="50"/>
      <c r="AA250" s="50"/>
      <c r="AB250" s="50"/>
    </row>
    <row r="251" customFormat="false" ht="15.75" hidden="false" customHeight="false" outlineLevel="0" collapsed="false">
      <c r="A251" s="50"/>
      <c r="B251" s="50"/>
      <c r="C251" s="5"/>
      <c r="D251" s="48"/>
      <c r="E251" s="50"/>
      <c r="F251" s="5"/>
      <c r="G251" s="5"/>
      <c r="H251" s="5"/>
      <c r="I251" s="5"/>
      <c r="J251" s="5"/>
      <c r="K251" s="50"/>
      <c r="L251" s="50"/>
      <c r="M251" s="50"/>
      <c r="N251" s="50"/>
      <c r="O251" s="50"/>
      <c r="P251" s="50"/>
      <c r="Q251" s="50"/>
      <c r="R251" s="50"/>
      <c r="S251" s="50"/>
      <c r="T251" s="50"/>
      <c r="U251" s="50"/>
      <c r="V251" s="50"/>
      <c r="W251" s="50"/>
      <c r="X251" s="50"/>
      <c r="Y251" s="50"/>
      <c r="Z251" s="50"/>
      <c r="AA251" s="50"/>
      <c r="AB251" s="50"/>
    </row>
    <row r="252" customFormat="false" ht="15.75" hidden="false" customHeight="false" outlineLevel="0" collapsed="false">
      <c r="A252" s="50"/>
      <c r="B252" s="50"/>
      <c r="C252" s="5"/>
      <c r="D252" s="48"/>
      <c r="E252" s="50"/>
      <c r="F252" s="5"/>
      <c r="G252" s="5"/>
      <c r="H252" s="5"/>
      <c r="I252" s="5"/>
      <c r="J252" s="5"/>
      <c r="K252" s="50"/>
      <c r="L252" s="50"/>
      <c r="M252" s="50"/>
      <c r="N252" s="50"/>
      <c r="O252" s="50"/>
      <c r="P252" s="50"/>
      <c r="Q252" s="50"/>
      <c r="R252" s="50"/>
      <c r="S252" s="50"/>
      <c r="T252" s="50"/>
      <c r="U252" s="50"/>
      <c r="V252" s="50"/>
      <c r="W252" s="50"/>
      <c r="X252" s="50"/>
      <c r="Y252" s="50"/>
      <c r="Z252" s="50"/>
      <c r="AA252" s="50"/>
      <c r="AB252" s="50"/>
    </row>
    <row r="253" customFormat="false" ht="15.75" hidden="false" customHeight="false" outlineLevel="0" collapsed="false">
      <c r="A253" s="50"/>
      <c r="B253" s="50"/>
      <c r="C253" s="5"/>
      <c r="D253" s="48"/>
      <c r="E253" s="50"/>
      <c r="F253" s="5"/>
      <c r="G253" s="5"/>
      <c r="H253" s="5"/>
      <c r="I253" s="5"/>
      <c r="J253" s="5"/>
      <c r="K253" s="50"/>
      <c r="L253" s="50"/>
      <c r="M253" s="50"/>
      <c r="N253" s="50"/>
      <c r="O253" s="50"/>
      <c r="P253" s="50"/>
      <c r="Q253" s="50"/>
      <c r="R253" s="50"/>
      <c r="S253" s="50"/>
      <c r="T253" s="50"/>
      <c r="U253" s="50"/>
      <c r="V253" s="50"/>
      <c r="W253" s="50"/>
      <c r="X253" s="50"/>
      <c r="Y253" s="50"/>
      <c r="Z253" s="50"/>
      <c r="AA253" s="50"/>
      <c r="AB253" s="50"/>
    </row>
    <row r="254" customFormat="false" ht="15.75" hidden="false" customHeight="false" outlineLevel="0" collapsed="false">
      <c r="A254" s="50"/>
      <c r="B254" s="50"/>
      <c r="C254" s="5"/>
      <c r="D254" s="48"/>
      <c r="E254" s="50"/>
      <c r="F254" s="5"/>
      <c r="G254" s="5"/>
      <c r="H254" s="5"/>
      <c r="I254" s="5"/>
      <c r="J254" s="5"/>
      <c r="K254" s="50"/>
      <c r="L254" s="50"/>
      <c r="M254" s="50"/>
      <c r="N254" s="50"/>
      <c r="O254" s="50"/>
      <c r="P254" s="50"/>
      <c r="Q254" s="50"/>
      <c r="R254" s="50"/>
      <c r="S254" s="50"/>
      <c r="T254" s="50"/>
      <c r="U254" s="50"/>
      <c r="V254" s="50"/>
      <c r="W254" s="50"/>
      <c r="X254" s="50"/>
      <c r="Y254" s="50"/>
      <c r="Z254" s="50"/>
      <c r="AA254" s="50"/>
      <c r="AB254" s="50"/>
    </row>
    <row r="255" customFormat="false" ht="15.75" hidden="false" customHeight="false" outlineLevel="0" collapsed="false">
      <c r="A255" s="50"/>
      <c r="B255" s="50"/>
      <c r="C255" s="5"/>
      <c r="D255" s="48"/>
      <c r="E255" s="50"/>
      <c r="F255" s="5"/>
      <c r="G255" s="5"/>
      <c r="H255" s="5"/>
      <c r="I255" s="5"/>
      <c r="J255" s="5"/>
      <c r="K255" s="50"/>
      <c r="L255" s="50"/>
      <c r="M255" s="50"/>
      <c r="N255" s="50"/>
      <c r="O255" s="50"/>
      <c r="P255" s="50"/>
      <c r="Q255" s="50"/>
      <c r="R255" s="50"/>
      <c r="S255" s="50"/>
      <c r="T255" s="50"/>
      <c r="U255" s="50"/>
      <c r="V255" s="50"/>
      <c r="W255" s="50"/>
      <c r="X255" s="50"/>
      <c r="Y255" s="50"/>
      <c r="Z255" s="50"/>
      <c r="AA255" s="50"/>
      <c r="AB255" s="50"/>
    </row>
    <row r="256" customFormat="false" ht="15.75" hidden="false" customHeight="false" outlineLevel="0" collapsed="false">
      <c r="A256" s="50"/>
      <c r="B256" s="50"/>
      <c r="C256" s="5"/>
      <c r="D256" s="48"/>
      <c r="E256" s="50"/>
      <c r="F256" s="5"/>
      <c r="G256" s="5"/>
      <c r="H256" s="5"/>
      <c r="I256" s="5"/>
      <c r="J256" s="5"/>
      <c r="K256" s="50"/>
      <c r="L256" s="50"/>
      <c r="M256" s="50"/>
      <c r="N256" s="50"/>
      <c r="O256" s="50"/>
      <c r="P256" s="50"/>
      <c r="Q256" s="50"/>
      <c r="R256" s="50"/>
      <c r="S256" s="50"/>
      <c r="T256" s="50"/>
      <c r="U256" s="50"/>
      <c r="V256" s="50"/>
      <c r="W256" s="50"/>
      <c r="X256" s="50"/>
      <c r="Y256" s="50"/>
      <c r="Z256" s="50"/>
      <c r="AA256" s="50"/>
      <c r="AB256" s="50"/>
    </row>
    <row r="257" customFormat="false" ht="15.75" hidden="false" customHeight="false" outlineLevel="0" collapsed="false">
      <c r="A257" s="50"/>
      <c r="B257" s="50"/>
      <c r="C257" s="5"/>
      <c r="D257" s="48"/>
      <c r="E257" s="50"/>
      <c r="F257" s="5"/>
      <c r="G257" s="5"/>
      <c r="H257" s="5"/>
      <c r="I257" s="5"/>
      <c r="J257" s="5"/>
      <c r="K257" s="50"/>
      <c r="L257" s="50"/>
      <c r="M257" s="50"/>
      <c r="N257" s="50"/>
      <c r="O257" s="50"/>
      <c r="P257" s="50"/>
      <c r="Q257" s="50"/>
      <c r="R257" s="50"/>
      <c r="S257" s="50"/>
      <c r="T257" s="50"/>
      <c r="U257" s="50"/>
      <c r="V257" s="50"/>
      <c r="W257" s="50"/>
      <c r="X257" s="50"/>
      <c r="Y257" s="50"/>
      <c r="Z257" s="50"/>
      <c r="AA257" s="50"/>
      <c r="AB257" s="50"/>
    </row>
    <row r="258" customFormat="false" ht="15.75" hidden="false" customHeight="false" outlineLevel="0" collapsed="false">
      <c r="A258" s="50"/>
      <c r="B258" s="50"/>
      <c r="C258" s="5"/>
      <c r="D258" s="48"/>
      <c r="E258" s="50"/>
      <c r="F258" s="5"/>
      <c r="G258" s="5"/>
      <c r="H258" s="5"/>
      <c r="I258" s="5"/>
      <c r="J258" s="5"/>
      <c r="K258" s="50"/>
      <c r="L258" s="50"/>
      <c r="M258" s="50"/>
      <c r="N258" s="50"/>
      <c r="O258" s="50"/>
      <c r="P258" s="50"/>
      <c r="Q258" s="50"/>
      <c r="R258" s="50"/>
      <c r="S258" s="50"/>
      <c r="T258" s="50"/>
      <c r="U258" s="50"/>
      <c r="V258" s="50"/>
      <c r="W258" s="50"/>
      <c r="X258" s="50"/>
      <c r="Y258" s="50"/>
      <c r="Z258" s="50"/>
      <c r="AA258" s="50"/>
      <c r="AB258" s="50"/>
    </row>
    <row r="259" customFormat="false" ht="15.75" hidden="false" customHeight="false" outlineLevel="0" collapsed="false">
      <c r="A259" s="50"/>
      <c r="B259" s="50"/>
      <c r="C259" s="5"/>
      <c r="D259" s="48"/>
      <c r="E259" s="50"/>
      <c r="F259" s="5"/>
      <c r="G259" s="5"/>
      <c r="H259" s="5"/>
      <c r="I259" s="5"/>
      <c r="J259" s="5"/>
      <c r="K259" s="50"/>
      <c r="L259" s="50"/>
      <c r="M259" s="50"/>
      <c r="N259" s="50"/>
      <c r="O259" s="50"/>
      <c r="P259" s="50"/>
      <c r="Q259" s="50"/>
      <c r="R259" s="50"/>
      <c r="S259" s="50"/>
      <c r="T259" s="50"/>
      <c r="U259" s="50"/>
      <c r="V259" s="50"/>
      <c r="W259" s="50"/>
      <c r="X259" s="50"/>
      <c r="Y259" s="50"/>
      <c r="Z259" s="50"/>
      <c r="AA259" s="50"/>
      <c r="AB259" s="50"/>
    </row>
    <row r="260" customFormat="false" ht="15.75" hidden="false" customHeight="false" outlineLevel="0" collapsed="false">
      <c r="A260" s="50"/>
      <c r="B260" s="50"/>
      <c r="C260" s="5"/>
      <c r="D260" s="48"/>
      <c r="E260" s="50"/>
      <c r="F260" s="5"/>
      <c r="G260" s="5"/>
      <c r="H260" s="5"/>
      <c r="I260" s="5"/>
      <c r="J260" s="5"/>
      <c r="K260" s="50"/>
      <c r="L260" s="50"/>
      <c r="M260" s="50"/>
      <c r="N260" s="50"/>
      <c r="O260" s="50"/>
      <c r="P260" s="50"/>
      <c r="Q260" s="50"/>
      <c r="R260" s="50"/>
      <c r="S260" s="50"/>
      <c r="T260" s="50"/>
      <c r="U260" s="50"/>
      <c r="V260" s="50"/>
      <c r="W260" s="50"/>
      <c r="X260" s="50"/>
      <c r="Y260" s="50"/>
      <c r="Z260" s="50"/>
      <c r="AA260" s="50"/>
      <c r="AB260" s="50"/>
    </row>
    <row r="261" customFormat="false" ht="15.75" hidden="false" customHeight="false" outlineLevel="0" collapsed="false">
      <c r="A261" s="50"/>
      <c r="B261" s="50"/>
      <c r="C261" s="5"/>
      <c r="D261" s="48"/>
      <c r="E261" s="50"/>
      <c r="F261" s="5"/>
      <c r="G261" s="5"/>
      <c r="H261" s="5"/>
      <c r="I261" s="5"/>
      <c r="J261" s="5"/>
      <c r="K261" s="50"/>
      <c r="L261" s="50"/>
      <c r="M261" s="50"/>
      <c r="N261" s="50"/>
      <c r="O261" s="50"/>
      <c r="P261" s="50"/>
      <c r="Q261" s="50"/>
      <c r="R261" s="50"/>
      <c r="S261" s="50"/>
      <c r="T261" s="50"/>
      <c r="U261" s="50"/>
      <c r="V261" s="50"/>
      <c r="W261" s="50"/>
      <c r="X261" s="50"/>
      <c r="Y261" s="50"/>
      <c r="Z261" s="50"/>
      <c r="AA261" s="50"/>
      <c r="AB261" s="50"/>
    </row>
    <row r="262" customFormat="false" ht="15.75" hidden="false" customHeight="false" outlineLevel="0" collapsed="false">
      <c r="A262" s="50"/>
      <c r="B262" s="50"/>
      <c r="C262" s="5"/>
      <c r="D262" s="48"/>
      <c r="E262" s="50"/>
      <c r="F262" s="5"/>
      <c r="G262" s="5"/>
      <c r="H262" s="5"/>
      <c r="I262" s="5"/>
      <c r="J262" s="5"/>
      <c r="K262" s="50"/>
      <c r="L262" s="50"/>
      <c r="M262" s="50"/>
      <c r="N262" s="50"/>
      <c r="O262" s="50"/>
      <c r="P262" s="50"/>
      <c r="Q262" s="50"/>
      <c r="R262" s="50"/>
      <c r="S262" s="50"/>
      <c r="T262" s="50"/>
      <c r="U262" s="50"/>
      <c r="V262" s="50"/>
      <c r="W262" s="50"/>
      <c r="X262" s="50"/>
      <c r="Y262" s="50"/>
      <c r="Z262" s="50"/>
      <c r="AA262" s="50"/>
      <c r="AB262" s="50"/>
    </row>
    <row r="263" customFormat="false" ht="15.75" hidden="false" customHeight="false" outlineLevel="0" collapsed="false">
      <c r="A263" s="50"/>
      <c r="B263" s="50"/>
      <c r="C263" s="5"/>
      <c r="D263" s="48"/>
      <c r="E263" s="50"/>
      <c r="F263" s="5"/>
      <c r="G263" s="5"/>
      <c r="H263" s="5"/>
      <c r="I263" s="5"/>
      <c r="J263" s="5"/>
      <c r="K263" s="50"/>
      <c r="L263" s="50"/>
      <c r="M263" s="50"/>
      <c r="N263" s="50"/>
      <c r="O263" s="50"/>
      <c r="P263" s="50"/>
      <c r="Q263" s="50"/>
      <c r="R263" s="50"/>
      <c r="S263" s="50"/>
      <c r="T263" s="50"/>
      <c r="U263" s="50"/>
      <c r="V263" s="50"/>
      <c r="W263" s="50"/>
      <c r="X263" s="50"/>
      <c r="Y263" s="50"/>
      <c r="Z263" s="50"/>
      <c r="AA263" s="50"/>
      <c r="AB263" s="50"/>
    </row>
    <row r="264" customFormat="false" ht="15.75" hidden="false" customHeight="false" outlineLevel="0" collapsed="false">
      <c r="A264" s="50"/>
      <c r="B264" s="50"/>
      <c r="C264" s="5"/>
      <c r="D264" s="48"/>
      <c r="E264" s="50"/>
      <c r="F264" s="5"/>
      <c r="G264" s="5"/>
      <c r="H264" s="5"/>
      <c r="I264" s="5"/>
      <c r="J264" s="5"/>
      <c r="K264" s="50"/>
      <c r="L264" s="50"/>
      <c r="M264" s="50"/>
      <c r="N264" s="50"/>
      <c r="O264" s="50"/>
      <c r="P264" s="50"/>
      <c r="Q264" s="50"/>
      <c r="R264" s="50"/>
      <c r="S264" s="50"/>
      <c r="T264" s="50"/>
      <c r="U264" s="50"/>
      <c r="V264" s="50"/>
      <c r="W264" s="50"/>
      <c r="X264" s="50"/>
      <c r="Y264" s="50"/>
      <c r="Z264" s="50"/>
      <c r="AA264" s="50"/>
      <c r="AB264" s="50"/>
    </row>
    <row r="265" customFormat="false" ht="15.75" hidden="false" customHeight="false" outlineLevel="0" collapsed="false">
      <c r="A265" s="50"/>
      <c r="B265" s="50"/>
      <c r="C265" s="5"/>
      <c r="D265" s="48"/>
      <c r="E265" s="50"/>
      <c r="F265" s="5"/>
      <c r="G265" s="5"/>
      <c r="H265" s="5"/>
      <c r="I265" s="5"/>
      <c r="J265" s="5"/>
      <c r="K265" s="50"/>
      <c r="L265" s="50"/>
      <c r="M265" s="50"/>
      <c r="N265" s="50"/>
      <c r="O265" s="50"/>
      <c r="P265" s="50"/>
      <c r="Q265" s="50"/>
      <c r="R265" s="50"/>
      <c r="S265" s="50"/>
      <c r="T265" s="50"/>
      <c r="U265" s="50"/>
      <c r="V265" s="50"/>
      <c r="W265" s="50"/>
      <c r="X265" s="50"/>
      <c r="Y265" s="50"/>
      <c r="Z265" s="50"/>
      <c r="AA265" s="50"/>
      <c r="AB265" s="50"/>
    </row>
    <row r="266" customFormat="false" ht="15.75" hidden="false" customHeight="false" outlineLevel="0" collapsed="false">
      <c r="A266" s="50"/>
      <c r="B266" s="50"/>
      <c r="C266" s="5"/>
      <c r="D266" s="48"/>
      <c r="E266" s="50"/>
      <c r="F266" s="5"/>
      <c r="G266" s="5"/>
      <c r="H266" s="5"/>
      <c r="I266" s="5"/>
      <c r="J266" s="5"/>
      <c r="K266" s="50"/>
      <c r="L266" s="50"/>
      <c r="M266" s="50"/>
      <c r="N266" s="50"/>
      <c r="O266" s="50"/>
      <c r="P266" s="50"/>
      <c r="Q266" s="50"/>
      <c r="R266" s="50"/>
      <c r="S266" s="50"/>
      <c r="T266" s="50"/>
      <c r="U266" s="50"/>
      <c r="V266" s="50"/>
      <c r="W266" s="50"/>
      <c r="X266" s="50"/>
      <c r="Y266" s="50"/>
      <c r="Z266" s="50"/>
      <c r="AA266" s="50"/>
      <c r="AB266" s="50"/>
    </row>
    <row r="267" customFormat="false" ht="15.75" hidden="false" customHeight="false" outlineLevel="0" collapsed="false">
      <c r="A267" s="50"/>
      <c r="B267" s="50"/>
      <c r="C267" s="5"/>
      <c r="D267" s="48"/>
      <c r="E267" s="50"/>
      <c r="F267" s="5"/>
      <c r="G267" s="5"/>
      <c r="H267" s="5"/>
      <c r="I267" s="5"/>
      <c r="J267" s="5"/>
      <c r="K267" s="50"/>
      <c r="L267" s="50"/>
      <c r="M267" s="50"/>
      <c r="N267" s="50"/>
      <c r="O267" s="50"/>
      <c r="P267" s="50"/>
      <c r="Q267" s="50"/>
      <c r="R267" s="50"/>
      <c r="S267" s="50"/>
      <c r="T267" s="50"/>
      <c r="U267" s="50"/>
      <c r="V267" s="50"/>
      <c r="W267" s="50"/>
      <c r="X267" s="50"/>
      <c r="Y267" s="50"/>
      <c r="Z267" s="50"/>
      <c r="AA267" s="50"/>
      <c r="AB267" s="50"/>
    </row>
    <row r="268" customFormat="false" ht="15.75" hidden="false" customHeight="false" outlineLevel="0" collapsed="false">
      <c r="A268" s="50"/>
      <c r="B268" s="50"/>
      <c r="C268" s="5"/>
      <c r="D268" s="48"/>
      <c r="E268" s="50"/>
      <c r="F268" s="5"/>
      <c r="G268" s="5"/>
      <c r="H268" s="5"/>
      <c r="I268" s="5"/>
      <c r="J268" s="5"/>
      <c r="K268" s="50"/>
      <c r="L268" s="50"/>
      <c r="M268" s="50"/>
      <c r="N268" s="50"/>
      <c r="O268" s="50"/>
      <c r="P268" s="50"/>
      <c r="Q268" s="50"/>
      <c r="R268" s="50"/>
      <c r="S268" s="50"/>
      <c r="T268" s="50"/>
      <c r="U268" s="50"/>
      <c r="V268" s="50"/>
      <c r="W268" s="50"/>
      <c r="X268" s="50"/>
      <c r="Y268" s="50"/>
      <c r="Z268" s="50"/>
      <c r="AA268" s="50"/>
      <c r="AB268" s="50"/>
    </row>
    <row r="269" customFormat="false" ht="15.75" hidden="false" customHeight="false" outlineLevel="0" collapsed="false">
      <c r="A269" s="50"/>
      <c r="B269" s="50"/>
      <c r="C269" s="5"/>
      <c r="D269" s="48"/>
      <c r="E269" s="50"/>
      <c r="F269" s="5"/>
      <c r="G269" s="5"/>
      <c r="H269" s="5"/>
      <c r="I269" s="5"/>
      <c r="J269" s="5"/>
      <c r="K269" s="50"/>
      <c r="L269" s="50"/>
      <c r="M269" s="50"/>
      <c r="N269" s="50"/>
      <c r="O269" s="50"/>
      <c r="P269" s="50"/>
      <c r="Q269" s="50"/>
      <c r="R269" s="50"/>
      <c r="S269" s="50"/>
      <c r="T269" s="50"/>
      <c r="U269" s="50"/>
      <c r="V269" s="50"/>
      <c r="W269" s="50"/>
      <c r="X269" s="50"/>
      <c r="Y269" s="50"/>
      <c r="Z269" s="50"/>
      <c r="AA269" s="50"/>
      <c r="AB269" s="50"/>
    </row>
    <row r="270" customFormat="false" ht="15.75" hidden="false" customHeight="false" outlineLevel="0" collapsed="false">
      <c r="A270" s="50"/>
      <c r="B270" s="50"/>
      <c r="C270" s="5"/>
      <c r="D270" s="48"/>
      <c r="E270" s="50"/>
      <c r="F270" s="5"/>
      <c r="G270" s="5"/>
      <c r="H270" s="5"/>
      <c r="I270" s="5"/>
      <c r="J270" s="5"/>
      <c r="K270" s="50"/>
      <c r="L270" s="50"/>
      <c r="M270" s="50"/>
      <c r="N270" s="50"/>
      <c r="O270" s="50"/>
      <c r="P270" s="50"/>
      <c r="Q270" s="50"/>
      <c r="R270" s="50"/>
      <c r="S270" s="50"/>
      <c r="T270" s="50"/>
      <c r="U270" s="50"/>
      <c r="V270" s="50"/>
      <c r="W270" s="50"/>
      <c r="X270" s="50"/>
      <c r="Y270" s="50"/>
      <c r="Z270" s="50"/>
      <c r="AA270" s="50"/>
      <c r="AB270" s="50"/>
    </row>
    <row r="271" customFormat="false" ht="15.75" hidden="false" customHeight="false" outlineLevel="0" collapsed="false">
      <c r="A271" s="50"/>
      <c r="B271" s="50"/>
      <c r="C271" s="5"/>
      <c r="D271" s="48"/>
      <c r="E271" s="50"/>
      <c r="F271" s="5"/>
      <c r="G271" s="5"/>
      <c r="H271" s="5"/>
      <c r="I271" s="5"/>
      <c r="J271" s="5"/>
      <c r="K271" s="50"/>
      <c r="L271" s="50"/>
      <c r="M271" s="50"/>
      <c r="N271" s="50"/>
      <c r="O271" s="50"/>
      <c r="P271" s="50"/>
      <c r="Q271" s="50"/>
      <c r="R271" s="50"/>
      <c r="S271" s="50"/>
      <c r="T271" s="50"/>
      <c r="U271" s="50"/>
      <c r="V271" s="50"/>
      <c r="W271" s="50"/>
      <c r="X271" s="50"/>
      <c r="Y271" s="50"/>
      <c r="Z271" s="50"/>
      <c r="AA271" s="50"/>
      <c r="AB271" s="50"/>
    </row>
    <row r="272" customFormat="false" ht="15.75" hidden="false" customHeight="false" outlineLevel="0" collapsed="false">
      <c r="A272" s="50"/>
      <c r="B272" s="50"/>
      <c r="C272" s="5"/>
      <c r="D272" s="48"/>
      <c r="E272" s="50"/>
      <c r="F272" s="5"/>
      <c r="G272" s="5"/>
      <c r="H272" s="5"/>
      <c r="I272" s="5"/>
      <c r="J272" s="5"/>
      <c r="K272" s="50"/>
      <c r="L272" s="50"/>
      <c r="M272" s="50"/>
      <c r="N272" s="50"/>
      <c r="O272" s="50"/>
      <c r="P272" s="50"/>
      <c r="Q272" s="50"/>
      <c r="R272" s="50"/>
      <c r="S272" s="50"/>
      <c r="T272" s="50"/>
      <c r="U272" s="50"/>
      <c r="V272" s="50"/>
      <c r="W272" s="50"/>
      <c r="X272" s="50"/>
      <c r="Y272" s="50"/>
      <c r="Z272" s="50"/>
      <c r="AA272" s="50"/>
      <c r="AB272" s="50"/>
    </row>
    <row r="273" customFormat="false" ht="15.75" hidden="false" customHeight="false" outlineLevel="0" collapsed="false">
      <c r="A273" s="50"/>
      <c r="B273" s="50"/>
      <c r="C273" s="5"/>
      <c r="D273" s="48"/>
      <c r="E273" s="50"/>
      <c r="F273" s="5"/>
      <c r="G273" s="5"/>
      <c r="H273" s="5"/>
      <c r="I273" s="5"/>
      <c r="J273" s="5"/>
      <c r="K273" s="50"/>
      <c r="L273" s="50"/>
      <c r="M273" s="50"/>
      <c r="N273" s="50"/>
      <c r="O273" s="50"/>
      <c r="P273" s="50"/>
      <c r="Q273" s="50"/>
      <c r="R273" s="50"/>
      <c r="S273" s="50"/>
      <c r="T273" s="50"/>
      <c r="U273" s="50"/>
      <c r="V273" s="50"/>
      <c r="W273" s="50"/>
      <c r="X273" s="50"/>
      <c r="Y273" s="50"/>
      <c r="Z273" s="50"/>
      <c r="AA273" s="50"/>
      <c r="AB273" s="50"/>
    </row>
    <row r="274" customFormat="false" ht="15.75" hidden="false" customHeight="false" outlineLevel="0" collapsed="false">
      <c r="A274" s="50"/>
      <c r="B274" s="50"/>
      <c r="C274" s="5"/>
      <c r="D274" s="48"/>
      <c r="E274" s="50"/>
      <c r="F274" s="5"/>
      <c r="G274" s="5"/>
      <c r="H274" s="5"/>
      <c r="I274" s="5"/>
      <c r="J274" s="5"/>
      <c r="K274" s="50"/>
      <c r="L274" s="50"/>
      <c r="M274" s="50"/>
      <c r="N274" s="50"/>
      <c r="O274" s="50"/>
      <c r="P274" s="50"/>
      <c r="Q274" s="50"/>
      <c r="R274" s="50"/>
      <c r="S274" s="50"/>
      <c r="T274" s="50"/>
      <c r="U274" s="50"/>
      <c r="V274" s="50"/>
      <c r="W274" s="50"/>
      <c r="X274" s="50"/>
      <c r="Y274" s="50"/>
      <c r="Z274" s="50"/>
      <c r="AA274" s="50"/>
      <c r="AB274" s="50"/>
    </row>
    <row r="275" customFormat="false" ht="15.75" hidden="false" customHeight="false" outlineLevel="0" collapsed="false">
      <c r="A275" s="50"/>
      <c r="B275" s="50"/>
      <c r="C275" s="5"/>
      <c r="D275" s="48"/>
      <c r="E275" s="50"/>
      <c r="F275" s="5"/>
      <c r="G275" s="5"/>
      <c r="H275" s="5"/>
      <c r="I275" s="5"/>
      <c r="J275" s="5"/>
      <c r="K275" s="50"/>
      <c r="L275" s="50"/>
      <c r="M275" s="50"/>
      <c r="N275" s="50"/>
      <c r="O275" s="50"/>
      <c r="P275" s="50"/>
      <c r="Q275" s="50"/>
      <c r="R275" s="50"/>
      <c r="S275" s="50"/>
      <c r="T275" s="50"/>
      <c r="U275" s="50"/>
      <c r="V275" s="50"/>
      <c r="W275" s="50"/>
      <c r="X275" s="50"/>
      <c r="Y275" s="50"/>
      <c r="Z275" s="50"/>
      <c r="AA275" s="50"/>
      <c r="AB275" s="50"/>
    </row>
    <row r="276" customFormat="false" ht="15.75" hidden="false" customHeight="false" outlineLevel="0" collapsed="false">
      <c r="A276" s="50"/>
      <c r="B276" s="50"/>
      <c r="C276" s="5"/>
      <c r="D276" s="48"/>
      <c r="E276" s="50"/>
      <c r="F276" s="5"/>
      <c r="G276" s="5"/>
      <c r="H276" s="5"/>
      <c r="I276" s="5"/>
      <c r="J276" s="5"/>
      <c r="K276" s="50"/>
      <c r="L276" s="50"/>
      <c r="M276" s="50"/>
      <c r="N276" s="50"/>
      <c r="O276" s="50"/>
      <c r="P276" s="50"/>
      <c r="Q276" s="50"/>
      <c r="R276" s="50"/>
      <c r="S276" s="50"/>
      <c r="T276" s="50"/>
      <c r="U276" s="50"/>
      <c r="V276" s="50"/>
      <c r="W276" s="50"/>
      <c r="X276" s="50"/>
      <c r="Y276" s="50"/>
      <c r="Z276" s="50"/>
      <c r="AA276" s="50"/>
      <c r="AB276" s="50"/>
    </row>
    <row r="277" customFormat="false" ht="15.75" hidden="false" customHeight="false" outlineLevel="0" collapsed="false">
      <c r="A277" s="50"/>
      <c r="B277" s="50"/>
      <c r="C277" s="5"/>
      <c r="D277" s="48"/>
      <c r="E277" s="50"/>
      <c r="F277" s="5"/>
      <c r="G277" s="5"/>
      <c r="H277" s="5"/>
      <c r="I277" s="5"/>
      <c r="J277" s="5"/>
      <c r="K277" s="50"/>
      <c r="L277" s="50"/>
      <c r="M277" s="50"/>
      <c r="N277" s="50"/>
      <c r="O277" s="50"/>
      <c r="P277" s="50"/>
      <c r="Q277" s="50"/>
      <c r="R277" s="50"/>
      <c r="S277" s="50"/>
      <c r="T277" s="50"/>
      <c r="U277" s="50"/>
      <c r="V277" s="50"/>
      <c r="W277" s="50"/>
      <c r="X277" s="50"/>
      <c r="Y277" s="50"/>
      <c r="Z277" s="50"/>
      <c r="AA277" s="50"/>
      <c r="AB277" s="50"/>
    </row>
    <row r="278" customFormat="false" ht="15.75" hidden="false" customHeight="false" outlineLevel="0" collapsed="false">
      <c r="A278" s="50"/>
      <c r="B278" s="50"/>
      <c r="C278" s="5"/>
      <c r="D278" s="48"/>
      <c r="E278" s="50"/>
      <c r="F278" s="5"/>
      <c r="G278" s="5"/>
      <c r="H278" s="5"/>
      <c r="I278" s="5"/>
      <c r="J278" s="5"/>
      <c r="K278" s="50"/>
      <c r="L278" s="50"/>
      <c r="M278" s="50"/>
      <c r="N278" s="50"/>
      <c r="O278" s="50"/>
      <c r="P278" s="50"/>
      <c r="Q278" s="50"/>
      <c r="R278" s="50"/>
      <c r="S278" s="50"/>
      <c r="T278" s="50"/>
      <c r="U278" s="50"/>
      <c r="V278" s="50"/>
      <c r="W278" s="50"/>
      <c r="X278" s="50"/>
      <c r="Y278" s="50"/>
      <c r="Z278" s="50"/>
      <c r="AA278" s="50"/>
      <c r="AB278" s="50"/>
    </row>
    <row r="279" customFormat="false" ht="15.75" hidden="false" customHeight="false" outlineLevel="0" collapsed="false">
      <c r="A279" s="50"/>
      <c r="B279" s="50"/>
      <c r="C279" s="5"/>
      <c r="D279" s="48"/>
      <c r="E279" s="50"/>
      <c r="F279" s="5"/>
      <c r="G279" s="5"/>
      <c r="H279" s="5"/>
      <c r="I279" s="5"/>
      <c r="J279" s="5"/>
      <c r="K279" s="50"/>
      <c r="L279" s="50"/>
      <c r="M279" s="50"/>
      <c r="N279" s="50"/>
      <c r="O279" s="50"/>
      <c r="P279" s="50"/>
      <c r="Q279" s="50"/>
      <c r="R279" s="50"/>
      <c r="S279" s="50"/>
      <c r="T279" s="50"/>
      <c r="U279" s="50"/>
      <c r="V279" s="50"/>
      <c r="W279" s="50"/>
      <c r="X279" s="50"/>
      <c r="Y279" s="50"/>
      <c r="Z279" s="50"/>
      <c r="AA279" s="50"/>
      <c r="AB279" s="50"/>
    </row>
    <row r="280" customFormat="false" ht="15.75" hidden="false" customHeight="false" outlineLevel="0" collapsed="false">
      <c r="A280" s="50"/>
      <c r="B280" s="50"/>
      <c r="C280" s="5"/>
      <c r="D280" s="48"/>
      <c r="E280" s="50"/>
      <c r="F280" s="5"/>
      <c r="G280" s="5"/>
      <c r="H280" s="5"/>
      <c r="I280" s="5"/>
      <c r="J280" s="5"/>
      <c r="K280" s="50"/>
      <c r="L280" s="50"/>
      <c r="M280" s="50"/>
      <c r="N280" s="50"/>
      <c r="O280" s="50"/>
      <c r="P280" s="50"/>
      <c r="Q280" s="50"/>
      <c r="R280" s="50"/>
      <c r="S280" s="50"/>
      <c r="T280" s="50"/>
      <c r="U280" s="50"/>
      <c r="V280" s="50"/>
      <c r="W280" s="50"/>
      <c r="X280" s="50"/>
      <c r="Y280" s="50"/>
      <c r="Z280" s="50"/>
      <c r="AA280" s="50"/>
      <c r="AB280" s="50"/>
    </row>
    <row r="281" customFormat="false" ht="15.75" hidden="false" customHeight="false" outlineLevel="0" collapsed="false">
      <c r="A281" s="50"/>
      <c r="B281" s="50"/>
      <c r="C281" s="5"/>
      <c r="D281" s="48"/>
      <c r="E281" s="50"/>
      <c r="F281" s="5"/>
      <c r="G281" s="5"/>
      <c r="H281" s="5"/>
      <c r="I281" s="5"/>
      <c r="J281" s="5"/>
      <c r="K281" s="50"/>
      <c r="L281" s="50"/>
      <c r="M281" s="50"/>
      <c r="N281" s="50"/>
      <c r="O281" s="50"/>
      <c r="P281" s="50"/>
      <c r="Q281" s="50"/>
      <c r="R281" s="50"/>
      <c r="S281" s="50"/>
      <c r="T281" s="50"/>
      <c r="U281" s="50"/>
      <c r="V281" s="50"/>
      <c r="W281" s="50"/>
      <c r="X281" s="50"/>
      <c r="Y281" s="50"/>
      <c r="Z281" s="50"/>
      <c r="AA281" s="50"/>
      <c r="AB281" s="50"/>
    </row>
    <row r="282" customFormat="false" ht="15.75" hidden="false" customHeight="false" outlineLevel="0" collapsed="false">
      <c r="A282" s="50"/>
      <c r="B282" s="50"/>
      <c r="C282" s="5"/>
      <c r="D282" s="48"/>
      <c r="E282" s="50"/>
      <c r="F282" s="5"/>
      <c r="G282" s="5"/>
      <c r="H282" s="5"/>
      <c r="I282" s="5"/>
      <c r="J282" s="5"/>
      <c r="K282" s="50"/>
      <c r="L282" s="50"/>
      <c r="M282" s="50"/>
      <c r="N282" s="50"/>
      <c r="O282" s="50"/>
      <c r="P282" s="50"/>
      <c r="Q282" s="50"/>
      <c r="R282" s="50"/>
      <c r="S282" s="50"/>
      <c r="T282" s="50"/>
      <c r="U282" s="50"/>
      <c r="V282" s="50"/>
      <c r="W282" s="50"/>
      <c r="X282" s="50"/>
      <c r="Y282" s="50"/>
      <c r="Z282" s="50"/>
      <c r="AA282" s="50"/>
      <c r="AB282" s="50"/>
    </row>
    <row r="283" customFormat="false" ht="15.75" hidden="false" customHeight="false" outlineLevel="0" collapsed="false">
      <c r="A283" s="50"/>
      <c r="B283" s="50"/>
      <c r="C283" s="5"/>
      <c r="D283" s="48"/>
      <c r="E283" s="50"/>
      <c r="F283" s="5"/>
      <c r="G283" s="5"/>
      <c r="H283" s="5"/>
      <c r="I283" s="5"/>
      <c r="J283" s="5"/>
      <c r="K283" s="50"/>
      <c r="L283" s="50"/>
      <c r="M283" s="50"/>
      <c r="N283" s="50"/>
      <c r="O283" s="50"/>
      <c r="P283" s="50"/>
      <c r="Q283" s="50"/>
      <c r="R283" s="50"/>
      <c r="S283" s="50"/>
      <c r="T283" s="50"/>
      <c r="U283" s="50"/>
      <c r="V283" s="50"/>
      <c r="W283" s="50"/>
      <c r="X283" s="50"/>
      <c r="Y283" s="50"/>
      <c r="Z283" s="50"/>
      <c r="AA283" s="50"/>
      <c r="AB283" s="50"/>
    </row>
    <row r="284" customFormat="false" ht="15.75" hidden="false" customHeight="false" outlineLevel="0" collapsed="false">
      <c r="A284" s="50"/>
      <c r="B284" s="50"/>
      <c r="C284" s="5"/>
      <c r="D284" s="48"/>
      <c r="E284" s="50"/>
      <c r="F284" s="5"/>
      <c r="G284" s="5"/>
      <c r="H284" s="5"/>
      <c r="I284" s="5"/>
      <c r="J284" s="5"/>
      <c r="K284" s="50"/>
      <c r="L284" s="50"/>
      <c r="M284" s="50"/>
      <c r="N284" s="50"/>
      <c r="O284" s="50"/>
      <c r="P284" s="50"/>
      <c r="Q284" s="50"/>
      <c r="R284" s="50"/>
      <c r="S284" s="50"/>
      <c r="T284" s="50"/>
      <c r="U284" s="50"/>
      <c r="V284" s="50"/>
      <c r="W284" s="50"/>
      <c r="X284" s="50"/>
      <c r="Y284" s="50"/>
      <c r="Z284" s="50"/>
      <c r="AA284" s="50"/>
      <c r="AB284" s="50"/>
    </row>
    <row r="285" customFormat="false" ht="15.75" hidden="false" customHeight="false" outlineLevel="0" collapsed="false">
      <c r="A285" s="50"/>
      <c r="B285" s="50"/>
      <c r="C285" s="5"/>
      <c r="D285" s="48"/>
      <c r="E285" s="50"/>
      <c r="F285" s="5"/>
      <c r="G285" s="5"/>
      <c r="H285" s="5"/>
      <c r="I285" s="5"/>
      <c r="J285" s="5"/>
      <c r="K285" s="50"/>
      <c r="L285" s="50"/>
      <c r="M285" s="50"/>
      <c r="N285" s="50"/>
      <c r="O285" s="50"/>
      <c r="P285" s="50"/>
      <c r="Q285" s="50"/>
      <c r="R285" s="50"/>
      <c r="S285" s="50"/>
      <c r="T285" s="50"/>
      <c r="U285" s="50"/>
      <c r="V285" s="50"/>
      <c r="W285" s="50"/>
      <c r="X285" s="50"/>
      <c r="Y285" s="50"/>
      <c r="Z285" s="50"/>
      <c r="AA285" s="50"/>
      <c r="AB285" s="50"/>
    </row>
    <row r="286" customFormat="false" ht="15.75" hidden="false" customHeight="false" outlineLevel="0" collapsed="false">
      <c r="A286" s="50"/>
      <c r="B286" s="50"/>
      <c r="C286" s="5"/>
      <c r="D286" s="48"/>
      <c r="E286" s="50"/>
      <c r="F286" s="5"/>
      <c r="G286" s="5"/>
      <c r="H286" s="5"/>
      <c r="I286" s="5"/>
      <c r="J286" s="5"/>
      <c r="K286" s="50"/>
      <c r="L286" s="50"/>
      <c r="M286" s="50"/>
      <c r="N286" s="50"/>
      <c r="O286" s="50"/>
      <c r="P286" s="50"/>
      <c r="Q286" s="50"/>
      <c r="R286" s="50"/>
      <c r="S286" s="50"/>
      <c r="T286" s="50"/>
      <c r="U286" s="50"/>
      <c r="V286" s="50"/>
      <c r="W286" s="50"/>
      <c r="X286" s="50"/>
      <c r="Y286" s="50"/>
      <c r="Z286" s="50"/>
      <c r="AA286" s="50"/>
      <c r="AB286" s="50"/>
    </row>
    <row r="287" customFormat="false" ht="15.75" hidden="false" customHeight="false" outlineLevel="0" collapsed="false">
      <c r="A287" s="50"/>
      <c r="B287" s="50"/>
      <c r="C287" s="5"/>
      <c r="D287" s="48"/>
      <c r="E287" s="50"/>
      <c r="F287" s="5"/>
      <c r="G287" s="5"/>
      <c r="H287" s="5"/>
      <c r="I287" s="5"/>
      <c r="J287" s="5"/>
      <c r="K287" s="50"/>
      <c r="L287" s="50"/>
      <c r="M287" s="50"/>
      <c r="N287" s="50"/>
      <c r="O287" s="50"/>
      <c r="P287" s="50"/>
      <c r="Q287" s="50"/>
      <c r="R287" s="50"/>
      <c r="S287" s="50"/>
      <c r="T287" s="50"/>
      <c r="U287" s="50"/>
      <c r="V287" s="50"/>
      <c r="W287" s="50"/>
      <c r="X287" s="50"/>
      <c r="Y287" s="50"/>
      <c r="Z287" s="50"/>
      <c r="AA287" s="50"/>
      <c r="AB287" s="50"/>
    </row>
    <row r="288" customFormat="false" ht="15.75" hidden="false" customHeight="false" outlineLevel="0" collapsed="false">
      <c r="A288" s="50"/>
      <c r="B288" s="50"/>
      <c r="C288" s="5"/>
      <c r="D288" s="48"/>
      <c r="E288" s="50"/>
      <c r="F288" s="5"/>
      <c r="G288" s="5"/>
      <c r="H288" s="5"/>
      <c r="I288" s="5"/>
      <c r="J288" s="5"/>
      <c r="K288" s="50"/>
      <c r="L288" s="50"/>
      <c r="M288" s="50"/>
      <c r="N288" s="50"/>
      <c r="O288" s="50"/>
      <c r="P288" s="50"/>
      <c r="Q288" s="50"/>
      <c r="R288" s="50"/>
      <c r="S288" s="50"/>
      <c r="T288" s="50"/>
      <c r="U288" s="50"/>
      <c r="V288" s="50"/>
      <c r="W288" s="50"/>
      <c r="X288" s="50"/>
      <c r="Y288" s="50"/>
      <c r="Z288" s="50"/>
      <c r="AA288" s="50"/>
      <c r="AB288" s="50"/>
    </row>
    <row r="289" customFormat="false" ht="15.75" hidden="false" customHeight="false" outlineLevel="0" collapsed="false">
      <c r="A289" s="50"/>
      <c r="B289" s="50"/>
      <c r="C289" s="5"/>
      <c r="D289" s="48"/>
      <c r="E289" s="50"/>
      <c r="F289" s="5"/>
      <c r="G289" s="5"/>
      <c r="H289" s="5"/>
      <c r="I289" s="5"/>
      <c r="J289" s="5"/>
      <c r="K289" s="50"/>
      <c r="L289" s="50"/>
      <c r="M289" s="50"/>
      <c r="N289" s="50"/>
      <c r="O289" s="50"/>
      <c r="P289" s="50"/>
      <c r="Q289" s="50"/>
      <c r="R289" s="50"/>
      <c r="S289" s="50"/>
      <c r="T289" s="50"/>
      <c r="U289" s="50"/>
      <c r="V289" s="50"/>
      <c r="W289" s="50"/>
      <c r="X289" s="50"/>
      <c r="Y289" s="50"/>
      <c r="Z289" s="50"/>
      <c r="AA289" s="50"/>
      <c r="AB289" s="50"/>
    </row>
    <row r="290" customFormat="false" ht="15.75" hidden="false" customHeight="false" outlineLevel="0" collapsed="false">
      <c r="A290" s="50"/>
      <c r="B290" s="50"/>
      <c r="C290" s="5"/>
      <c r="D290" s="48"/>
      <c r="E290" s="50"/>
      <c r="F290" s="5"/>
      <c r="G290" s="5"/>
      <c r="H290" s="5"/>
      <c r="I290" s="5"/>
      <c r="J290" s="5"/>
      <c r="K290" s="50"/>
      <c r="L290" s="50"/>
      <c r="M290" s="50"/>
      <c r="N290" s="50"/>
      <c r="O290" s="50"/>
      <c r="P290" s="50"/>
      <c r="Q290" s="50"/>
      <c r="R290" s="50"/>
      <c r="S290" s="50"/>
      <c r="T290" s="50"/>
      <c r="U290" s="50"/>
      <c r="V290" s="50"/>
      <c r="W290" s="50"/>
      <c r="X290" s="50"/>
      <c r="Y290" s="50"/>
      <c r="Z290" s="50"/>
      <c r="AA290" s="50"/>
      <c r="AB290" s="50"/>
    </row>
    <row r="291" customFormat="false" ht="15.75" hidden="false" customHeight="false" outlineLevel="0" collapsed="false">
      <c r="A291" s="50"/>
      <c r="B291" s="50"/>
      <c r="C291" s="5"/>
      <c r="D291" s="48"/>
      <c r="E291" s="50"/>
      <c r="F291" s="5"/>
      <c r="G291" s="5"/>
      <c r="H291" s="5"/>
      <c r="I291" s="5"/>
      <c r="J291" s="5"/>
      <c r="K291" s="50"/>
      <c r="L291" s="50"/>
      <c r="M291" s="50"/>
      <c r="N291" s="50"/>
      <c r="O291" s="50"/>
      <c r="P291" s="50"/>
      <c r="Q291" s="50"/>
      <c r="R291" s="50"/>
      <c r="S291" s="50"/>
      <c r="T291" s="50"/>
      <c r="U291" s="50"/>
      <c r="V291" s="50"/>
      <c r="W291" s="50"/>
      <c r="X291" s="50"/>
      <c r="Y291" s="50"/>
      <c r="Z291" s="50"/>
      <c r="AA291" s="50"/>
      <c r="AB291" s="50"/>
    </row>
    <row r="292" customFormat="false" ht="15.75" hidden="false" customHeight="false" outlineLevel="0" collapsed="false">
      <c r="A292" s="50"/>
      <c r="B292" s="50"/>
      <c r="C292" s="5"/>
      <c r="D292" s="48"/>
      <c r="E292" s="50"/>
      <c r="F292" s="5"/>
      <c r="G292" s="5"/>
      <c r="H292" s="5"/>
      <c r="I292" s="5"/>
      <c r="J292" s="5"/>
      <c r="K292" s="50"/>
      <c r="L292" s="50"/>
      <c r="M292" s="50"/>
      <c r="N292" s="50"/>
      <c r="O292" s="50"/>
      <c r="P292" s="50"/>
      <c r="Q292" s="50"/>
      <c r="R292" s="50"/>
      <c r="S292" s="50"/>
      <c r="T292" s="50"/>
      <c r="U292" s="50"/>
      <c r="V292" s="50"/>
      <c r="W292" s="50"/>
      <c r="X292" s="50"/>
      <c r="Y292" s="50"/>
      <c r="Z292" s="50"/>
      <c r="AA292" s="50"/>
      <c r="AB292" s="50"/>
    </row>
    <row r="293" customFormat="false" ht="15.75" hidden="false" customHeight="false" outlineLevel="0" collapsed="false">
      <c r="A293" s="50"/>
      <c r="B293" s="50"/>
      <c r="C293" s="5"/>
      <c r="D293" s="48"/>
      <c r="E293" s="50"/>
      <c r="F293" s="5"/>
      <c r="G293" s="5"/>
      <c r="H293" s="5"/>
      <c r="I293" s="5"/>
      <c r="J293" s="5"/>
      <c r="K293" s="50"/>
      <c r="L293" s="50"/>
      <c r="M293" s="50"/>
      <c r="N293" s="50"/>
      <c r="O293" s="50"/>
      <c r="P293" s="50"/>
      <c r="Q293" s="50"/>
      <c r="R293" s="50"/>
      <c r="S293" s="50"/>
      <c r="T293" s="50"/>
      <c r="U293" s="50"/>
      <c r="V293" s="50"/>
      <c r="W293" s="50"/>
      <c r="X293" s="50"/>
      <c r="Y293" s="50"/>
      <c r="Z293" s="50"/>
      <c r="AA293" s="50"/>
      <c r="AB293" s="50"/>
    </row>
    <row r="294" customFormat="false" ht="15.75" hidden="false" customHeight="false" outlineLevel="0" collapsed="false">
      <c r="A294" s="50"/>
      <c r="B294" s="50"/>
      <c r="C294" s="5"/>
      <c r="D294" s="48"/>
      <c r="E294" s="50"/>
      <c r="F294" s="5"/>
      <c r="G294" s="5"/>
      <c r="H294" s="5"/>
      <c r="I294" s="5"/>
      <c r="J294" s="5"/>
      <c r="K294" s="50"/>
      <c r="L294" s="50"/>
      <c r="M294" s="50"/>
      <c r="N294" s="50"/>
      <c r="O294" s="50"/>
      <c r="P294" s="50"/>
      <c r="Q294" s="50"/>
      <c r="R294" s="50"/>
      <c r="S294" s="50"/>
      <c r="T294" s="50"/>
      <c r="U294" s="50"/>
      <c r="V294" s="50"/>
      <c r="W294" s="50"/>
      <c r="X294" s="50"/>
      <c r="Y294" s="50"/>
      <c r="Z294" s="50"/>
      <c r="AA294" s="50"/>
      <c r="AB294" s="50"/>
    </row>
    <row r="295" customFormat="false" ht="15.75" hidden="false" customHeight="false" outlineLevel="0" collapsed="false">
      <c r="A295" s="50"/>
      <c r="B295" s="50"/>
      <c r="C295" s="5"/>
      <c r="D295" s="48"/>
      <c r="E295" s="50"/>
      <c r="F295" s="5"/>
      <c r="G295" s="5"/>
      <c r="H295" s="5"/>
      <c r="I295" s="5"/>
      <c r="J295" s="5"/>
      <c r="K295" s="50"/>
      <c r="L295" s="50"/>
      <c r="M295" s="50"/>
      <c r="N295" s="50"/>
      <c r="O295" s="50"/>
      <c r="P295" s="50"/>
      <c r="Q295" s="50"/>
      <c r="R295" s="50"/>
      <c r="S295" s="50"/>
      <c r="T295" s="50"/>
      <c r="U295" s="50"/>
      <c r="V295" s="50"/>
      <c r="W295" s="50"/>
      <c r="X295" s="50"/>
      <c r="Y295" s="50"/>
      <c r="Z295" s="50"/>
      <c r="AA295" s="50"/>
      <c r="AB295" s="50"/>
    </row>
    <row r="296" customFormat="false" ht="15.75" hidden="false" customHeight="false" outlineLevel="0" collapsed="false">
      <c r="A296" s="50"/>
      <c r="B296" s="50"/>
      <c r="C296" s="5"/>
      <c r="D296" s="48"/>
      <c r="E296" s="50"/>
      <c r="F296" s="5"/>
      <c r="G296" s="5"/>
      <c r="H296" s="5"/>
      <c r="I296" s="5"/>
      <c r="J296" s="5"/>
      <c r="K296" s="50"/>
      <c r="L296" s="50"/>
      <c r="M296" s="50"/>
      <c r="N296" s="50"/>
      <c r="O296" s="50"/>
      <c r="P296" s="50"/>
      <c r="Q296" s="50"/>
      <c r="R296" s="50"/>
      <c r="S296" s="50"/>
      <c r="T296" s="50"/>
      <c r="U296" s="50"/>
      <c r="V296" s="50"/>
      <c r="W296" s="50"/>
      <c r="X296" s="50"/>
      <c r="Y296" s="50"/>
      <c r="Z296" s="50"/>
      <c r="AA296" s="50"/>
      <c r="AB296" s="50"/>
    </row>
    <row r="297" customFormat="false" ht="15.75" hidden="false" customHeight="false" outlineLevel="0" collapsed="false">
      <c r="A297" s="50"/>
      <c r="B297" s="50"/>
      <c r="C297" s="5"/>
      <c r="D297" s="48"/>
      <c r="E297" s="50"/>
      <c r="F297" s="5"/>
      <c r="G297" s="5"/>
      <c r="H297" s="5"/>
      <c r="I297" s="5"/>
      <c r="J297" s="5"/>
      <c r="K297" s="50"/>
      <c r="L297" s="50"/>
      <c r="M297" s="50"/>
      <c r="N297" s="50"/>
      <c r="O297" s="50"/>
      <c r="P297" s="50"/>
      <c r="Q297" s="50"/>
      <c r="R297" s="50"/>
      <c r="S297" s="50"/>
      <c r="T297" s="50"/>
      <c r="U297" s="50"/>
      <c r="V297" s="50"/>
      <c r="W297" s="50"/>
      <c r="X297" s="50"/>
      <c r="Y297" s="50"/>
      <c r="Z297" s="50"/>
      <c r="AA297" s="50"/>
      <c r="AB297" s="50"/>
    </row>
    <row r="298" customFormat="false" ht="15.75" hidden="false" customHeight="false" outlineLevel="0" collapsed="false">
      <c r="A298" s="50"/>
      <c r="B298" s="50"/>
      <c r="C298" s="5"/>
      <c r="D298" s="48"/>
      <c r="E298" s="50"/>
      <c r="F298" s="5"/>
      <c r="G298" s="5"/>
      <c r="H298" s="5"/>
      <c r="I298" s="5"/>
      <c r="J298" s="5"/>
      <c r="K298" s="50"/>
      <c r="L298" s="50"/>
      <c r="M298" s="50"/>
      <c r="N298" s="50"/>
      <c r="O298" s="50"/>
      <c r="P298" s="50"/>
      <c r="Q298" s="50"/>
      <c r="R298" s="50"/>
      <c r="S298" s="50"/>
      <c r="T298" s="50"/>
      <c r="U298" s="50"/>
      <c r="V298" s="50"/>
      <c r="W298" s="50"/>
      <c r="X298" s="50"/>
      <c r="Y298" s="50"/>
      <c r="Z298" s="50"/>
      <c r="AA298" s="50"/>
      <c r="AB298" s="50"/>
    </row>
    <row r="299" customFormat="false" ht="15.75" hidden="false" customHeight="false" outlineLevel="0" collapsed="false">
      <c r="A299" s="50"/>
      <c r="B299" s="50"/>
      <c r="C299" s="5"/>
      <c r="D299" s="48"/>
      <c r="E299" s="50"/>
      <c r="F299" s="5"/>
      <c r="G299" s="5"/>
      <c r="H299" s="5"/>
      <c r="I299" s="5"/>
      <c r="J299" s="5"/>
      <c r="K299" s="50"/>
      <c r="L299" s="50"/>
      <c r="M299" s="50"/>
      <c r="N299" s="50"/>
      <c r="O299" s="50"/>
      <c r="P299" s="50"/>
      <c r="Q299" s="50"/>
      <c r="R299" s="50"/>
      <c r="S299" s="50"/>
      <c r="T299" s="50"/>
      <c r="U299" s="50"/>
      <c r="V299" s="50"/>
      <c r="W299" s="50"/>
      <c r="X299" s="50"/>
      <c r="Y299" s="50"/>
      <c r="Z299" s="50"/>
      <c r="AA299" s="50"/>
      <c r="AB299" s="50"/>
    </row>
    <row r="300" customFormat="false" ht="15.75" hidden="false" customHeight="false" outlineLevel="0" collapsed="false">
      <c r="A300" s="50"/>
      <c r="B300" s="50"/>
      <c r="C300" s="5"/>
      <c r="D300" s="48"/>
      <c r="E300" s="50"/>
      <c r="F300" s="5"/>
      <c r="G300" s="5"/>
      <c r="H300" s="5"/>
      <c r="I300" s="5"/>
      <c r="J300" s="5"/>
      <c r="K300" s="50"/>
      <c r="L300" s="50"/>
      <c r="M300" s="50"/>
      <c r="N300" s="50"/>
      <c r="O300" s="50"/>
      <c r="P300" s="50"/>
      <c r="Q300" s="50"/>
      <c r="R300" s="50"/>
      <c r="S300" s="50"/>
      <c r="T300" s="50"/>
      <c r="U300" s="50"/>
      <c r="V300" s="50"/>
      <c r="W300" s="50"/>
      <c r="X300" s="50"/>
      <c r="Y300" s="50"/>
      <c r="Z300" s="50"/>
      <c r="AA300" s="50"/>
      <c r="AB300" s="50"/>
    </row>
    <row r="301" customFormat="false" ht="15.75" hidden="false" customHeight="false" outlineLevel="0" collapsed="false">
      <c r="A301" s="50"/>
      <c r="B301" s="50"/>
      <c r="C301" s="5"/>
      <c r="D301" s="48"/>
      <c r="E301" s="50"/>
      <c r="F301" s="5"/>
      <c r="G301" s="5"/>
      <c r="H301" s="5"/>
      <c r="I301" s="5"/>
      <c r="J301" s="5"/>
      <c r="K301" s="50"/>
      <c r="L301" s="50"/>
      <c r="M301" s="50"/>
      <c r="N301" s="50"/>
      <c r="O301" s="50"/>
      <c r="P301" s="50"/>
      <c r="Q301" s="50"/>
      <c r="R301" s="50"/>
      <c r="S301" s="50"/>
      <c r="T301" s="50"/>
      <c r="U301" s="50"/>
      <c r="V301" s="50"/>
      <c r="W301" s="50"/>
      <c r="X301" s="50"/>
      <c r="Y301" s="50"/>
      <c r="Z301" s="50"/>
      <c r="AA301" s="50"/>
      <c r="AB301" s="50"/>
    </row>
    <row r="302" customFormat="false" ht="15.75" hidden="false" customHeight="false" outlineLevel="0" collapsed="false">
      <c r="A302" s="50"/>
      <c r="B302" s="50"/>
      <c r="C302" s="5"/>
      <c r="D302" s="48"/>
      <c r="E302" s="50"/>
      <c r="F302" s="5"/>
      <c r="G302" s="5"/>
      <c r="H302" s="5"/>
      <c r="I302" s="5"/>
      <c r="J302" s="5"/>
      <c r="K302" s="50"/>
      <c r="L302" s="50"/>
      <c r="M302" s="50"/>
      <c r="N302" s="50"/>
      <c r="O302" s="50"/>
      <c r="P302" s="50"/>
      <c r="Q302" s="50"/>
      <c r="R302" s="50"/>
      <c r="S302" s="50"/>
      <c r="T302" s="50"/>
      <c r="U302" s="50"/>
      <c r="V302" s="50"/>
      <c r="W302" s="50"/>
      <c r="X302" s="50"/>
      <c r="Y302" s="50"/>
      <c r="Z302" s="50"/>
      <c r="AA302" s="50"/>
      <c r="AB302" s="50"/>
    </row>
    <row r="303" customFormat="false" ht="15.75" hidden="false" customHeight="false" outlineLevel="0" collapsed="false">
      <c r="A303" s="50"/>
      <c r="B303" s="50"/>
      <c r="C303" s="5"/>
      <c r="D303" s="48"/>
      <c r="E303" s="50"/>
      <c r="F303" s="5"/>
      <c r="G303" s="5"/>
      <c r="H303" s="5"/>
      <c r="I303" s="5"/>
      <c r="J303" s="5"/>
      <c r="K303" s="50"/>
      <c r="L303" s="50"/>
      <c r="M303" s="50"/>
      <c r="N303" s="50"/>
      <c r="O303" s="50"/>
      <c r="P303" s="50"/>
      <c r="Q303" s="50"/>
      <c r="R303" s="50"/>
      <c r="S303" s="50"/>
      <c r="T303" s="50"/>
      <c r="U303" s="50"/>
      <c r="V303" s="50"/>
      <c r="W303" s="50"/>
      <c r="X303" s="50"/>
      <c r="Y303" s="50"/>
      <c r="Z303" s="50"/>
      <c r="AA303" s="50"/>
      <c r="AB303" s="50"/>
    </row>
    <row r="304" customFormat="false" ht="15.75" hidden="false" customHeight="false" outlineLevel="0" collapsed="false">
      <c r="A304" s="50"/>
      <c r="B304" s="50"/>
      <c r="C304" s="5"/>
      <c r="D304" s="48"/>
      <c r="E304" s="50"/>
      <c r="F304" s="5"/>
      <c r="G304" s="5"/>
      <c r="H304" s="5"/>
      <c r="I304" s="5"/>
      <c r="J304" s="5"/>
      <c r="K304" s="50"/>
      <c r="L304" s="50"/>
      <c r="M304" s="50"/>
      <c r="N304" s="50"/>
      <c r="O304" s="50"/>
      <c r="P304" s="50"/>
      <c r="Q304" s="50"/>
      <c r="R304" s="50"/>
      <c r="S304" s="50"/>
      <c r="T304" s="50"/>
      <c r="U304" s="50"/>
      <c r="V304" s="50"/>
      <c r="W304" s="50"/>
      <c r="X304" s="50"/>
      <c r="Y304" s="50"/>
      <c r="Z304" s="50"/>
      <c r="AA304" s="50"/>
      <c r="AB304" s="50"/>
    </row>
    <row r="305" customFormat="false" ht="15.75" hidden="false" customHeight="false" outlineLevel="0" collapsed="false">
      <c r="A305" s="50"/>
      <c r="B305" s="50"/>
      <c r="C305" s="5"/>
      <c r="D305" s="48"/>
      <c r="E305" s="50"/>
      <c r="F305" s="5"/>
      <c r="G305" s="5"/>
      <c r="H305" s="5"/>
      <c r="I305" s="5"/>
      <c r="J305" s="5"/>
      <c r="K305" s="50"/>
      <c r="L305" s="50"/>
      <c r="M305" s="50"/>
      <c r="N305" s="50"/>
      <c r="O305" s="50"/>
      <c r="P305" s="50"/>
      <c r="Q305" s="50"/>
      <c r="R305" s="50"/>
      <c r="S305" s="50"/>
      <c r="T305" s="50"/>
      <c r="U305" s="50"/>
      <c r="V305" s="50"/>
      <c r="W305" s="50"/>
      <c r="X305" s="50"/>
      <c r="Y305" s="50"/>
      <c r="Z305" s="50"/>
      <c r="AA305" s="50"/>
      <c r="AB305" s="50"/>
    </row>
    <row r="306" customFormat="false" ht="15.75" hidden="false" customHeight="false" outlineLevel="0" collapsed="false">
      <c r="A306" s="50"/>
      <c r="B306" s="50"/>
      <c r="C306" s="5"/>
      <c r="D306" s="48"/>
      <c r="E306" s="50"/>
      <c r="F306" s="5"/>
      <c r="G306" s="5"/>
      <c r="H306" s="5"/>
      <c r="I306" s="5"/>
      <c r="J306" s="5"/>
      <c r="K306" s="50"/>
      <c r="L306" s="50"/>
      <c r="M306" s="50"/>
      <c r="N306" s="50"/>
      <c r="O306" s="50"/>
      <c r="P306" s="50"/>
      <c r="Q306" s="50"/>
      <c r="R306" s="50"/>
      <c r="S306" s="50"/>
      <c r="T306" s="50"/>
      <c r="U306" s="50"/>
      <c r="V306" s="50"/>
      <c r="W306" s="50"/>
      <c r="X306" s="50"/>
      <c r="Y306" s="50"/>
      <c r="Z306" s="50"/>
      <c r="AA306" s="50"/>
      <c r="AB306" s="50"/>
    </row>
    <row r="307" customFormat="false" ht="15.75" hidden="false" customHeight="false" outlineLevel="0" collapsed="false">
      <c r="A307" s="50"/>
      <c r="B307" s="50"/>
      <c r="C307" s="5"/>
      <c r="D307" s="48"/>
      <c r="E307" s="50"/>
      <c r="F307" s="5"/>
      <c r="G307" s="5"/>
      <c r="H307" s="5"/>
      <c r="I307" s="5"/>
      <c r="J307" s="5"/>
      <c r="K307" s="50"/>
      <c r="L307" s="50"/>
      <c r="M307" s="50"/>
      <c r="N307" s="50"/>
      <c r="O307" s="50"/>
      <c r="P307" s="50"/>
      <c r="Q307" s="50"/>
      <c r="R307" s="50"/>
      <c r="S307" s="50"/>
      <c r="T307" s="50"/>
      <c r="U307" s="50"/>
      <c r="V307" s="50"/>
      <c r="W307" s="50"/>
      <c r="X307" s="50"/>
      <c r="Y307" s="50"/>
      <c r="Z307" s="50"/>
      <c r="AA307" s="50"/>
      <c r="AB307" s="50"/>
    </row>
    <row r="308" customFormat="false" ht="15.75" hidden="false" customHeight="false" outlineLevel="0" collapsed="false">
      <c r="A308" s="50"/>
      <c r="B308" s="50"/>
      <c r="C308" s="5"/>
      <c r="D308" s="48"/>
      <c r="E308" s="50"/>
      <c r="F308" s="5"/>
      <c r="G308" s="5"/>
      <c r="H308" s="5"/>
      <c r="I308" s="5"/>
      <c r="J308" s="5"/>
      <c r="K308" s="50"/>
      <c r="L308" s="50"/>
      <c r="M308" s="50"/>
      <c r="N308" s="50"/>
      <c r="O308" s="50"/>
      <c r="P308" s="50"/>
      <c r="Q308" s="50"/>
      <c r="R308" s="50"/>
      <c r="S308" s="50"/>
      <c r="T308" s="50"/>
      <c r="U308" s="50"/>
      <c r="V308" s="50"/>
      <c r="W308" s="50"/>
      <c r="X308" s="50"/>
      <c r="Y308" s="50"/>
      <c r="Z308" s="50"/>
      <c r="AA308" s="50"/>
      <c r="AB308" s="50"/>
    </row>
    <row r="309" customFormat="false" ht="15.75" hidden="false" customHeight="false" outlineLevel="0" collapsed="false">
      <c r="A309" s="50"/>
      <c r="B309" s="50"/>
      <c r="C309" s="5"/>
      <c r="D309" s="48"/>
      <c r="E309" s="50"/>
      <c r="F309" s="5"/>
      <c r="G309" s="5"/>
      <c r="H309" s="5"/>
      <c r="I309" s="5"/>
      <c r="J309" s="5"/>
      <c r="K309" s="50"/>
      <c r="L309" s="50"/>
      <c r="M309" s="50"/>
      <c r="N309" s="50"/>
      <c r="O309" s="50"/>
      <c r="P309" s="50"/>
      <c r="Q309" s="50"/>
      <c r="R309" s="50"/>
      <c r="S309" s="50"/>
      <c r="T309" s="50"/>
      <c r="U309" s="50"/>
      <c r="V309" s="50"/>
      <c r="W309" s="50"/>
      <c r="X309" s="50"/>
      <c r="Y309" s="50"/>
      <c r="Z309" s="50"/>
      <c r="AA309" s="50"/>
      <c r="AB309" s="50"/>
    </row>
    <row r="310" customFormat="false" ht="15.75" hidden="false" customHeight="false" outlineLevel="0" collapsed="false">
      <c r="A310" s="50"/>
      <c r="B310" s="50"/>
      <c r="C310" s="5"/>
      <c r="D310" s="48"/>
      <c r="E310" s="50"/>
      <c r="F310" s="5"/>
      <c r="G310" s="5"/>
      <c r="H310" s="5"/>
      <c r="I310" s="5"/>
      <c r="J310" s="5"/>
      <c r="K310" s="50"/>
      <c r="L310" s="50"/>
      <c r="M310" s="50"/>
      <c r="N310" s="50"/>
      <c r="O310" s="50"/>
      <c r="P310" s="50"/>
      <c r="Q310" s="50"/>
      <c r="R310" s="50"/>
      <c r="S310" s="50"/>
      <c r="T310" s="50"/>
      <c r="U310" s="50"/>
      <c r="V310" s="50"/>
      <c r="W310" s="50"/>
      <c r="X310" s="50"/>
      <c r="Y310" s="50"/>
      <c r="Z310" s="50"/>
      <c r="AA310" s="50"/>
      <c r="AB310" s="50"/>
    </row>
    <row r="311" customFormat="false" ht="15.75" hidden="false" customHeight="false" outlineLevel="0" collapsed="false">
      <c r="A311" s="50"/>
      <c r="B311" s="50"/>
      <c r="C311" s="5"/>
      <c r="D311" s="48"/>
      <c r="E311" s="50"/>
      <c r="F311" s="5"/>
      <c r="G311" s="5"/>
      <c r="H311" s="5"/>
      <c r="I311" s="5"/>
      <c r="J311" s="5"/>
      <c r="K311" s="50"/>
      <c r="L311" s="50"/>
      <c r="M311" s="50"/>
      <c r="N311" s="50"/>
      <c r="O311" s="50"/>
      <c r="P311" s="50"/>
      <c r="Q311" s="50"/>
      <c r="R311" s="50"/>
      <c r="S311" s="50"/>
      <c r="T311" s="50"/>
      <c r="U311" s="50"/>
      <c r="V311" s="50"/>
      <c r="W311" s="50"/>
      <c r="X311" s="50"/>
      <c r="Y311" s="50"/>
      <c r="Z311" s="50"/>
      <c r="AA311" s="50"/>
      <c r="AB311" s="50"/>
    </row>
    <row r="312" customFormat="false" ht="15.75" hidden="false" customHeight="false" outlineLevel="0" collapsed="false">
      <c r="A312" s="50"/>
      <c r="B312" s="50"/>
      <c r="C312" s="5"/>
      <c r="D312" s="48"/>
      <c r="E312" s="50"/>
      <c r="F312" s="5"/>
      <c r="G312" s="5"/>
      <c r="H312" s="5"/>
      <c r="I312" s="5"/>
      <c r="J312" s="5"/>
      <c r="K312" s="50"/>
      <c r="L312" s="50"/>
      <c r="M312" s="50"/>
      <c r="N312" s="50"/>
      <c r="O312" s="50"/>
      <c r="P312" s="50"/>
      <c r="Q312" s="50"/>
      <c r="R312" s="50"/>
      <c r="S312" s="50"/>
      <c r="T312" s="50"/>
      <c r="U312" s="50"/>
      <c r="V312" s="50"/>
      <c r="W312" s="50"/>
      <c r="X312" s="50"/>
      <c r="Y312" s="50"/>
      <c r="Z312" s="50"/>
      <c r="AA312" s="50"/>
      <c r="AB312" s="50"/>
    </row>
    <row r="313" customFormat="false" ht="15.75" hidden="false" customHeight="false" outlineLevel="0" collapsed="false">
      <c r="A313" s="50"/>
      <c r="B313" s="50"/>
      <c r="C313" s="5"/>
      <c r="D313" s="48"/>
      <c r="E313" s="50"/>
      <c r="F313" s="5"/>
      <c r="G313" s="5"/>
      <c r="H313" s="5"/>
      <c r="I313" s="5"/>
      <c r="J313" s="5"/>
      <c r="K313" s="50"/>
      <c r="L313" s="50"/>
      <c r="M313" s="50"/>
      <c r="N313" s="50"/>
      <c r="O313" s="50"/>
      <c r="P313" s="50"/>
      <c r="Q313" s="50"/>
      <c r="R313" s="50"/>
      <c r="S313" s="50"/>
      <c r="T313" s="50"/>
      <c r="U313" s="50"/>
      <c r="V313" s="50"/>
      <c r="W313" s="50"/>
      <c r="X313" s="50"/>
      <c r="Y313" s="50"/>
      <c r="Z313" s="50"/>
      <c r="AA313" s="50"/>
      <c r="AB313" s="50"/>
    </row>
    <row r="314" customFormat="false" ht="15.75" hidden="false" customHeight="false" outlineLevel="0" collapsed="false">
      <c r="A314" s="50"/>
      <c r="B314" s="50"/>
      <c r="C314" s="5"/>
      <c r="D314" s="48"/>
      <c r="E314" s="50"/>
      <c r="F314" s="5"/>
      <c r="G314" s="5"/>
      <c r="H314" s="5"/>
      <c r="I314" s="5"/>
      <c r="J314" s="5"/>
      <c r="K314" s="50"/>
      <c r="L314" s="50"/>
      <c r="M314" s="50"/>
      <c r="N314" s="50"/>
      <c r="O314" s="50"/>
      <c r="P314" s="50"/>
      <c r="Q314" s="50"/>
      <c r="R314" s="50"/>
      <c r="S314" s="50"/>
      <c r="T314" s="50"/>
      <c r="U314" s="50"/>
      <c r="V314" s="50"/>
      <c r="W314" s="50"/>
      <c r="X314" s="50"/>
      <c r="Y314" s="50"/>
      <c r="Z314" s="50"/>
      <c r="AA314" s="50"/>
      <c r="AB314" s="50"/>
    </row>
    <row r="315" customFormat="false" ht="15.75" hidden="false" customHeight="false" outlineLevel="0" collapsed="false">
      <c r="A315" s="50"/>
      <c r="B315" s="50"/>
      <c r="C315" s="5"/>
      <c r="D315" s="48"/>
      <c r="E315" s="50"/>
      <c r="F315" s="5"/>
      <c r="G315" s="5"/>
      <c r="H315" s="5"/>
      <c r="I315" s="5"/>
      <c r="J315" s="5"/>
      <c r="K315" s="50"/>
      <c r="L315" s="50"/>
      <c r="M315" s="50"/>
      <c r="N315" s="50"/>
      <c r="O315" s="50"/>
      <c r="P315" s="50"/>
      <c r="Q315" s="50"/>
      <c r="R315" s="50"/>
      <c r="S315" s="50"/>
      <c r="T315" s="50"/>
      <c r="U315" s="50"/>
      <c r="V315" s="50"/>
      <c r="W315" s="50"/>
      <c r="X315" s="50"/>
      <c r="Y315" s="50"/>
      <c r="Z315" s="50"/>
      <c r="AA315" s="50"/>
      <c r="AB315" s="50"/>
    </row>
    <row r="316" customFormat="false" ht="15.75" hidden="false" customHeight="false" outlineLevel="0" collapsed="false">
      <c r="A316" s="50"/>
      <c r="B316" s="50"/>
      <c r="C316" s="5"/>
      <c r="D316" s="48"/>
      <c r="E316" s="50"/>
      <c r="F316" s="5"/>
      <c r="G316" s="5"/>
      <c r="H316" s="5"/>
      <c r="I316" s="5"/>
      <c r="J316" s="5"/>
      <c r="K316" s="50"/>
      <c r="L316" s="50"/>
      <c r="M316" s="50"/>
      <c r="N316" s="50"/>
      <c r="O316" s="50"/>
      <c r="P316" s="50"/>
      <c r="Q316" s="50"/>
      <c r="R316" s="50"/>
      <c r="S316" s="50"/>
      <c r="T316" s="50"/>
      <c r="U316" s="50"/>
      <c r="V316" s="50"/>
      <c r="W316" s="50"/>
      <c r="X316" s="50"/>
      <c r="Y316" s="50"/>
      <c r="Z316" s="50"/>
      <c r="AA316" s="50"/>
      <c r="AB316" s="50"/>
    </row>
    <row r="317" customFormat="false" ht="15.75" hidden="false" customHeight="false" outlineLevel="0" collapsed="false">
      <c r="A317" s="50"/>
      <c r="B317" s="50"/>
      <c r="C317" s="5"/>
      <c r="D317" s="48"/>
      <c r="E317" s="50"/>
      <c r="F317" s="5"/>
      <c r="G317" s="5"/>
      <c r="H317" s="5"/>
      <c r="I317" s="5"/>
      <c r="J317" s="5"/>
      <c r="K317" s="50"/>
      <c r="L317" s="50"/>
      <c r="M317" s="50"/>
      <c r="N317" s="50"/>
      <c r="O317" s="50"/>
      <c r="P317" s="50"/>
      <c r="Q317" s="50"/>
      <c r="R317" s="50"/>
      <c r="S317" s="50"/>
      <c r="T317" s="50"/>
      <c r="U317" s="50"/>
      <c r="V317" s="50"/>
      <c r="W317" s="50"/>
      <c r="X317" s="50"/>
      <c r="Y317" s="50"/>
      <c r="Z317" s="50"/>
      <c r="AA317" s="50"/>
      <c r="AB317" s="50"/>
    </row>
    <row r="318" customFormat="false" ht="15.75" hidden="false" customHeight="false" outlineLevel="0" collapsed="false">
      <c r="A318" s="50"/>
      <c r="B318" s="50"/>
      <c r="C318" s="5"/>
      <c r="D318" s="48"/>
      <c r="E318" s="50"/>
      <c r="F318" s="5"/>
      <c r="G318" s="5"/>
      <c r="H318" s="5"/>
      <c r="I318" s="5"/>
      <c r="J318" s="5"/>
      <c r="K318" s="50"/>
      <c r="L318" s="50"/>
      <c r="M318" s="50"/>
      <c r="N318" s="50"/>
      <c r="O318" s="50"/>
      <c r="P318" s="50"/>
      <c r="Q318" s="50"/>
      <c r="R318" s="50"/>
      <c r="S318" s="50"/>
      <c r="T318" s="50"/>
      <c r="U318" s="50"/>
      <c r="V318" s="50"/>
      <c r="W318" s="50"/>
      <c r="X318" s="50"/>
      <c r="Y318" s="50"/>
      <c r="Z318" s="50"/>
      <c r="AA318" s="50"/>
      <c r="AB318" s="50"/>
    </row>
    <row r="319" customFormat="false" ht="15.75" hidden="false" customHeight="false" outlineLevel="0" collapsed="false">
      <c r="A319" s="50"/>
      <c r="B319" s="50"/>
      <c r="C319" s="5"/>
      <c r="D319" s="48"/>
      <c r="E319" s="50"/>
      <c r="F319" s="5"/>
      <c r="G319" s="5"/>
      <c r="H319" s="5"/>
      <c r="I319" s="5"/>
      <c r="J319" s="5"/>
      <c r="K319" s="50"/>
      <c r="L319" s="50"/>
      <c r="M319" s="50"/>
      <c r="N319" s="50"/>
      <c r="O319" s="50"/>
      <c r="P319" s="50"/>
      <c r="Q319" s="50"/>
      <c r="R319" s="50"/>
      <c r="S319" s="50"/>
      <c r="T319" s="50"/>
      <c r="U319" s="50"/>
      <c r="V319" s="50"/>
      <c r="W319" s="50"/>
      <c r="X319" s="50"/>
      <c r="Y319" s="50"/>
      <c r="Z319" s="50"/>
      <c r="AA319" s="50"/>
      <c r="AB319" s="50"/>
    </row>
    <row r="320" customFormat="false" ht="15.75" hidden="false" customHeight="false" outlineLevel="0" collapsed="false">
      <c r="A320" s="50"/>
      <c r="B320" s="50"/>
      <c r="C320" s="5"/>
      <c r="D320" s="48"/>
      <c r="E320" s="50"/>
      <c r="F320" s="5"/>
      <c r="G320" s="5"/>
      <c r="H320" s="5"/>
      <c r="I320" s="5"/>
      <c r="J320" s="5"/>
      <c r="K320" s="50"/>
      <c r="L320" s="50"/>
      <c r="M320" s="50"/>
      <c r="N320" s="50"/>
      <c r="O320" s="50"/>
      <c r="P320" s="50"/>
      <c r="Q320" s="50"/>
      <c r="R320" s="50"/>
      <c r="S320" s="50"/>
      <c r="T320" s="50"/>
      <c r="U320" s="50"/>
      <c r="V320" s="50"/>
      <c r="W320" s="50"/>
      <c r="X320" s="50"/>
      <c r="Y320" s="50"/>
      <c r="Z320" s="50"/>
      <c r="AA320" s="50"/>
      <c r="AB320" s="50"/>
    </row>
    <row r="321" customFormat="false" ht="15.75" hidden="false" customHeight="false" outlineLevel="0" collapsed="false">
      <c r="A321" s="50"/>
      <c r="B321" s="50"/>
      <c r="C321" s="5"/>
      <c r="D321" s="48"/>
      <c r="E321" s="50"/>
      <c r="F321" s="5"/>
      <c r="G321" s="5"/>
      <c r="H321" s="5"/>
      <c r="I321" s="5"/>
      <c r="J321" s="5"/>
      <c r="K321" s="50"/>
      <c r="L321" s="50"/>
      <c r="M321" s="50"/>
      <c r="N321" s="50"/>
      <c r="O321" s="50"/>
      <c r="P321" s="50"/>
      <c r="Q321" s="50"/>
      <c r="R321" s="50"/>
      <c r="S321" s="50"/>
      <c r="T321" s="50"/>
      <c r="U321" s="50"/>
      <c r="V321" s="50"/>
      <c r="W321" s="50"/>
      <c r="X321" s="50"/>
      <c r="Y321" s="50"/>
      <c r="Z321" s="50"/>
      <c r="AA321" s="50"/>
      <c r="AB321" s="50"/>
    </row>
    <row r="322" customFormat="false" ht="15.75" hidden="false" customHeight="false" outlineLevel="0" collapsed="false">
      <c r="A322" s="50"/>
      <c r="B322" s="50"/>
      <c r="C322" s="5"/>
      <c r="D322" s="48"/>
      <c r="E322" s="50"/>
      <c r="F322" s="5"/>
      <c r="G322" s="5"/>
      <c r="H322" s="5"/>
      <c r="I322" s="5"/>
      <c r="J322" s="5"/>
      <c r="K322" s="50"/>
      <c r="L322" s="50"/>
      <c r="M322" s="50"/>
      <c r="N322" s="50"/>
      <c r="O322" s="50"/>
      <c r="P322" s="50"/>
      <c r="Q322" s="50"/>
      <c r="R322" s="50"/>
      <c r="S322" s="50"/>
      <c r="T322" s="50"/>
      <c r="U322" s="50"/>
      <c r="V322" s="50"/>
      <c r="W322" s="50"/>
      <c r="X322" s="50"/>
      <c r="Y322" s="50"/>
      <c r="Z322" s="50"/>
      <c r="AA322" s="50"/>
      <c r="AB322" s="50"/>
    </row>
    <row r="323" customFormat="false" ht="15.75" hidden="false" customHeight="false" outlineLevel="0" collapsed="false">
      <c r="A323" s="50"/>
      <c r="B323" s="50"/>
      <c r="C323" s="5"/>
      <c r="D323" s="48"/>
      <c r="E323" s="50"/>
      <c r="F323" s="5"/>
      <c r="G323" s="5"/>
      <c r="H323" s="5"/>
      <c r="I323" s="5"/>
      <c r="J323" s="5"/>
      <c r="K323" s="50"/>
      <c r="L323" s="50"/>
      <c r="M323" s="50"/>
      <c r="N323" s="50"/>
      <c r="O323" s="50"/>
      <c r="P323" s="50"/>
      <c r="Q323" s="50"/>
      <c r="R323" s="50"/>
      <c r="S323" s="50"/>
      <c r="T323" s="50"/>
      <c r="U323" s="50"/>
      <c r="V323" s="50"/>
      <c r="W323" s="50"/>
      <c r="X323" s="50"/>
      <c r="Y323" s="50"/>
      <c r="Z323" s="50"/>
      <c r="AA323" s="50"/>
      <c r="AB323" s="50"/>
    </row>
    <row r="324" customFormat="false" ht="15.75" hidden="false" customHeight="false" outlineLevel="0" collapsed="false">
      <c r="A324" s="50"/>
      <c r="B324" s="50"/>
      <c r="C324" s="5"/>
      <c r="D324" s="48"/>
      <c r="E324" s="50"/>
      <c r="F324" s="5"/>
      <c r="G324" s="5"/>
      <c r="H324" s="5"/>
      <c r="I324" s="5"/>
      <c r="J324" s="5"/>
      <c r="K324" s="50"/>
      <c r="L324" s="50"/>
      <c r="M324" s="50"/>
      <c r="N324" s="50"/>
      <c r="O324" s="50"/>
      <c r="P324" s="50"/>
      <c r="Q324" s="50"/>
      <c r="R324" s="50"/>
      <c r="S324" s="50"/>
      <c r="T324" s="50"/>
      <c r="U324" s="50"/>
      <c r="V324" s="50"/>
      <c r="W324" s="50"/>
      <c r="X324" s="50"/>
      <c r="Y324" s="50"/>
      <c r="Z324" s="50"/>
      <c r="AA324" s="50"/>
      <c r="AB324" s="50"/>
    </row>
    <row r="325" customFormat="false" ht="15.75" hidden="false" customHeight="false" outlineLevel="0" collapsed="false">
      <c r="A325" s="50"/>
      <c r="B325" s="50"/>
      <c r="C325" s="5"/>
      <c r="D325" s="48"/>
      <c r="E325" s="50"/>
      <c r="F325" s="5"/>
      <c r="G325" s="5"/>
      <c r="H325" s="5"/>
      <c r="I325" s="5"/>
      <c r="J325" s="5"/>
      <c r="K325" s="50"/>
      <c r="L325" s="50"/>
      <c r="M325" s="50"/>
      <c r="N325" s="50"/>
      <c r="O325" s="50"/>
      <c r="P325" s="50"/>
      <c r="Q325" s="50"/>
      <c r="R325" s="50"/>
      <c r="S325" s="50"/>
      <c r="T325" s="50"/>
      <c r="U325" s="50"/>
      <c r="V325" s="50"/>
      <c r="W325" s="50"/>
      <c r="X325" s="50"/>
      <c r="Y325" s="50"/>
      <c r="Z325" s="50"/>
      <c r="AA325" s="50"/>
      <c r="AB325" s="50"/>
    </row>
    <row r="326" customFormat="false" ht="15.75" hidden="false" customHeight="false" outlineLevel="0" collapsed="false">
      <c r="A326" s="50"/>
      <c r="B326" s="50"/>
      <c r="C326" s="5"/>
      <c r="D326" s="48"/>
      <c r="E326" s="50"/>
      <c r="F326" s="5"/>
      <c r="G326" s="5"/>
      <c r="H326" s="5"/>
      <c r="I326" s="5"/>
      <c r="J326" s="5"/>
      <c r="K326" s="50"/>
      <c r="L326" s="50"/>
      <c r="M326" s="50"/>
      <c r="N326" s="50"/>
      <c r="O326" s="50"/>
      <c r="P326" s="50"/>
      <c r="Q326" s="50"/>
      <c r="R326" s="50"/>
      <c r="S326" s="50"/>
      <c r="T326" s="50"/>
      <c r="U326" s="50"/>
      <c r="V326" s="50"/>
      <c r="W326" s="50"/>
      <c r="X326" s="50"/>
      <c r="Y326" s="50"/>
      <c r="Z326" s="50"/>
      <c r="AA326" s="50"/>
      <c r="AB326" s="50"/>
    </row>
    <row r="327" customFormat="false" ht="15.75" hidden="false" customHeight="false" outlineLevel="0" collapsed="false">
      <c r="A327" s="50"/>
      <c r="B327" s="50"/>
      <c r="C327" s="5"/>
      <c r="D327" s="48"/>
      <c r="E327" s="50"/>
      <c r="F327" s="5"/>
      <c r="G327" s="5"/>
      <c r="H327" s="5"/>
      <c r="I327" s="5"/>
      <c r="J327" s="5"/>
      <c r="K327" s="50"/>
      <c r="L327" s="50"/>
      <c r="M327" s="50"/>
      <c r="N327" s="50"/>
      <c r="O327" s="50"/>
      <c r="P327" s="50"/>
      <c r="Q327" s="50"/>
      <c r="R327" s="50"/>
      <c r="S327" s="50"/>
      <c r="T327" s="50"/>
      <c r="U327" s="50"/>
      <c r="V327" s="50"/>
      <c r="W327" s="50"/>
      <c r="X327" s="50"/>
      <c r="Y327" s="50"/>
      <c r="Z327" s="50"/>
      <c r="AA327" s="50"/>
      <c r="AB327" s="50"/>
    </row>
    <row r="328" customFormat="false" ht="15.75" hidden="false" customHeight="false" outlineLevel="0" collapsed="false">
      <c r="A328" s="50"/>
      <c r="B328" s="50"/>
      <c r="C328" s="5"/>
      <c r="D328" s="48"/>
      <c r="E328" s="50"/>
      <c r="F328" s="5"/>
      <c r="G328" s="5"/>
      <c r="H328" s="5"/>
      <c r="I328" s="5"/>
      <c r="J328" s="5"/>
      <c r="K328" s="50"/>
      <c r="L328" s="50"/>
      <c r="M328" s="50"/>
      <c r="N328" s="50"/>
      <c r="O328" s="50"/>
      <c r="P328" s="50"/>
      <c r="Q328" s="50"/>
      <c r="R328" s="50"/>
      <c r="S328" s="50"/>
      <c r="T328" s="50"/>
      <c r="U328" s="50"/>
      <c r="V328" s="50"/>
      <c r="W328" s="50"/>
      <c r="X328" s="50"/>
      <c r="Y328" s="50"/>
      <c r="Z328" s="50"/>
      <c r="AA328" s="50"/>
      <c r="AB328" s="50"/>
    </row>
    <row r="329" customFormat="false" ht="15.75" hidden="false" customHeight="false" outlineLevel="0" collapsed="false">
      <c r="A329" s="50"/>
      <c r="B329" s="50"/>
      <c r="C329" s="5"/>
      <c r="D329" s="48"/>
      <c r="E329" s="50"/>
      <c r="F329" s="5"/>
      <c r="G329" s="5"/>
      <c r="H329" s="5"/>
      <c r="I329" s="5"/>
      <c r="J329" s="5"/>
      <c r="K329" s="50"/>
      <c r="L329" s="50"/>
      <c r="M329" s="50"/>
      <c r="N329" s="50"/>
      <c r="O329" s="50"/>
      <c r="P329" s="50"/>
      <c r="Q329" s="50"/>
      <c r="R329" s="50"/>
      <c r="S329" s="50"/>
      <c r="T329" s="50"/>
      <c r="U329" s="50"/>
      <c r="V329" s="50"/>
      <c r="W329" s="50"/>
      <c r="X329" s="50"/>
      <c r="Y329" s="50"/>
      <c r="Z329" s="50"/>
      <c r="AA329" s="50"/>
      <c r="AB329" s="50"/>
    </row>
    <row r="330" customFormat="false" ht="15.75" hidden="false" customHeight="false" outlineLevel="0" collapsed="false">
      <c r="A330" s="50"/>
      <c r="B330" s="50"/>
      <c r="C330" s="5"/>
      <c r="D330" s="48"/>
      <c r="E330" s="50"/>
      <c r="F330" s="5"/>
      <c r="G330" s="5"/>
      <c r="H330" s="5"/>
      <c r="I330" s="5"/>
      <c r="J330" s="5"/>
      <c r="K330" s="50"/>
      <c r="L330" s="50"/>
      <c r="M330" s="50"/>
      <c r="N330" s="50"/>
      <c r="O330" s="50"/>
      <c r="P330" s="50"/>
      <c r="Q330" s="50"/>
      <c r="R330" s="50"/>
      <c r="S330" s="50"/>
      <c r="T330" s="50"/>
      <c r="U330" s="50"/>
      <c r="V330" s="50"/>
      <c r="W330" s="50"/>
      <c r="X330" s="50"/>
      <c r="Y330" s="50"/>
      <c r="Z330" s="50"/>
      <c r="AA330" s="50"/>
      <c r="AB330" s="50"/>
    </row>
    <row r="331" customFormat="false" ht="15.75" hidden="false" customHeight="false" outlineLevel="0" collapsed="false">
      <c r="A331" s="50"/>
      <c r="B331" s="50"/>
      <c r="C331" s="5"/>
      <c r="D331" s="48"/>
      <c r="E331" s="50"/>
      <c r="F331" s="5"/>
      <c r="G331" s="5"/>
      <c r="H331" s="5"/>
      <c r="I331" s="5"/>
      <c r="J331" s="5"/>
      <c r="K331" s="50"/>
      <c r="L331" s="50"/>
      <c r="M331" s="50"/>
      <c r="N331" s="50"/>
      <c r="O331" s="50"/>
      <c r="P331" s="50"/>
      <c r="Q331" s="50"/>
      <c r="R331" s="50"/>
      <c r="S331" s="50"/>
      <c r="T331" s="50"/>
      <c r="U331" s="50"/>
      <c r="V331" s="50"/>
      <c r="W331" s="50"/>
      <c r="X331" s="50"/>
      <c r="Y331" s="50"/>
      <c r="Z331" s="50"/>
      <c r="AA331" s="50"/>
      <c r="AB331" s="50"/>
    </row>
    <row r="332" customFormat="false" ht="15.75" hidden="false" customHeight="false" outlineLevel="0" collapsed="false">
      <c r="A332" s="50"/>
      <c r="B332" s="50"/>
      <c r="C332" s="5"/>
      <c r="D332" s="48"/>
      <c r="E332" s="50"/>
      <c r="F332" s="5"/>
      <c r="G332" s="5"/>
      <c r="H332" s="5"/>
      <c r="I332" s="5"/>
      <c r="J332" s="5"/>
      <c r="K332" s="50"/>
      <c r="L332" s="50"/>
      <c r="M332" s="50"/>
      <c r="N332" s="50"/>
      <c r="O332" s="50"/>
      <c r="P332" s="50"/>
      <c r="Q332" s="50"/>
      <c r="R332" s="50"/>
      <c r="S332" s="50"/>
      <c r="T332" s="50"/>
      <c r="U332" s="50"/>
      <c r="V332" s="50"/>
      <c r="W332" s="50"/>
      <c r="X332" s="50"/>
      <c r="Y332" s="50"/>
      <c r="Z332" s="50"/>
      <c r="AA332" s="50"/>
      <c r="AB332" s="50"/>
    </row>
    <row r="333" customFormat="false" ht="15.75" hidden="false" customHeight="false" outlineLevel="0" collapsed="false">
      <c r="A333" s="50"/>
      <c r="B333" s="50"/>
      <c r="C333" s="5"/>
      <c r="D333" s="48"/>
      <c r="E333" s="50"/>
      <c r="F333" s="5"/>
      <c r="G333" s="5"/>
      <c r="H333" s="5"/>
      <c r="I333" s="5"/>
      <c r="J333" s="5"/>
      <c r="K333" s="50"/>
      <c r="L333" s="50"/>
      <c r="M333" s="50"/>
      <c r="N333" s="50"/>
      <c r="O333" s="50"/>
      <c r="P333" s="50"/>
      <c r="Q333" s="50"/>
      <c r="R333" s="50"/>
      <c r="S333" s="50"/>
      <c r="T333" s="50"/>
      <c r="U333" s="50"/>
      <c r="V333" s="50"/>
      <c r="W333" s="50"/>
      <c r="X333" s="50"/>
      <c r="Y333" s="50"/>
      <c r="Z333" s="50"/>
      <c r="AA333" s="50"/>
      <c r="AB333" s="50"/>
    </row>
    <row r="334" customFormat="false" ht="15.75" hidden="false" customHeight="false" outlineLevel="0" collapsed="false">
      <c r="A334" s="50"/>
      <c r="B334" s="50"/>
      <c r="C334" s="5"/>
      <c r="D334" s="48"/>
      <c r="E334" s="50"/>
      <c r="F334" s="5"/>
      <c r="G334" s="5"/>
      <c r="H334" s="5"/>
      <c r="I334" s="5"/>
      <c r="J334" s="5"/>
      <c r="K334" s="50"/>
      <c r="L334" s="50"/>
      <c r="M334" s="50"/>
      <c r="N334" s="50"/>
      <c r="O334" s="50"/>
      <c r="P334" s="50"/>
      <c r="Q334" s="50"/>
      <c r="R334" s="50"/>
      <c r="S334" s="50"/>
      <c r="T334" s="50"/>
      <c r="U334" s="50"/>
      <c r="V334" s="50"/>
      <c r="W334" s="50"/>
      <c r="X334" s="50"/>
      <c r="Y334" s="50"/>
      <c r="Z334" s="50"/>
      <c r="AA334" s="50"/>
      <c r="AB334" s="50"/>
    </row>
    <row r="335" customFormat="false" ht="15.75" hidden="false" customHeight="false" outlineLevel="0" collapsed="false">
      <c r="A335" s="50"/>
      <c r="B335" s="50"/>
      <c r="C335" s="5"/>
      <c r="D335" s="48"/>
      <c r="E335" s="50"/>
      <c r="F335" s="5"/>
      <c r="G335" s="5"/>
      <c r="H335" s="5"/>
      <c r="I335" s="5"/>
      <c r="J335" s="5"/>
      <c r="K335" s="50"/>
      <c r="L335" s="50"/>
      <c r="M335" s="50"/>
      <c r="N335" s="50"/>
      <c r="O335" s="50"/>
      <c r="P335" s="50"/>
      <c r="Q335" s="50"/>
      <c r="R335" s="50"/>
      <c r="S335" s="50"/>
      <c r="T335" s="50"/>
      <c r="U335" s="50"/>
      <c r="V335" s="50"/>
      <c r="W335" s="50"/>
      <c r="X335" s="50"/>
      <c r="Y335" s="50"/>
      <c r="Z335" s="50"/>
      <c r="AA335" s="50"/>
      <c r="AB335" s="50"/>
    </row>
    <row r="336" customFormat="false" ht="15.75" hidden="false" customHeight="false" outlineLevel="0" collapsed="false">
      <c r="A336" s="50"/>
      <c r="B336" s="50"/>
      <c r="C336" s="5"/>
      <c r="D336" s="48"/>
      <c r="E336" s="50"/>
      <c r="F336" s="5"/>
      <c r="G336" s="5"/>
      <c r="H336" s="5"/>
      <c r="I336" s="5"/>
      <c r="J336" s="5"/>
      <c r="K336" s="50"/>
      <c r="L336" s="50"/>
      <c r="M336" s="50"/>
      <c r="N336" s="50"/>
      <c r="O336" s="50"/>
      <c r="P336" s="50"/>
      <c r="Q336" s="50"/>
      <c r="R336" s="50"/>
      <c r="S336" s="50"/>
      <c r="T336" s="50"/>
      <c r="U336" s="50"/>
      <c r="V336" s="50"/>
      <c r="W336" s="50"/>
      <c r="X336" s="50"/>
      <c r="Y336" s="50"/>
      <c r="Z336" s="50"/>
      <c r="AA336" s="50"/>
      <c r="AB336" s="50"/>
    </row>
    <row r="337" customFormat="false" ht="15.75" hidden="false" customHeight="false" outlineLevel="0" collapsed="false">
      <c r="A337" s="50"/>
      <c r="B337" s="50"/>
      <c r="C337" s="5"/>
      <c r="D337" s="48"/>
      <c r="E337" s="50"/>
      <c r="F337" s="5"/>
      <c r="G337" s="5"/>
      <c r="H337" s="5"/>
      <c r="I337" s="5"/>
      <c r="J337" s="5"/>
      <c r="K337" s="50"/>
      <c r="L337" s="50"/>
      <c r="M337" s="50"/>
      <c r="N337" s="50"/>
      <c r="O337" s="50"/>
      <c r="P337" s="50"/>
      <c r="Q337" s="50"/>
      <c r="R337" s="50"/>
      <c r="S337" s="50"/>
      <c r="T337" s="50"/>
      <c r="U337" s="50"/>
      <c r="V337" s="50"/>
      <c r="W337" s="50"/>
      <c r="X337" s="50"/>
      <c r="Y337" s="50"/>
      <c r="Z337" s="50"/>
      <c r="AA337" s="50"/>
      <c r="AB337" s="50"/>
    </row>
    <row r="338" customFormat="false" ht="15.75" hidden="false" customHeight="false" outlineLevel="0" collapsed="false">
      <c r="A338" s="50"/>
      <c r="B338" s="50"/>
      <c r="C338" s="5"/>
      <c r="D338" s="48"/>
      <c r="E338" s="50"/>
      <c r="F338" s="5"/>
      <c r="G338" s="5"/>
      <c r="H338" s="5"/>
      <c r="I338" s="5"/>
      <c r="J338" s="5"/>
      <c r="K338" s="50"/>
      <c r="L338" s="50"/>
      <c r="M338" s="50"/>
      <c r="N338" s="50"/>
      <c r="O338" s="50"/>
      <c r="P338" s="50"/>
      <c r="Q338" s="50"/>
      <c r="R338" s="50"/>
      <c r="S338" s="50"/>
      <c r="T338" s="50"/>
      <c r="U338" s="50"/>
      <c r="V338" s="50"/>
      <c r="W338" s="50"/>
      <c r="X338" s="50"/>
      <c r="Y338" s="50"/>
      <c r="Z338" s="50"/>
      <c r="AA338" s="50"/>
      <c r="AB338" s="50"/>
    </row>
    <row r="339" customFormat="false" ht="15.75" hidden="false" customHeight="false" outlineLevel="0" collapsed="false">
      <c r="A339" s="50"/>
      <c r="B339" s="50"/>
      <c r="C339" s="5"/>
      <c r="D339" s="48"/>
      <c r="E339" s="50"/>
      <c r="F339" s="5"/>
      <c r="G339" s="5"/>
      <c r="H339" s="5"/>
      <c r="I339" s="5"/>
      <c r="J339" s="5"/>
      <c r="K339" s="50"/>
      <c r="L339" s="50"/>
      <c r="M339" s="50"/>
      <c r="N339" s="50"/>
      <c r="O339" s="50"/>
      <c r="P339" s="50"/>
      <c r="Q339" s="50"/>
      <c r="R339" s="50"/>
      <c r="S339" s="50"/>
      <c r="T339" s="50"/>
      <c r="U339" s="50"/>
      <c r="V339" s="50"/>
      <c r="W339" s="50"/>
      <c r="X339" s="50"/>
      <c r="Y339" s="50"/>
      <c r="Z339" s="50"/>
      <c r="AA339" s="50"/>
      <c r="AB339" s="50"/>
    </row>
    <row r="340" customFormat="false" ht="15.75" hidden="false" customHeight="false" outlineLevel="0" collapsed="false">
      <c r="A340" s="50"/>
      <c r="B340" s="50"/>
      <c r="C340" s="5"/>
      <c r="D340" s="48"/>
      <c r="E340" s="50"/>
      <c r="F340" s="5"/>
      <c r="G340" s="5"/>
      <c r="H340" s="5"/>
      <c r="I340" s="5"/>
      <c r="J340" s="5"/>
      <c r="K340" s="50"/>
      <c r="L340" s="50"/>
      <c r="M340" s="50"/>
      <c r="N340" s="50"/>
      <c r="O340" s="50"/>
      <c r="P340" s="50"/>
      <c r="Q340" s="50"/>
      <c r="R340" s="50"/>
      <c r="S340" s="50"/>
      <c r="T340" s="50"/>
      <c r="U340" s="50"/>
      <c r="V340" s="50"/>
      <c r="W340" s="50"/>
      <c r="X340" s="50"/>
      <c r="Y340" s="50"/>
      <c r="Z340" s="50"/>
      <c r="AA340" s="50"/>
      <c r="AB340" s="50"/>
    </row>
    <row r="341" customFormat="false" ht="15.75" hidden="false" customHeight="false" outlineLevel="0" collapsed="false">
      <c r="A341" s="50"/>
      <c r="B341" s="50"/>
      <c r="C341" s="5"/>
      <c r="D341" s="48"/>
      <c r="E341" s="50"/>
      <c r="F341" s="5"/>
      <c r="G341" s="5"/>
      <c r="H341" s="5"/>
      <c r="I341" s="5"/>
      <c r="J341" s="5"/>
      <c r="K341" s="50"/>
      <c r="L341" s="50"/>
      <c r="M341" s="50"/>
      <c r="N341" s="50"/>
      <c r="O341" s="50"/>
      <c r="P341" s="50"/>
      <c r="Q341" s="50"/>
      <c r="R341" s="50"/>
      <c r="S341" s="50"/>
      <c r="T341" s="50"/>
      <c r="U341" s="50"/>
      <c r="V341" s="50"/>
      <c r="W341" s="50"/>
      <c r="X341" s="50"/>
      <c r="Y341" s="50"/>
      <c r="Z341" s="50"/>
      <c r="AA341" s="50"/>
      <c r="AB341" s="50"/>
    </row>
    <row r="342" customFormat="false" ht="15.75" hidden="false" customHeight="false" outlineLevel="0" collapsed="false">
      <c r="A342" s="50"/>
      <c r="B342" s="50"/>
      <c r="C342" s="5"/>
      <c r="D342" s="48"/>
      <c r="E342" s="50"/>
      <c r="F342" s="5"/>
      <c r="G342" s="5"/>
      <c r="H342" s="5"/>
      <c r="I342" s="5"/>
      <c r="J342" s="5"/>
      <c r="K342" s="50"/>
      <c r="L342" s="50"/>
      <c r="M342" s="50"/>
      <c r="N342" s="50"/>
      <c r="O342" s="50"/>
      <c r="P342" s="50"/>
      <c r="Q342" s="50"/>
      <c r="R342" s="50"/>
      <c r="S342" s="50"/>
      <c r="T342" s="50"/>
      <c r="U342" s="50"/>
      <c r="V342" s="50"/>
      <c r="W342" s="50"/>
      <c r="X342" s="50"/>
      <c r="Y342" s="50"/>
      <c r="Z342" s="50"/>
      <c r="AA342" s="50"/>
      <c r="AB342" s="50"/>
    </row>
    <row r="343" customFormat="false" ht="15.75" hidden="false" customHeight="false" outlineLevel="0" collapsed="false">
      <c r="A343" s="50"/>
      <c r="B343" s="50"/>
      <c r="C343" s="5"/>
      <c r="D343" s="48"/>
      <c r="E343" s="50"/>
      <c r="F343" s="5"/>
      <c r="G343" s="5"/>
      <c r="H343" s="5"/>
      <c r="I343" s="5"/>
      <c r="J343" s="5"/>
      <c r="K343" s="50"/>
      <c r="L343" s="50"/>
      <c r="M343" s="50"/>
      <c r="N343" s="50"/>
      <c r="O343" s="50"/>
      <c r="P343" s="50"/>
      <c r="Q343" s="50"/>
      <c r="R343" s="50"/>
      <c r="S343" s="50"/>
      <c r="T343" s="50"/>
      <c r="U343" s="50"/>
      <c r="V343" s="50"/>
      <c r="W343" s="50"/>
      <c r="X343" s="50"/>
      <c r="Y343" s="50"/>
      <c r="Z343" s="50"/>
      <c r="AA343" s="50"/>
      <c r="AB343" s="50"/>
    </row>
    <row r="344" customFormat="false" ht="15.75" hidden="false" customHeight="false" outlineLevel="0" collapsed="false">
      <c r="A344" s="50"/>
      <c r="B344" s="50"/>
      <c r="C344" s="5"/>
      <c r="D344" s="48"/>
      <c r="E344" s="50"/>
      <c r="F344" s="5"/>
      <c r="G344" s="5"/>
      <c r="H344" s="5"/>
      <c r="I344" s="5"/>
      <c r="J344" s="5"/>
      <c r="K344" s="50"/>
      <c r="L344" s="50"/>
      <c r="M344" s="50"/>
      <c r="N344" s="50"/>
      <c r="O344" s="50"/>
      <c r="P344" s="50"/>
      <c r="Q344" s="50"/>
      <c r="R344" s="50"/>
      <c r="S344" s="50"/>
      <c r="T344" s="50"/>
      <c r="U344" s="50"/>
      <c r="V344" s="50"/>
      <c r="W344" s="50"/>
      <c r="X344" s="50"/>
      <c r="Y344" s="50"/>
      <c r="Z344" s="50"/>
      <c r="AA344" s="50"/>
      <c r="AB344" s="50"/>
    </row>
    <row r="345" customFormat="false" ht="15.75" hidden="false" customHeight="false" outlineLevel="0" collapsed="false">
      <c r="A345" s="50"/>
      <c r="B345" s="50"/>
      <c r="C345" s="5"/>
      <c r="D345" s="48"/>
      <c r="E345" s="50"/>
      <c r="F345" s="5"/>
      <c r="G345" s="5"/>
      <c r="H345" s="5"/>
      <c r="I345" s="5"/>
      <c r="J345" s="5"/>
      <c r="K345" s="50"/>
      <c r="L345" s="50"/>
      <c r="M345" s="50"/>
      <c r="N345" s="50"/>
      <c r="O345" s="50"/>
      <c r="P345" s="50"/>
      <c r="Q345" s="50"/>
      <c r="R345" s="50"/>
      <c r="S345" s="50"/>
      <c r="T345" s="50"/>
      <c r="U345" s="50"/>
      <c r="V345" s="50"/>
      <c r="W345" s="50"/>
      <c r="X345" s="50"/>
      <c r="Y345" s="50"/>
      <c r="Z345" s="50"/>
      <c r="AA345" s="50"/>
      <c r="AB345" s="50"/>
    </row>
    <row r="346" customFormat="false" ht="15.75" hidden="false" customHeight="false" outlineLevel="0" collapsed="false">
      <c r="A346" s="50"/>
      <c r="B346" s="50"/>
      <c r="C346" s="5"/>
      <c r="D346" s="48"/>
      <c r="E346" s="50"/>
      <c r="F346" s="5"/>
      <c r="G346" s="5"/>
      <c r="H346" s="5"/>
      <c r="I346" s="5"/>
      <c r="J346" s="5"/>
      <c r="K346" s="50"/>
      <c r="L346" s="50"/>
      <c r="M346" s="50"/>
      <c r="N346" s="50"/>
      <c r="O346" s="50"/>
      <c r="P346" s="50"/>
      <c r="Q346" s="50"/>
      <c r="R346" s="50"/>
      <c r="S346" s="50"/>
      <c r="T346" s="50"/>
      <c r="U346" s="50"/>
      <c r="V346" s="50"/>
      <c r="W346" s="50"/>
      <c r="X346" s="50"/>
      <c r="Y346" s="50"/>
      <c r="Z346" s="50"/>
      <c r="AA346" s="50"/>
      <c r="AB346" s="50"/>
    </row>
    <row r="347" customFormat="false" ht="15.75" hidden="false" customHeight="false" outlineLevel="0" collapsed="false">
      <c r="A347" s="50"/>
      <c r="B347" s="50"/>
      <c r="C347" s="5"/>
      <c r="D347" s="48"/>
      <c r="E347" s="50"/>
      <c r="F347" s="5"/>
      <c r="G347" s="5"/>
      <c r="H347" s="5"/>
      <c r="I347" s="5"/>
      <c r="J347" s="5"/>
      <c r="K347" s="50"/>
      <c r="L347" s="50"/>
      <c r="M347" s="50"/>
      <c r="N347" s="50"/>
      <c r="O347" s="50"/>
      <c r="P347" s="50"/>
      <c r="Q347" s="50"/>
      <c r="R347" s="50"/>
      <c r="S347" s="50"/>
      <c r="T347" s="50"/>
      <c r="U347" s="50"/>
      <c r="V347" s="50"/>
      <c r="W347" s="50"/>
      <c r="X347" s="50"/>
      <c r="Y347" s="50"/>
      <c r="Z347" s="50"/>
      <c r="AA347" s="50"/>
      <c r="AB347" s="50"/>
    </row>
    <row r="348" customFormat="false" ht="15.75" hidden="false" customHeight="false" outlineLevel="0" collapsed="false">
      <c r="A348" s="50"/>
      <c r="B348" s="50"/>
      <c r="C348" s="5"/>
      <c r="D348" s="48"/>
      <c r="E348" s="50"/>
      <c r="F348" s="5"/>
      <c r="G348" s="5"/>
      <c r="H348" s="5"/>
      <c r="I348" s="5"/>
      <c r="J348" s="5"/>
      <c r="K348" s="50"/>
      <c r="L348" s="50"/>
      <c r="M348" s="50"/>
      <c r="N348" s="50"/>
      <c r="O348" s="50"/>
      <c r="P348" s="50"/>
      <c r="Q348" s="50"/>
      <c r="R348" s="50"/>
      <c r="S348" s="50"/>
      <c r="T348" s="50"/>
      <c r="U348" s="50"/>
      <c r="V348" s="50"/>
      <c r="W348" s="50"/>
      <c r="X348" s="50"/>
      <c r="Y348" s="50"/>
      <c r="Z348" s="50"/>
      <c r="AA348" s="50"/>
      <c r="AB348" s="50"/>
    </row>
    <row r="349" customFormat="false" ht="15.75" hidden="false" customHeight="false" outlineLevel="0" collapsed="false">
      <c r="A349" s="50"/>
      <c r="B349" s="50"/>
      <c r="C349" s="5"/>
      <c r="D349" s="48"/>
      <c r="E349" s="50"/>
      <c r="F349" s="5"/>
      <c r="G349" s="5"/>
      <c r="H349" s="5"/>
      <c r="I349" s="5"/>
      <c r="J349" s="5"/>
      <c r="K349" s="50"/>
      <c r="L349" s="50"/>
      <c r="M349" s="50"/>
      <c r="N349" s="50"/>
      <c r="O349" s="50"/>
      <c r="P349" s="50"/>
      <c r="Q349" s="50"/>
      <c r="R349" s="50"/>
      <c r="S349" s="50"/>
      <c r="T349" s="50"/>
      <c r="U349" s="50"/>
      <c r="V349" s="50"/>
      <c r="W349" s="50"/>
      <c r="X349" s="50"/>
      <c r="Y349" s="50"/>
      <c r="Z349" s="50"/>
      <c r="AA349" s="50"/>
      <c r="AB349" s="50"/>
    </row>
    <row r="350" customFormat="false" ht="15.75" hidden="false" customHeight="false" outlineLevel="0" collapsed="false">
      <c r="A350" s="50"/>
      <c r="B350" s="50"/>
      <c r="C350" s="5"/>
      <c r="D350" s="48"/>
      <c r="E350" s="50"/>
      <c r="F350" s="5"/>
      <c r="G350" s="5"/>
      <c r="H350" s="5"/>
      <c r="I350" s="5"/>
      <c r="J350" s="5"/>
      <c r="K350" s="50"/>
      <c r="L350" s="50"/>
      <c r="M350" s="50"/>
      <c r="N350" s="50"/>
      <c r="O350" s="50"/>
      <c r="P350" s="50"/>
      <c r="Q350" s="50"/>
      <c r="R350" s="50"/>
      <c r="S350" s="50"/>
      <c r="T350" s="50"/>
      <c r="U350" s="50"/>
      <c r="V350" s="50"/>
      <c r="W350" s="50"/>
      <c r="X350" s="50"/>
      <c r="Y350" s="50"/>
      <c r="Z350" s="50"/>
      <c r="AA350" s="50"/>
      <c r="AB350" s="50"/>
    </row>
    <row r="351" customFormat="false" ht="15.75" hidden="false" customHeight="false" outlineLevel="0" collapsed="false">
      <c r="A351" s="50"/>
      <c r="B351" s="50"/>
      <c r="C351" s="5"/>
      <c r="D351" s="48"/>
      <c r="E351" s="50"/>
      <c r="F351" s="5"/>
      <c r="G351" s="5"/>
      <c r="H351" s="5"/>
      <c r="I351" s="5"/>
      <c r="J351" s="5"/>
      <c r="K351" s="50"/>
      <c r="L351" s="50"/>
      <c r="M351" s="50"/>
      <c r="N351" s="50"/>
      <c r="O351" s="50"/>
      <c r="P351" s="50"/>
      <c r="Q351" s="50"/>
      <c r="R351" s="50"/>
      <c r="S351" s="50"/>
      <c r="T351" s="50"/>
      <c r="U351" s="50"/>
      <c r="V351" s="50"/>
      <c r="W351" s="50"/>
      <c r="X351" s="50"/>
      <c r="Y351" s="50"/>
      <c r="Z351" s="50"/>
      <c r="AA351" s="50"/>
      <c r="AB351" s="50"/>
    </row>
    <row r="352" customFormat="false" ht="15.75" hidden="false" customHeight="false" outlineLevel="0" collapsed="false">
      <c r="A352" s="50"/>
      <c r="B352" s="50"/>
      <c r="C352" s="5"/>
      <c r="D352" s="48"/>
      <c r="E352" s="50"/>
      <c r="F352" s="5"/>
      <c r="G352" s="5"/>
      <c r="H352" s="5"/>
      <c r="I352" s="5"/>
      <c r="J352" s="5"/>
      <c r="K352" s="50"/>
      <c r="L352" s="50"/>
      <c r="M352" s="50"/>
      <c r="N352" s="50"/>
      <c r="O352" s="50"/>
      <c r="P352" s="50"/>
      <c r="Q352" s="50"/>
      <c r="R352" s="50"/>
      <c r="S352" s="50"/>
      <c r="T352" s="50"/>
      <c r="U352" s="50"/>
      <c r="V352" s="50"/>
      <c r="W352" s="50"/>
      <c r="X352" s="50"/>
      <c r="Y352" s="50"/>
      <c r="Z352" s="50"/>
      <c r="AA352" s="50"/>
      <c r="AB352" s="50"/>
    </row>
    <row r="353" customFormat="false" ht="15.75" hidden="false" customHeight="false" outlineLevel="0" collapsed="false">
      <c r="A353" s="50"/>
      <c r="B353" s="50"/>
      <c r="C353" s="5"/>
      <c r="D353" s="48"/>
      <c r="E353" s="50"/>
      <c r="F353" s="5"/>
      <c r="G353" s="5"/>
      <c r="H353" s="5"/>
      <c r="I353" s="5"/>
      <c r="J353" s="5"/>
      <c r="K353" s="50"/>
      <c r="L353" s="50"/>
      <c r="M353" s="50"/>
      <c r="N353" s="50"/>
      <c r="O353" s="50"/>
      <c r="P353" s="50"/>
      <c r="Q353" s="50"/>
      <c r="R353" s="50"/>
      <c r="S353" s="50"/>
      <c r="T353" s="50"/>
      <c r="U353" s="50"/>
      <c r="V353" s="50"/>
      <c r="W353" s="50"/>
      <c r="X353" s="50"/>
      <c r="Y353" s="50"/>
      <c r="Z353" s="50"/>
      <c r="AA353" s="50"/>
      <c r="AB353" s="50"/>
    </row>
    <row r="354" customFormat="false" ht="15.75" hidden="false" customHeight="false" outlineLevel="0" collapsed="false">
      <c r="A354" s="50"/>
      <c r="B354" s="50"/>
      <c r="C354" s="5"/>
      <c r="D354" s="48"/>
      <c r="E354" s="50"/>
      <c r="F354" s="5"/>
      <c r="G354" s="5"/>
      <c r="H354" s="5"/>
      <c r="I354" s="5"/>
      <c r="J354" s="5"/>
      <c r="K354" s="50"/>
      <c r="L354" s="50"/>
      <c r="M354" s="50"/>
      <c r="N354" s="50"/>
      <c r="O354" s="50"/>
      <c r="P354" s="50"/>
      <c r="Q354" s="50"/>
      <c r="R354" s="50"/>
      <c r="S354" s="50"/>
      <c r="T354" s="50"/>
      <c r="U354" s="50"/>
      <c r="V354" s="50"/>
      <c r="W354" s="50"/>
      <c r="X354" s="50"/>
      <c r="Y354" s="50"/>
      <c r="Z354" s="50"/>
      <c r="AA354" s="50"/>
      <c r="AB354" s="50"/>
    </row>
    <row r="355" customFormat="false" ht="15.75" hidden="false" customHeight="false" outlineLevel="0" collapsed="false">
      <c r="A355" s="50"/>
      <c r="B355" s="50"/>
      <c r="C355" s="5"/>
      <c r="D355" s="48"/>
      <c r="E355" s="50"/>
      <c r="F355" s="5"/>
      <c r="G355" s="5"/>
      <c r="H355" s="5"/>
      <c r="I355" s="5"/>
      <c r="J355" s="5"/>
      <c r="K355" s="50"/>
      <c r="L355" s="50"/>
      <c r="M355" s="50"/>
      <c r="N355" s="50"/>
      <c r="O355" s="50"/>
      <c r="P355" s="50"/>
      <c r="Q355" s="50"/>
      <c r="R355" s="50"/>
      <c r="S355" s="50"/>
      <c r="T355" s="50"/>
      <c r="U355" s="50"/>
      <c r="V355" s="50"/>
      <c r="W355" s="50"/>
      <c r="X355" s="50"/>
      <c r="Y355" s="50"/>
      <c r="Z355" s="50"/>
      <c r="AA355" s="50"/>
      <c r="AB355" s="50"/>
    </row>
    <row r="356" customFormat="false" ht="15.75" hidden="false" customHeight="false" outlineLevel="0" collapsed="false">
      <c r="A356" s="50"/>
      <c r="B356" s="50"/>
      <c r="C356" s="5"/>
      <c r="D356" s="48"/>
      <c r="E356" s="50"/>
      <c r="F356" s="5"/>
      <c r="G356" s="5"/>
      <c r="H356" s="5"/>
      <c r="I356" s="5"/>
      <c r="J356" s="5"/>
      <c r="K356" s="50"/>
      <c r="L356" s="50"/>
      <c r="M356" s="50"/>
      <c r="N356" s="50"/>
      <c r="O356" s="50"/>
      <c r="P356" s="50"/>
      <c r="Q356" s="50"/>
      <c r="R356" s="50"/>
      <c r="S356" s="50"/>
      <c r="T356" s="50"/>
      <c r="U356" s="50"/>
      <c r="V356" s="50"/>
      <c r="W356" s="50"/>
      <c r="X356" s="50"/>
      <c r="Y356" s="50"/>
      <c r="Z356" s="50"/>
      <c r="AA356" s="50"/>
      <c r="AB356" s="50"/>
    </row>
    <row r="357" customFormat="false" ht="15.75" hidden="false" customHeight="false" outlineLevel="0" collapsed="false">
      <c r="A357" s="50"/>
      <c r="B357" s="50"/>
      <c r="C357" s="5"/>
      <c r="D357" s="48"/>
      <c r="E357" s="50"/>
      <c r="F357" s="5"/>
      <c r="G357" s="5"/>
      <c r="H357" s="5"/>
      <c r="I357" s="5"/>
      <c r="J357" s="5"/>
      <c r="K357" s="50"/>
      <c r="L357" s="50"/>
      <c r="M357" s="50"/>
      <c r="N357" s="50"/>
      <c r="O357" s="50"/>
      <c r="P357" s="50"/>
      <c r="Q357" s="50"/>
      <c r="R357" s="50"/>
      <c r="S357" s="50"/>
      <c r="T357" s="50"/>
      <c r="U357" s="50"/>
      <c r="V357" s="50"/>
      <c r="W357" s="50"/>
      <c r="X357" s="50"/>
      <c r="Y357" s="50"/>
      <c r="Z357" s="50"/>
      <c r="AA357" s="50"/>
      <c r="AB357" s="50"/>
    </row>
    <row r="358" customFormat="false" ht="15.75" hidden="false" customHeight="false" outlineLevel="0" collapsed="false">
      <c r="A358" s="50"/>
      <c r="B358" s="50"/>
      <c r="C358" s="5"/>
      <c r="D358" s="48"/>
      <c r="E358" s="50"/>
      <c r="F358" s="5"/>
      <c r="G358" s="5"/>
      <c r="H358" s="5"/>
      <c r="I358" s="5"/>
      <c r="J358" s="5"/>
      <c r="K358" s="50"/>
      <c r="L358" s="50"/>
      <c r="M358" s="50"/>
      <c r="N358" s="50"/>
      <c r="O358" s="50"/>
      <c r="P358" s="50"/>
      <c r="Q358" s="50"/>
      <c r="R358" s="50"/>
      <c r="S358" s="50"/>
      <c r="T358" s="50"/>
      <c r="U358" s="50"/>
      <c r="V358" s="50"/>
      <c r="W358" s="50"/>
      <c r="X358" s="50"/>
      <c r="Y358" s="50"/>
      <c r="Z358" s="50"/>
      <c r="AA358" s="50"/>
      <c r="AB358" s="50"/>
    </row>
    <row r="359" customFormat="false" ht="15.75" hidden="false" customHeight="false" outlineLevel="0" collapsed="false">
      <c r="A359" s="50"/>
      <c r="B359" s="50"/>
      <c r="C359" s="5"/>
      <c r="D359" s="48"/>
      <c r="E359" s="50"/>
      <c r="F359" s="5"/>
      <c r="G359" s="5"/>
      <c r="H359" s="5"/>
      <c r="I359" s="5"/>
      <c r="J359" s="5"/>
      <c r="K359" s="50"/>
      <c r="L359" s="50"/>
      <c r="M359" s="50"/>
      <c r="N359" s="50"/>
      <c r="O359" s="50"/>
      <c r="P359" s="50"/>
      <c r="Q359" s="50"/>
      <c r="R359" s="50"/>
      <c r="S359" s="50"/>
      <c r="T359" s="50"/>
      <c r="U359" s="50"/>
      <c r="V359" s="50"/>
      <c r="W359" s="50"/>
      <c r="X359" s="50"/>
      <c r="Y359" s="50"/>
      <c r="Z359" s="50"/>
      <c r="AA359" s="50"/>
      <c r="AB359" s="50"/>
    </row>
    <row r="360" customFormat="false" ht="15.75" hidden="false" customHeight="false" outlineLevel="0" collapsed="false">
      <c r="A360" s="50"/>
      <c r="B360" s="50"/>
      <c r="C360" s="5"/>
      <c r="D360" s="48"/>
      <c r="E360" s="50"/>
      <c r="F360" s="5"/>
      <c r="G360" s="5"/>
      <c r="H360" s="5"/>
      <c r="I360" s="5"/>
      <c r="J360" s="5"/>
      <c r="K360" s="50"/>
      <c r="L360" s="50"/>
      <c r="M360" s="50"/>
      <c r="N360" s="50"/>
      <c r="O360" s="50"/>
      <c r="P360" s="50"/>
      <c r="Q360" s="50"/>
      <c r="R360" s="50"/>
      <c r="S360" s="50"/>
      <c r="T360" s="50"/>
      <c r="U360" s="50"/>
      <c r="V360" s="50"/>
      <c r="W360" s="50"/>
      <c r="X360" s="50"/>
      <c r="Y360" s="50"/>
      <c r="Z360" s="50"/>
      <c r="AA360" s="50"/>
      <c r="AB360" s="50"/>
    </row>
    <row r="361" customFormat="false" ht="15.75" hidden="false" customHeight="false" outlineLevel="0" collapsed="false">
      <c r="A361" s="50"/>
      <c r="B361" s="50"/>
      <c r="C361" s="5"/>
      <c r="D361" s="48"/>
      <c r="E361" s="50"/>
      <c r="F361" s="5"/>
      <c r="G361" s="5"/>
      <c r="H361" s="5"/>
      <c r="I361" s="5"/>
      <c r="J361" s="5"/>
      <c r="K361" s="50"/>
      <c r="L361" s="50"/>
      <c r="M361" s="50"/>
      <c r="N361" s="50"/>
      <c r="O361" s="50"/>
      <c r="P361" s="50"/>
      <c r="Q361" s="50"/>
      <c r="R361" s="50"/>
      <c r="S361" s="50"/>
      <c r="T361" s="50"/>
      <c r="U361" s="50"/>
      <c r="V361" s="50"/>
      <c r="W361" s="50"/>
      <c r="X361" s="50"/>
      <c r="Y361" s="50"/>
      <c r="Z361" s="50"/>
      <c r="AA361" s="50"/>
      <c r="AB361" s="50"/>
    </row>
    <row r="362" customFormat="false" ht="15.75" hidden="false" customHeight="false" outlineLevel="0" collapsed="false">
      <c r="A362" s="50"/>
      <c r="B362" s="50"/>
      <c r="C362" s="5"/>
      <c r="D362" s="48"/>
      <c r="E362" s="50"/>
      <c r="F362" s="5"/>
      <c r="G362" s="5"/>
      <c r="H362" s="5"/>
      <c r="I362" s="5"/>
      <c r="J362" s="5"/>
      <c r="K362" s="50"/>
      <c r="L362" s="50"/>
      <c r="M362" s="50"/>
      <c r="N362" s="50"/>
      <c r="O362" s="50"/>
      <c r="P362" s="50"/>
      <c r="Q362" s="50"/>
      <c r="R362" s="50"/>
      <c r="S362" s="50"/>
      <c r="T362" s="50"/>
      <c r="U362" s="50"/>
      <c r="V362" s="50"/>
      <c r="W362" s="50"/>
      <c r="X362" s="50"/>
      <c r="Y362" s="50"/>
      <c r="Z362" s="50"/>
      <c r="AA362" s="50"/>
      <c r="AB362" s="50"/>
    </row>
    <row r="363" customFormat="false" ht="15.75" hidden="false" customHeight="false" outlineLevel="0" collapsed="false">
      <c r="A363" s="50"/>
      <c r="B363" s="50"/>
      <c r="C363" s="5"/>
      <c r="D363" s="48"/>
      <c r="E363" s="50"/>
      <c r="F363" s="5"/>
      <c r="G363" s="5"/>
      <c r="H363" s="5"/>
      <c r="I363" s="5"/>
      <c r="J363" s="5"/>
      <c r="K363" s="50"/>
      <c r="L363" s="50"/>
      <c r="M363" s="50"/>
      <c r="N363" s="50"/>
      <c r="O363" s="50"/>
      <c r="P363" s="50"/>
      <c r="Q363" s="50"/>
      <c r="R363" s="50"/>
      <c r="S363" s="50"/>
      <c r="T363" s="50"/>
      <c r="U363" s="50"/>
      <c r="V363" s="50"/>
      <c r="W363" s="50"/>
      <c r="X363" s="50"/>
      <c r="Y363" s="50"/>
      <c r="Z363" s="50"/>
      <c r="AA363" s="50"/>
      <c r="AB363" s="50"/>
    </row>
    <row r="364" customFormat="false" ht="15.75" hidden="false" customHeight="false" outlineLevel="0" collapsed="false">
      <c r="A364" s="50"/>
      <c r="B364" s="50"/>
      <c r="C364" s="5"/>
      <c r="D364" s="48"/>
      <c r="E364" s="50"/>
      <c r="F364" s="5"/>
      <c r="G364" s="5"/>
      <c r="H364" s="5"/>
      <c r="I364" s="5"/>
      <c r="J364" s="5"/>
      <c r="K364" s="50"/>
      <c r="L364" s="50"/>
      <c r="M364" s="50"/>
      <c r="N364" s="50"/>
      <c r="O364" s="50"/>
      <c r="P364" s="50"/>
      <c r="Q364" s="50"/>
      <c r="R364" s="50"/>
      <c r="S364" s="50"/>
      <c r="T364" s="50"/>
      <c r="U364" s="50"/>
      <c r="V364" s="50"/>
      <c r="W364" s="50"/>
      <c r="X364" s="50"/>
      <c r="Y364" s="50"/>
      <c r="Z364" s="50"/>
      <c r="AA364" s="50"/>
      <c r="AB364" s="50"/>
    </row>
    <row r="365" customFormat="false" ht="15.75" hidden="false" customHeight="false" outlineLevel="0" collapsed="false">
      <c r="A365" s="50"/>
      <c r="B365" s="50"/>
      <c r="C365" s="5"/>
      <c r="D365" s="48"/>
      <c r="E365" s="50"/>
      <c r="F365" s="5"/>
      <c r="G365" s="5"/>
      <c r="H365" s="5"/>
      <c r="I365" s="5"/>
      <c r="J365" s="5"/>
      <c r="K365" s="50"/>
      <c r="L365" s="50"/>
      <c r="M365" s="50"/>
      <c r="N365" s="50"/>
      <c r="O365" s="50"/>
      <c r="P365" s="50"/>
      <c r="Q365" s="50"/>
      <c r="R365" s="50"/>
      <c r="S365" s="50"/>
      <c r="T365" s="50"/>
      <c r="U365" s="50"/>
      <c r="V365" s="50"/>
      <c r="W365" s="50"/>
      <c r="X365" s="50"/>
      <c r="Y365" s="50"/>
      <c r="Z365" s="50"/>
      <c r="AA365" s="50"/>
      <c r="AB365" s="50"/>
    </row>
    <row r="366" customFormat="false" ht="15.75" hidden="false" customHeight="false" outlineLevel="0" collapsed="false">
      <c r="A366" s="50"/>
      <c r="B366" s="50"/>
      <c r="C366" s="5"/>
      <c r="D366" s="48"/>
      <c r="E366" s="50"/>
      <c r="F366" s="5"/>
      <c r="G366" s="5"/>
      <c r="H366" s="5"/>
      <c r="I366" s="5"/>
      <c r="J366" s="5"/>
      <c r="K366" s="50"/>
      <c r="L366" s="50"/>
      <c r="M366" s="50"/>
      <c r="N366" s="50"/>
      <c r="O366" s="50"/>
      <c r="P366" s="50"/>
      <c r="Q366" s="50"/>
      <c r="R366" s="50"/>
      <c r="S366" s="50"/>
      <c r="T366" s="50"/>
      <c r="U366" s="50"/>
      <c r="V366" s="50"/>
      <c r="W366" s="50"/>
      <c r="X366" s="50"/>
      <c r="Y366" s="50"/>
      <c r="Z366" s="50"/>
      <c r="AA366" s="50"/>
      <c r="AB366" s="50"/>
    </row>
    <row r="367" customFormat="false" ht="15.75" hidden="false" customHeight="false" outlineLevel="0" collapsed="false">
      <c r="A367" s="50"/>
      <c r="B367" s="50"/>
      <c r="C367" s="5"/>
      <c r="D367" s="48"/>
      <c r="E367" s="50"/>
      <c r="F367" s="5"/>
      <c r="G367" s="5"/>
      <c r="H367" s="5"/>
      <c r="I367" s="5"/>
      <c r="J367" s="5"/>
      <c r="K367" s="50"/>
      <c r="L367" s="50"/>
      <c r="M367" s="50"/>
      <c r="N367" s="50"/>
      <c r="O367" s="50"/>
      <c r="P367" s="50"/>
      <c r="Q367" s="50"/>
      <c r="R367" s="50"/>
      <c r="S367" s="50"/>
      <c r="T367" s="50"/>
      <c r="U367" s="50"/>
      <c r="V367" s="50"/>
      <c r="W367" s="50"/>
      <c r="X367" s="50"/>
      <c r="Y367" s="50"/>
      <c r="Z367" s="50"/>
      <c r="AA367" s="50"/>
      <c r="AB367" s="50"/>
    </row>
    <row r="368" customFormat="false" ht="15.75" hidden="false" customHeight="false" outlineLevel="0" collapsed="false">
      <c r="A368" s="50"/>
      <c r="B368" s="50"/>
      <c r="C368" s="5"/>
      <c r="D368" s="48"/>
      <c r="E368" s="50"/>
      <c r="F368" s="5"/>
      <c r="G368" s="5"/>
      <c r="H368" s="5"/>
      <c r="I368" s="5"/>
      <c r="J368" s="5"/>
      <c r="K368" s="50"/>
      <c r="L368" s="50"/>
      <c r="M368" s="50"/>
      <c r="N368" s="50"/>
      <c r="O368" s="50"/>
      <c r="P368" s="50"/>
      <c r="Q368" s="50"/>
      <c r="R368" s="50"/>
      <c r="S368" s="50"/>
      <c r="T368" s="50"/>
      <c r="U368" s="50"/>
      <c r="V368" s="50"/>
      <c r="W368" s="50"/>
      <c r="X368" s="50"/>
      <c r="Y368" s="50"/>
      <c r="Z368" s="50"/>
      <c r="AA368" s="50"/>
      <c r="AB368" s="50"/>
    </row>
    <row r="369" customFormat="false" ht="15.75" hidden="false" customHeight="false" outlineLevel="0" collapsed="false">
      <c r="A369" s="50"/>
      <c r="B369" s="50"/>
      <c r="C369" s="5"/>
      <c r="D369" s="48"/>
      <c r="E369" s="50"/>
      <c r="F369" s="5"/>
      <c r="G369" s="5"/>
      <c r="H369" s="5"/>
      <c r="I369" s="5"/>
      <c r="J369" s="5"/>
      <c r="K369" s="50"/>
      <c r="L369" s="50"/>
      <c r="M369" s="50"/>
      <c r="N369" s="50"/>
      <c r="O369" s="50"/>
      <c r="P369" s="50"/>
      <c r="Q369" s="50"/>
      <c r="R369" s="50"/>
      <c r="S369" s="50"/>
      <c r="T369" s="50"/>
      <c r="U369" s="50"/>
      <c r="V369" s="50"/>
      <c r="W369" s="50"/>
      <c r="X369" s="50"/>
      <c r="Y369" s="50"/>
      <c r="Z369" s="50"/>
      <c r="AA369" s="50"/>
      <c r="AB369" s="50"/>
    </row>
    <row r="370" customFormat="false" ht="15.75" hidden="false" customHeight="false" outlineLevel="0" collapsed="false">
      <c r="A370" s="50"/>
      <c r="B370" s="50"/>
      <c r="C370" s="5"/>
      <c r="D370" s="48"/>
      <c r="E370" s="50"/>
      <c r="F370" s="5"/>
      <c r="G370" s="5"/>
      <c r="H370" s="5"/>
      <c r="I370" s="5"/>
      <c r="J370" s="5"/>
      <c r="K370" s="50"/>
      <c r="L370" s="50"/>
      <c r="M370" s="50"/>
      <c r="N370" s="50"/>
      <c r="O370" s="50"/>
      <c r="P370" s="50"/>
      <c r="Q370" s="50"/>
      <c r="R370" s="50"/>
      <c r="S370" s="50"/>
      <c r="T370" s="50"/>
      <c r="U370" s="50"/>
      <c r="V370" s="50"/>
      <c r="W370" s="50"/>
      <c r="X370" s="50"/>
      <c r="Y370" s="50"/>
      <c r="Z370" s="50"/>
      <c r="AA370" s="50"/>
      <c r="AB370" s="50"/>
    </row>
    <row r="371" customFormat="false" ht="15.75" hidden="false" customHeight="false" outlineLevel="0" collapsed="false">
      <c r="A371" s="50"/>
      <c r="B371" s="50"/>
      <c r="C371" s="5"/>
      <c r="D371" s="48"/>
      <c r="E371" s="50"/>
      <c r="F371" s="5"/>
      <c r="G371" s="5"/>
      <c r="H371" s="5"/>
      <c r="I371" s="5"/>
      <c r="J371" s="5"/>
      <c r="K371" s="50"/>
      <c r="L371" s="50"/>
      <c r="M371" s="50"/>
      <c r="N371" s="50"/>
      <c r="O371" s="50"/>
      <c r="P371" s="50"/>
      <c r="Q371" s="50"/>
      <c r="R371" s="50"/>
      <c r="S371" s="50"/>
      <c r="T371" s="50"/>
      <c r="U371" s="50"/>
      <c r="V371" s="50"/>
      <c r="W371" s="50"/>
      <c r="X371" s="50"/>
      <c r="Y371" s="50"/>
      <c r="Z371" s="50"/>
      <c r="AA371" s="50"/>
      <c r="AB371" s="50"/>
    </row>
    <row r="372" customFormat="false" ht="15.75" hidden="false" customHeight="false" outlineLevel="0" collapsed="false">
      <c r="A372" s="50"/>
      <c r="B372" s="50"/>
      <c r="C372" s="5"/>
      <c r="D372" s="48"/>
      <c r="E372" s="50"/>
      <c r="F372" s="5"/>
      <c r="G372" s="5"/>
      <c r="H372" s="5"/>
      <c r="I372" s="5"/>
      <c r="J372" s="5"/>
      <c r="K372" s="50"/>
      <c r="L372" s="50"/>
      <c r="M372" s="50"/>
      <c r="N372" s="50"/>
      <c r="O372" s="50"/>
      <c r="P372" s="50"/>
      <c r="Q372" s="50"/>
      <c r="R372" s="50"/>
      <c r="S372" s="50"/>
      <c r="T372" s="50"/>
      <c r="U372" s="50"/>
      <c r="V372" s="50"/>
      <c r="W372" s="50"/>
      <c r="X372" s="50"/>
      <c r="Y372" s="50"/>
      <c r="Z372" s="50"/>
      <c r="AA372" s="50"/>
      <c r="AB372" s="50"/>
    </row>
    <row r="373" customFormat="false" ht="15.75" hidden="false" customHeight="false" outlineLevel="0" collapsed="false">
      <c r="A373" s="50"/>
      <c r="B373" s="50"/>
      <c r="C373" s="5"/>
      <c r="D373" s="48"/>
      <c r="E373" s="50"/>
      <c r="F373" s="5"/>
      <c r="G373" s="5"/>
      <c r="H373" s="5"/>
      <c r="I373" s="5"/>
      <c r="J373" s="5"/>
      <c r="K373" s="50"/>
      <c r="L373" s="50"/>
      <c r="M373" s="50"/>
      <c r="N373" s="50"/>
      <c r="O373" s="50"/>
      <c r="P373" s="50"/>
      <c r="Q373" s="50"/>
      <c r="R373" s="50"/>
      <c r="S373" s="50"/>
      <c r="T373" s="50"/>
      <c r="U373" s="50"/>
      <c r="V373" s="50"/>
      <c r="W373" s="50"/>
      <c r="X373" s="50"/>
      <c r="Y373" s="50"/>
      <c r="Z373" s="50"/>
      <c r="AA373" s="50"/>
      <c r="AB373" s="50"/>
    </row>
    <row r="374" customFormat="false" ht="15.75" hidden="false" customHeight="false" outlineLevel="0" collapsed="false">
      <c r="A374" s="50"/>
      <c r="B374" s="50"/>
      <c r="C374" s="5"/>
      <c r="D374" s="48"/>
      <c r="E374" s="50"/>
      <c r="F374" s="5"/>
      <c r="G374" s="5"/>
      <c r="H374" s="5"/>
      <c r="I374" s="5"/>
      <c r="J374" s="5"/>
      <c r="K374" s="50"/>
      <c r="L374" s="50"/>
      <c r="M374" s="50"/>
      <c r="N374" s="50"/>
      <c r="O374" s="50"/>
      <c r="P374" s="50"/>
      <c r="Q374" s="50"/>
      <c r="R374" s="50"/>
      <c r="S374" s="50"/>
      <c r="T374" s="50"/>
      <c r="U374" s="50"/>
      <c r="V374" s="50"/>
      <c r="W374" s="50"/>
      <c r="X374" s="50"/>
      <c r="Y374" s="50"/>
      <c r="Z374" s="50"/>
      <c r="AA374" s="50"/>
      <c r="AB374" s="50"/>
    </row>
    <row r="375" customFormat="false" ht="15.75" hidden="false" customHeight="false" outlineLevel="0" collapsed="false">
      <c r="A375" s="50"/>
      <c r="B375" s="50"/>
      <c r="C375" s="5"/>
      <c r="D375" s="48"/>
      <c r="E375" s="50"/>
      <c r="F375" s="5"/>
      <c r="G375" s="5"/>
      <c r="H375" s="5"/>
      <c r="I375" s="5"/>
      <c r="J375" s="5"/>
      <c r="K375" s="50"/>
      <c r="L375" s="50"/>
      <c r="M375" s="50"/>
      <c r="N375" s="50"/>
      <c r="O375" s="50"/>
      <c r="P375" s="50"/>
      <c r="Q375" s="50"/>
      <c r="R375" s="50"/>
      <c r="S375" s="50"/>
      <c r="T375" s="50"/>
      <c r="U375" s="50"/>
      <c r="V375" s="50"/>
      <c r="W375" s="50"/>
      <c r="X375" s="50"/>
      <c r="Y375" s="50"/>
      <c r="Z375" s="50"/>
      <c r="AA375" s="50"/>
      <c r="AB375" s="50"/>
    </row>
    <row r="376" customFormat="false" ht="15.75" hidden="false" customHeight="false" outlineLevel="0" collapsed="false">
      <c r="A376" s="50"/>
      <c r="B376" s="50"/>
      <c r="C376" s="5"/>
      <c r="D376" s="48"/>
      <c r="E376" s="50"/>
      <c r="F376" s="5"/>
      <c r="G376" s="5"/>
      <c r="H376" s="5"/>
      <c r="I376" s="5"/>
      <c r="J376" s="5"/>
      <c r="K376" s="50"/>
      <c r="L376" s="50"/>
      <c r="M376" s="50"/>
      <c r="N376" s="50"/>
      <c r="O376" s="50"/>
      <c r="P376" s="50"/>
      <c r="Q376" s="50"/>
      <c r="R376" s="50"/>
      <c r="S376" s="50"/>
      <c r="T376" s="50"/>
      <c r="U376" s="50"/>
      <c r="V376" s="50"/>
      <c r="W376" s="50"/>
      <c r="X376" s="50"/>
      <c r="Y376" s="50"/>
      <c r="Z376" s="50"/>
      <c r="AA376" s="50"/>
      <c r="AB376" s="50"/>
    </row>
    <row r="377" customFormat="false" ht="15.75" hidden="false" customHeight="false" outlineLevel="0" collapsed="false">
      <c r="A377" s="50"/>
      <c r="B377" s="50"/>
      <c r="C377" s="5"/>
      <c r="D377" s="48"/>
      <c r="E377" s="50"/>
      <c r="F377" s="5"/>
      <c r="G377" s="5"/>
      <c r="H377" s="5"/>
      <c r="I377" s="5"/>
      <c r="J377" s="5"/>
      <c r="K377" s="50"/>
      <c r="L377" s="50"/>
      <c r="M377" s="50"/>
      <c r="N377" s="50"/>
      <c r="O377" s="50"/>
      <c r="P377" s="50"/>
      <c r="Q377" s="50"/>
      <c r="R377" s="50"/>
      <c r="S377" s="50"/>
      <c r="T377" s="50"/>
      <c r="U377" s="50"/>
      <c r="V377" s="50"/>
      <c r="W377" s="50"/>
      <c r="X377" s="50"/>
      <c r="Y377" s="50"/>
      <c r="Z377" s="50"/>
      <c r="AA377" s="50"/>
      <c r="AB377" s="50"/>
    </row>
    <row r="378" customFormat="false" ht="15.75" hidden="false" customHeight="false" outlineLevel="0" collapsed="false">
      <c r="A378" s="50"/>
      <c r="B378" s="50"/>
      <c r="C378" s="5"/>
      <c r="D378" s="48"/>
      <c r="E378" s="50"/>
      <c r="F378" s="5"/>
      <c r="G378" s="5"/>
      <c r="H378" s="5"/>
      <c r="I378" s="5"/>
      <c r="J378" s="5"/>
      <c r="K378" s="50"/>
      <c r="L378" s="50"/>
      <c r="M378" s="50"/>
      <c r="N378" s="50"/>
      <c r="O378" s="50"/>
      <c r="P378" s="50"/>
      <c r="Q378" s="50"/>
      <c r="R378" s="50"/>
      <c r="S378" s="50"/>
      <c r="T378" s="50"/>
      <c r="U378" s="50"/>
      <c r="V378" s="50"/>
      <c r="W378" s="50"/>
      <c r="X378" s="50"/>
      <c r="Y378" s="50"/>
      <c r="Z378" s="50"/>
      <c r="AA378" s="50"/>
      <c r="AB378" s="50"/>
    </row>
    <row r="379" customFormat="false" ht="15.75" hidden="false" customHeight="false" outlineLevel="0" collapsed="false">
      <c r="A379" s="50"/>
      <c r="B379" s="50"/>
      <c r="C379" s="5"/>
      <c r="D379" s="48"/>
      <c r="E379" s="50"/>
      <c r="F379" s="5"/>
      <c r="G379" s="5"/>
      <c r="H379" s="5"/>
      <c r="I379" s="5"/>
      <c r="J379" s="5"/>
      <c r="K379" s="50"/>
      <c r="L379" s="50"/>
      <c r="M379" s="50"/>
      <c r="N379" s="50"/>
      <c r="O379" s="50"/>
      <c r="P379" s="50"/>
      <c r="Q379" s="50"/>
      <c r="R379" s="50"/>
      <c r="S379" s="50"/>
      <c r="T379" s="50"/>
      <c r="U379" s="50"/>
      <c r="V379" s="50"/>
      <c r="W379" s="50"/>
      <c r="X379" s="50"/>
      <c r="Y379" s="50"/>
      <c r="Z379" s="50"/>
      <c r="AA379" s="50"/>
      <c r="AB379" s="50"/>
    </row>
    <row r="380" customFormat="false" ht="15.75" hidden="false" customHeight="false" outlineLevel="0" collapsed="false">
      <c r="A380" s="50"/>
      <c r="B380" s="50"/>
      <c r="C380" s="5"/>
      <c r="D380" s="48"/>
      <c r="E380" s="50"/>
      <c r="F380" s="5"/>
      <c r="G380" s="5"/>
      <c r="H380" s="5"/>
      <c r="I380" s="5"/>
      <c r="J380" s="5"/>
      <c r="K380" s="50"/>
      <c r="L380" s="50"/>
      <c r="M380" s="50"/>
      <c r="N380" s="50"/>
      <c r="O380" s="50"/>
      <c r="P380" s="50"/>
      <c r="Q380" s="50"/>
      <c r="R380" s="50"/>
      <c r="S380" s="50"/>
      <c r="T380" s="50"/>
      <c r="U380" s="50"/>
      <c r="V380" s="50"/>
      <c r="W380" s="50"/>
      <c r="X380" s="50"/>
      <c r="Y380" s="50"/>
      <c r="Z380" s="50"/>
      <c r="AA380" s="50"/>
      <c r="AB380" s="50"/>
    </row>
    <row r="381" customFormat="false" ht="15.75" hidden="false" customHeight="false" outlineLevel="0" collapsed="false">
      <c r="A381" s="50"/>
      <c r="B381" s="50"/>
      <c r="C381" s="5"/>
      <c r="D381" s="48"/>
      <c r="E381" s="50"/>
      <c r="F381" s="5"/>
      <c r="G381" s="5"/>
      <c r="H381" s="5"/>
      <c r="I381" s="5"/>
      <c r="J381" s="5"/>
      <c r="K381" s="50"/>
      <c r="L381" s="50"/>
      <c r="M381" s="50"/>
      <c r="N381" s="50"/>
      <c r="O381" s="50"/>
      <c r="P381" s="50"/>
      <c r="Q381" s="50"/>
      <c r="R381" s="50"/>
      <c r="S381" s="50"/>
      <c r="T381" s="50"/>
      <c r="U381" s="50"/>
      <c r="V381" s="50"/>
      <c r="W381" s="50"/>
      <c r="X381" s="50"/>
      <c r="Y381" s="50"/>
      <c r="Z381" s="50"/>
      <c r="AA381" s="50"/>
      <c r="AB381" s="50"/>
    </row>
    <row r="382" customFormat="false" ht="15.75" hidden="false" customHeight="false" outlineLevel="0" collapsed="false">
      <c r="A382" s="50"/>
      <c r="B382" s="50"/>
      <c r="C382" s="5"/>
      <c r="D382" s="48"/>
      <c r="E382" s="50"/>
      <c r="F382" s="5"/>
      <c r="G382" s="5"/>
      <c r="H382" s="5"/>
      <c r="I382" s="5"/>
      <c r="J382" s="5"/>
      <c r="K382" s="50"/>
      <c r="L382" s="50"/>
      <c r="M382" s="50"/>
      <c r="N382" s="50"/>
      <c r="O382" s="50"/>
      <c r="P382" s="50"/>
      <c r="Q382" s="50"/>
      <c r="R382" s="50"/>
      <c r="S382" s="50"/>
      <c r="T382" s="50"/>
      <c r="U382" s="50"/>
      <c r="V382" s="50"/>
      <c r="W382" s="50"/>
      <c r="X382" s="50"/>
      <c r="Y382" s="50"/>
      <c r="Z382" s="50"/>
      <c r="AA382" s="50"/>
      <c r="AB382" s="50"/>
    </row>
    <row r="383" customFormat="false" ht="15.75" hidden="false" customHeight="false" outlineLevel="0" collapsed="false">
      <c r="A383" s="50"/>
      <c r="B383" s="50"/>
      <c r="C383" s="5"/>
      <c r="D383" s="48"/>
      <c r="E383" s="50"/>
      <c r="F383" s="5"/>
      <c r="G383" s="5"/>
      <c r="H383" s="5"/>
      <c r="I383" s="5"/>
      <c r="J383" s="5"/>
      <c r="K383" s="50"/>
      <c r="L383" s="50"/>
      <c r="M383" s="50"/>
      <c r="N383" s="50"/>
      <c r="O383" s="50"/>
      <c r="P383" s="50"/>
      <c r="Q383" s="50"/>
      <c r="R383" s="50"/>
      <c r="S383" s="50"/>
      <c r="T383" s="50"/>
      <c r="U383" s="50"/>
      <c r="V383" s="50"/>
      <c r="W383" s="50"/>
      <c r="X383" s="50"/>
      <c r="Y383" s="50"/>
      <c r="Z383" s="50"/>
      <c r="AA383" s="50"/>
      <c r="AB383" s="50"/>
    </row>
    <row r="384" customFormat="false" ht="15.75" hidden="false" customHeight="false" outlineLevel="0" collapsed="false">
      <c r="A384" s="50"/>
      <c r="B384" s="50"/>
      <c r="C384" s="5"/>
      <c r="D384" s="48"/>
      <c r="E384" s="50"/>
      <c r="F384" s="5"/>
      <c r="G384" s="5"/>
      <c r="H384" s="5"/>
      <c r="I384" s="5"/>
      <c r="J384" s="5"/>
      <c r="K384" s="50"/>
      <c r="L384" s="50"/>
      <c r="M384" s="50"/>
      <c r="N384" s="50"/>
      <c r="O384" s="50"/>
      <c r="P384" s="50"/>
      <c r="Q384" s="50"/>
      <c r="R384" s="50"/>
      <c r="S384" s="50"/>
      <c r="T384" s="50"/>
      <c r="U384" s="50"/>
      <c r="V384" s="50"/>
      <c r="W384" s="50"/>
      <c r="X384" s="50"/>
      <c r="Y384" s="50"/>
      <c r="Z384" s="50"/>
      <c r="AA384" s="50"/>
      <c r="AB384" s="50"/>
    </row>
    <row r="385" customFormat="false" ht="15.75" hidden="false" customHeight="false" outlineLevel="0" collapsed="false">
      <c r="A385" s="50"/>
      <c r="B385" s="50"/>
      <c r="C385" s="5"/>
      <c r="D385" s="48"/>
      <c r="E385" s="50"/>
      <c r="F385" s="5"/>
      <c r="G385" s="5"/>
      <c r="H385" s="5"/>
      <c r="I385" s="5"/>
      <c r="J385" s="5"/>
      <c r="K385" s="50"/>
      <c r="L385" s="50"/>
      <c r="M385" s="50"/>
      <c r="N385" s="50"/>
      <c r="O385" s="50"/>
      <c r="P385" s="50"/>
      <c r="Q385" s="50"/>
      <c r="R385" s="50"/>
      <c r="S385" s="50"/>
      <c r="T385" s="50"/>
      <c r="U385" s="50"/>
      <c r="V385" s="50"/>
      <c r="W385" s="50"/>
      <c r="X385" s="50"/>
      <c r="Y385" s="50"/>
      <c r="Z385" s="50"/>
      <c r="AA385" s="50"/>
      <c r="AB385" s="50"/>
    </row>
    <row r="386" customFormat="false" ht="15.75" hidden="false" customHeight="false" outlineLevel="0" collapsed="false">
      <c r="A386" s="50"/>
      <c r="B386" s="50"/>
      <c r="C386" s="5"/>
      <c r="D386" s="48"/>
      <c r="E386" s="50"/>
      <c r="F386" s="5"/>
      <c r="G386" s="5"/>
      <c r="H386" s="5"/>
      <c r="I386" s="5"/>
      <c r="J386" s="5"/>
      <c r="K386" s="50"/>
      <c r="L386" s="50"/>
      <c r="M386" s="50"/>
      <c r="N386" s="50"/>
      <c r="O386" s="50"/>
      <c r="P386" s="50"/>
      <c r="Q386" s="50"/>
      <c r="R386" s="50"/>
      <c r="S386" s="50"/>
      <c r="T386" s="50"/>
      <c r="U386" s="50"/>
      <c r="V386" s="50"/>
      <c r="W386" s="50"/>
      <c r="X386" s="50"/>
      <c r="Y386" s="50"/>
      <c r="Z386" s="50"/>
      <c r="AA386" s="50"/>
      <c r="AB386" s="50"/>
    </row>
    <row r="387" customFormat="false" ht="15.75" hidden="false" customHeight="false" outlineLevel="0" collapsed="false">
      <c r="A387" s="50"/>
      <c r="B387" s="50"/>
      <c r="C387" s="5"/>
      <c r="D387" s="48"/>
      <c r="E387" s="50"/>
      <c r="F387" s="5"/>
      <c r="G387" s="5"/>
      <c r="H387" s="5"/>
      <c r="I387" s="5"/>
      <c r="J387" s="5"/>
      <c r="K387" s="50"/>
      <c r="L387" s="50"/>
      <c r="M387" s="50"/>
      <c r="N387" s="50"/>
      <c r="O387" s="50"/>
      <c r="P387" s="50"/>
      <c r="Q387" s="50"/>
      <c r="R387" s="50"/>
      <c r="S387" s="50"/>
      <c r="T387" s="50"/>
      <c r="U387" s="50"/>
      <c r="V387" s="50"/>
      <c r="W387" s="50"/>
      <c r="X387" s="50"/>
      <c r="Y387" s="50"/>
      <c r="Z387" s="50"/>
      <c r="AA387" s="50"/>
      <c r="AB387" s="50"/>
    </row>
    <row r="388" customFormat="false" ht="15.75" hidden="false" customHeight="false" outlineLevel="0" collapsed="false">
      <c r="A388" s="50"/>
      <c r="B388" s="50"/>
      <c r="C388" s="5"/>
      <c r="D388" s="48"/>
      <c r="E388" s="50"/>
      <c r="F388" s="5"/>
      <c r="G388" s="5"/>
      <c r="H388" s="5"/>
      <c r="I388" s="5"/>
      <c r="J388" s="5"/>
      <c r="K388" s="50"/>
      <c r="L388" s="50"/>
      <c r="M388" s="50"/>
      <c r="N388" s="50"/>
      <c r="O388" s="50"/>
      <c r="P388" s="50"/>
      <c r="Q388" s="50"/>
      <c r="R388" s="50"/>
      <c r="S388" s="50"/>
      <c r="T388" s="50"/>
      <c r="U388" s="50"/>
      <c r="V388" s="50"/>
      <c r="W388" s="50"/>
      <c r="X388" s="50"/>
      <c r="Y388" s="50"/>
      <c r="Z388" s="50"/>
      <c r="AA388" s="50"/>
      <c r="AB388" s="50"/>
    </row>
    <row r="389" customFormat="false" ht="15.75" hidden="false" customHeight="false" outlineLevel="0" collapsed="false">
      <c r="A389" s="50"/>
      <c r="B389" s="50"/>
      <c r="C389" s="5"/>
      <c r="D389" s="48"/>
      <c r="E389" s="50"/>
      <c r="F389" s="5"/>
      <c r="G389" s="5"/>
      <c r="H389" s="5"/>
      <c r="I389" s="5"/>
      <c r="J389" s="5"/>
      <c r="K389" s="50"/>
      <c r="L389" s="50"/>
      <c r="M389" s="50"/>
      <c r="N389" s="50"/>
      <c r="O389" s="50"/>
      <c r="P389" s="50"/>
      <c r="Q389" s="50"/>
      <c r="R389" s="50"/>
      <c r="S389" s="50"/>
      <c r="T389" s="50"/>
      <c r="U389" s="50"/>
      <c r="V389" s="50"/>
      <c r="W389" s="50"/>
      <c r="X389" s="50"/>
      <c r="Y389" s="50"/>
      <c r="Z389" s="50"/>
      <c r="AA389" s="50"/>
      <c r="AB389" s="50"/>
    </row>
    <row r="390" customFormat="false" ht="15.75" hidden="false" customHeight="false" outlineLevel="0" collapsed="false">
      <c r="A390" s="50"/>
      <c r="B390" s="50"/>
      <c r="C390" s="5"/>
      <c r="D390" s="48"/>
      <c r="E390" s="50"/>
      <c r="F390" s="5"/>
      <c r="G390" s="5"/>
      <c r="H390" s="5"/>
      <c r="I390" s="5"/>
      <c r="J390" s="5"/>
      <c r="K390" s="50"/>
      <c r="L390" s="50"/>
      <c r="M390" s="50"/>
      <c r="N390" s="50"/>
      <c r="O390" s="50"/>
      <c r="P390" s="50"/>
      <c r="Q390" s="50"/>
      <c r="R390" s="50"/>
      <c r="S390" s="50"/>
      <c r="T390" s="50"/>
      <c r="U390" s="50"/>
      <c r="V390" s="50"/>
      <c r="W390" s="50"/>
      <c r="X390" s="50"/>
      <c r="Y390" s="50"/>
      <c r="Z390" s="50"/>
      <c r="AA390" s="50"/>
      <c r="AB390" s="50"/>
    </row>
    <row r="391" customFormat="false" ht="15.75" hidden="false" customHeight="false" outlineLevel="0" collapsed="false">
      <c r="A391" s="50"/>
      <c r="B391" s="50"/>
      <c r="C391" s="5"/>
      <c r="D391" s="48"/>
      <c r="E391" s="50"/>
      <c r="F391" s="5"/>
      <c r="G391" s="5"/>
      <c r="H391" s="5"/>
      <c r="I391" s="5"/>
      <c r="J391" s="5"/>
      <c r="K391" s="50"/>
      <c r="L391" s="50"/>
      <c r="M391" s="50"/>
      <c r="N391" s="50"/>
      <c r="O391" s="50"/>
      <c r="P391" s="50"/>
      <c r="Q391" s="50"/>
      <c r="R391" s="50"/>
      <c r="S391" s="50"/>
      <c r="T391" s="50"/>
      <c r="U391" s="50"/>
      <c r="V391" s="50"/>
      <c r="W391" s="50"/>
      <c r="X391" s="50"/>
      <c r="Y391" s="50"/>
      <c r="Z391" s="50"/>
      <c r="AA391" s="50"/>
      <c r="AB391" s="50"/>
    </row>
    <row r="392" customFormat="false" ht="15.75" hidden="false" customHeight="false" outlineLevel="0" collapsed="false">
      <c r="A392" s="50"/>
      <c r="B392" s="50"/>
      <c r="C392" s="5"/>
      <c r="D392" s="48"/>
      <c r="E392" s="50"/>
      <c r="F392" s="5"/>
      <c r="G392" s="5"/>
      <c r="H392" s="5"/>
      <c r="I392" s="5"/>
      <c r="J392" s="5"/>
      <c r="K392" s="50"/>
      <c r="L392" s="50"/>
      <c r="M392" s="50"/>
      <c r="N392" s="50"/>
      <c r="O392" s="50"/>
      <c r="P392" s="50"/>
      <c r="Q392" s="50"/>
      <c r="R392" s="50"/>
      <c r="S392" s="50"/>
      <c r="T392" s="50"/>
      <c r="U392" s="50"/>
      <c r="V392" s="50"/>
      <c r="W392" s="50"/>
      <c r="X392" s="50"/>
      <c r="Y392" s="50"/>
      <c r="Z392" s="50"/>
      <c r="AA392" s="50"/>
      <c r="AB392" s="50"/>
    </row>
    <row r="393" customFormat="false" ht="15.75" hidden="false" customHeight="false" outlineLevel="0" collapsed="false">
      <c r="A393" s="50"/>
      <c r="B393" s="50"/>
      <c r="C393" s="5"/>
      <c r="D393" s="48"/>
      <c r="E393" s="50"/>
      <c r="F393" s="5"/>
      <c r="G393" s="5"/>
      <c r="H393" s="5"/>
      <c r="I393" s="5"/>
      <c r="J393" s="5"/>
      <c r="K393" s="50"/>
      <c r="L393" s="50"/>
      <c r="M393" s="50"/>
      <c r="N393" s="50"/>
      <c r="O393" s="50"/>
      <c r="P393" s="50"/>
      <c r="Q393" s="50"/>
      <c r="R393" s="50"/>
      <c r="S393" s="50"/>
      <c r="T393" s="50"/>
      <c r="U393" s="50"/>
      <c r="V393" s="50"/>
      <c r="W393" s="50"/>
      <c r="X393" s="50"/>
      <c r="Y393" s="50"/>
      <c r="Z393" s="50"/>
      <c r="AA393" s="50"/>
      <c r="AB393" s="50"/>
    </row>
    <row r="394" customFormat="false" ht="15.75" hidden="false" customHeight="false" outlineLevel="0" collapsed="false">
      <c r="A394" s="50"/>
      <c r="B394" s="50"/>
      <c r="C394" s="5"/>
      <c r="D394" s="48"/>
      <c r="E394" s="50"/>
      <c r="F394" s="5"/>
      <c r="G394" s="5"/>
      <c r="H394" s="5"/>
      <c r="I394" s="5"/>
      <c r="J394" s="5"/>
      <c r="K394" s="50"/>
      <c r="L394" s="50"/>
      <c r="M394" s="50"/>
      <c r="N394" s="50"/>
      <c r="O394" s="50"/>
      <c r="P394" s="50"/>
      <c r="Q394" s="50"/>
      <c r="R394" s="50"/>
      <c r="S394" s="50"/>
      <c r="T394" s="50"/>
      <c r="U394" s="50"/>
      <c r="V394" s="50"/>
      <c r="W394" s="50"/>
      <c r="X394" s="50"/>
      <c r="Y394" s="50"/>
      <c r="Z394" s="50"/>
      <c r="AA394" s="50"/>
      <c r="AB394" s="50"/>
    </row>
    <row r="395" customFormat="false" ht="15.75" hidden="false" customHeight="false" outlineLevel="0" collapsed="false">
      <c r="A395" s="50"/>
      <c r="B395" s="50"/>
      <c r="C395" s="5"/>
      <c r="D395" s="48"/>
      <c r="E395" s="50"/>
      <c r="F395" s="5"/>
      <c r="G395" s="5"/>
      <c r="H395" s="5"/>
      <c r="I395" s="5"/>
      <c r="J395" s="5"/>
      <c r="K395" s="50"/>
      <c r="L395" s="50"/>
      <c r="M395" s="50"/>
      <c r="N395" s="50"/>
      <c r="O395" s="50"/>
      <c r="P395" s="50"/>
      <c r="Q395" s="50"/>
      <c r="R395" s="50"/>
      <c r="S395" s="50"/>
      <c r="T395" s="50"/>
      <c r="U395" s="50"/>
      <c r="V395" s="50"/>
      <c r="W395" s="50"/>
      <c r="X395" s="50"/>
      <c r="Y395" s="50"/>
      <c r="Z395" s="50"/>
      <c r="AA395" s="50"/>
      <c r="AB395" s="50"/>
    </row>
    <row r="396" customFormat="false" ht="15.75" hidden="false" customHeight="false" outlineLevel="0" collapsed="false">
      <c r="A396" s="50"/>
      <c r="B396" s="50"/>
      <c r="C396" s="5"/>
      <c r="D396" s="48"/>
      <c r="E396" s="50"/>
      <c r="F396" s="5"/>
      <c r="G396" s="5"/>
      <c r="H396" s="5"/>
      <c r="I396" s="5"/>
      <c r="J396" s="5"/>
      <c r="K396" s="50"/>
      <c r="L396" s="50"/>
      <c r="M396" s="50"/>
      <c r="N396" s="50"/>
      <c r="O396" s="50"/>
      <c r="P396" s="50"/>
      <c r="Q396" s="50"/>
      <c r="R396" s="50"/>
      <c r="S396" s="50"/>
      <c r="T396" s="50"/>
      <c r="U396" s="50"/>
      <c r="V396" s="50"/>
      <c r="W396" s="50"/>
      <c r="X396" s="50"/>
      <c r="Y396" s="50"/>
      <c r="Z396" s="50"/>
      <c r="AA396" s="50"/>
      <c r="AB396" s="50"/>
    </row>
    <row r="397" customFormat="false" ht="15.75" hidden="false" customHeight="false" outlineLevel="0" collapsed="false">
      <c r="A397" s="50"/>
      <c r="B397" s="50"/>
      <c r="C397" s="5"/>
      <c r="D397" s="48"/>
      <c r="E397" s="50"/>
      <c r="F397" s="5"/>
      <c r="G397" s="5"/>
      <c r="H397" s="5"/>
      <c r="I397" s="5"/>
      <c r="J397" s="5"/>
      <c r="K397" s="50"/>
      <c r="L397" s="50"/>
      <c r="M397" s="50"/>
      <c r="N397" s="50"/>
      <c r="O397" s="50"/>
      <c r="P397" s="50"/>
      <c r="Q397" s="50"/>
      <c r="R397" s="50"/>
      <c r="S397" s="50"/>
      <c r="T397" s="50"/>
      <c r="U397" s="50"/>
      <c r="V397" s="50"/>
      <c r="W397" s="50"/>
      <c r="X397" s="50"/>
      <c r="Y397" s="50"/>
      <c r="Z397" s="50"/>
      <c r="AA397" s="50"/>
      <c r="AB397" s="50"/>
    </row>
    <row r="398" customFormat="false" ht="15.75" hidden="false" customHeight="false" outlineLevel="0" collapsed="false">
      <c r="A398" s="50"/>
      <c r="B398" s="50"/>
      <c r="C398" s="5"/>
      <c r="D398" s="48"/>
      <c r="E398" s="50"/>
      <c r="F398" s="5"/>
      <c r="G398" s="5"/>
      <c r="H398" s="5"/>
      <c r="I398" s="5"/>
      <c r="J398" s="5"/>
      <c r="K398" s="50"/>
      <c r="L398" s="50"/>
      <c r="M398" s="50"/>
      <c r="N398" s="50"/>
      <c r="O398" s="50"/>
      <c r="P398" s="50"/>
      <c r="Q398" s="50"/>
      <c r="R398" s="50"/>
      <c r="S398" s="50"/>
      <c r="T398" s="50"/>
      <c r="U398" s="50"/>
      <c r="V398" s="50"/>
      <c r="W398" s="50"/>
      <c r="X398" s="50"/>
      <c r="Y398" s="50"/>
      <c r="Z398" s="50"/>
      <c r="AA398" s="50"/>
      <c r="AB398" s="50"/>
    </row>
    <row r="399" customFormat="false" ht="15.75" hidden="false" customHeight="false" outlineLevel="0" collapsed="false">
      <c r="A399" s="50"/>
      <c r="B399" s="50"/>
      <c r="C399" s="5"/>
      <c r="D399" s="48"/>
      <c r="E399" s="50"/>
      <c r="F399" s="5"/>
      <c r="G399" s="5"/>
      <c r="H399" s="5"/>
      <c r="I399" s="5"/>
      <c r="J399" s="5"/>
      <c r="K399" s="50"/>
      <c r="L399" s="50"/>
      <c r="M399" s="50"/>
      <c r="N399" s="50"/>
      <c r="O399" s="50"/>
      <c r="P399" s="50"/>
      <c r="Q399" s="50"/>
      <c r="R399" s="50"/>
      <c r="S399" s="50"/>
      <c r="T399" s="50"/>
      <c r="U399" s="50"/>
      <c r="V399" s="50"/>
      <c r="W399" s="50"/>
      <c r="X399" s="50"/>
      <c r="Y399" s="50"/>
      <c r="Z399" s="50"/>
      <c r="AA399" s="50"/>
      <c r="AB399" s="50"/>
    </row>
    <row r="400" customFormat="false" ht="15.75" hidden="false" customHeight="false" outlineLevel="0" collapsed="false">
      <c r="A400" s="50"/>
      <c r="B400" s="50"/>
      <c r="C400" s="5"/>
      <c r="D400" s="48"/>
      <c r="E400" s="50"/>
      <c r="F400" s="5"/>
      <c r="G400" s="5"/>
      <c r="H400" s="5"/>
      <c r="I400" s="5"/>
      <c r="J400" s="5"/>
      <c r="K400" s="50"/>
      <c r="L400" s="50"/>
      <c r="M400" s="50"/>
      <c r="N400" s="50"/>
      <c r="O400" s="50"/>
      <c r="P400" s="50"/>
      <c r="Q400" s="50"/>
      <c r="R400" s="50"/>
      <c r="S400" s="50"/>
      <c r="T400" s="50"/>
      <c r="U400" s="50"/>
      <c r="V400" s="50"/>
      <c r="W400" s="50"/>
      <c r="X400" s="50"/>
      <c r="Y400" s="50"/>
      <c r="Z400" s="50"/>
      <c r="AA400" s="50"/>
      <c r="AB400" s="50"/>
    </row>
    <row r="401" customFormat="false" ht="15.75" hidden="false" customHeight="false" outlineLevel="0" collapsed="false">
      <c r="A401" s="50"/>
      <c r="B401" s="50"/>
      <c r="C401" s="5"/>
      <c r="D401" s="48"/>
      <c r="E401" s="50"/>
      <c r="F401" s="5"/>
      <c r="G401" s="5"/>
      <c r="H401" s="5"/>
      <c r="I401" s="5"/>
      <c r="J401" s="5"/>
      <c r="K401" s="50"/>
      <c r="L401" s="50"/>
      <c r="M401" s="50"/>
      <c r="N401" s="50"/>
      <c r="O401" s="50"/>
      <c r="P401" s="50"/>
      <c r="Q401" s="50"/>
      <c r="R401" s="50"/>
      <c r="S401" s="50"/>
      <c r="T401" s="50"/>
      <c r="U401" s="50"/>
      <c r="V401" s="50"/>
      <c r="W401" s="50"/>
      <c r="X401" s="50"/>
      <c r="Y401" s="50"/>
      <c r="Z401" s="50"/>
      <c r="AA401" s="50"/>
      <c r="AB401" s="50"/>
    </row>
    <row r="402" customFormat="false" ht="15.75" hidden="false" customHeight="false" outlineLevel="0" collapsed="false">
      <c r="A402" s="50"/>
      <c r="B402" s="50"/>
      <c r="C402" s="5"/>
      <c r="D402" s="48"/>
      <c r="E402" s="50"/>
      <c r="F402" s="5"/>
      <c r="G402" s="5"/>
      <c r="H402" s="5"/>
      <c r="I402" s="5"/>
      <c r="J402" s="5"/>
      <c r="K402" s="50"/>
      <c r="L402" s="50"/>
      <c r="M402" s="50"/>
      <c r="N402" s="50"/>
      <c r="O402" s="50"/>
      <c r="P402" s="50"/>
      <c r="Q402" s="50"/>
      <c r="R402" s="50"/>
      <c r="S402" s="50"/>
      <c r="T402" s="50"/>
      <c r="U402" s="50"/>
      <c r="V402" s="50"/>
      <c r="W402" s="50"/>
      <c r="X402" s="50"/>
      <c r="Y402" s="50"/>
      <c r="Z402" s="50"/>
      <c r="AA402" s="50"/>
      <c r="AB402" s="50"/>
    </row>
    <row r="403" customFormat="false" ht="15.75" hidden="false" customHeight="false" outlineLevel="0" collapsed="false">
      <c r="A403" s="50"/>
      <c r="B403" s="50"/>
      <c r="C403" s="5"/>
      <c r="D403" s="48"/>
      <c r="E403" s="50"/>
      <c r="F403" s="5"/>
      <c r="G403" s="5"/>
      <c r="H403" s="5"/>
      <c r="I403" s="5"/>
      <c r="J403" s="5"/>
      <c r="K403" s="50"/>
      <c r="L403" s="50"/>
      <c r="M403" s="50"/>
      <c r="N403" s="50"/>
      <c r="O403" s="50"/>
      <c r="P403" s="50"/>
      <c r="Q403" s="50"/>
      <c r="R403" s="50"/>
      <c r="S403" s="50"/>
      <c r="T403" s="50"/>
      <c r="U403" s="50"/>
      <c r="V403" s="50"/>
      <c r="W403" s="50"/>
      <c r="X403" s="50"/>
      <c r="Y403" s="50"/>
      <c r="Z403" s="50"/>
      <c r="AA403" s="50"/>
      <c r="AB403" s="50"/>
    </row>
    <row r="404" customFormat="false" ht="15.75" hidden="false" customHeight="false" outlineLevel="0" collapsed="false">
      <c r="A404" s="50"/>
      <c r="B404" s="50"/>
      <c r="C404" s="5"/>
      <c r="D404" s="48"/>
      <c r="E404" s="50"/>
      <c r="F404" s="5"/>
      <c r="G404" s="5"/>
      <c r="H404" s="5"/>
      <c r="I404" s="5"/>
      <c r="J404" s="5"/>
      <c r="K404" s="50"/>
      <c r="L404" s="50"/>
      <c r="M404" s="50"/>
      <c r="N404" s="50"/>
      <c r="O404" s="50"/>
      <c r="P404" s="50"/>
      <c r="Q404" s="50"/>
      <c r="R404" s="50"/>
      <c r="S404" s="50"/>
      <c r="T404" s="50"/>
      <c r="U404" s="50"/>
      <c r="V404" s="50"/>
      <c r="W404" s="50"/>
      <c r="X404" s="50"/>
      <c r="Y404" s="50"/>
      <c r="Z404" s="50"/>
      <c r="AA404" s="50"/>
      <c r="AB404" s="50"/>
    </row>
    <row r="405" customFormat="false" ht="15.75" hidden="false" customHeight="false" outlineLevel="0" collapsed="false">
      <c r="A405" s="50"/>
      <c r="B405" s="50"/>
      <c r="C405" s="5"/>
      <c r="D405" s="48"/>
      <c r="E405" s="50"/>
      <c r="F405" s="5"/>
      <c r="G405" s="5"/>
      <c r="H405" s="5"/>
      <c r="I405" s="5"/>
      <c r="J405" s="5"/>
      <c r="K405" s="50"/>
      <c r="L405" s="50"/>
      <c r="M405" s="50"/>
      <c r="N405" s="50"/>
      <c r="O405" s="50"/>
      <c r="P405" s="50"/>
      <c r="Q405" s="50"/>
      <c r="R405" s="50"/>
      <c r="S405" s="50"/>
      <c r="T405" s="50"/>
      <c r="U405" s="50"/>
      <c r="V405" s="50"/>
      <c r="W405" s="50"/>
      <c r="X405" s="50"/>
      <c r="Y405" s="50"/>
      <c r="Z405" s="50"/>
      <c r="AA405" s="50"/>
      <c r="AB405" s="50"/>
    </row>
    <row r="406" customFormat="false" ht="15.75" hidden="false" customHeight="false" outlineLevel="0" collapsed="false">
      <c r="A406" s="50"/>
      <c r="B406" s="50"/>
      <c r="C406" s="5"/>
      <c r="D406" s="48"/>
      <c r="E406" s="50"/>
      <c r="F406" s="5"/>
      <c r="G406" s="5"/>
      <c r="H406" s="5"/>
      <c r="I406" s="5"/>
      <c r="J406" s="5"/>
      <c r="K406" s="50"/>
      <c r="L406" s="50"/>
      <c r="M406" s="50"/>
      <c r="N406" s="50"/>
      <c r="O406" s="50"/>
      <c r="P406" s="50"/>
      <c r="Q406" s="50"/>
      <c r="R406" s="50"/>
      <c r="S406" s="50"/>
      <c r="T406" s="50"/>
      <c r="U406" s="50"/>
      <c r="V406" s="50"/>
      <c r="W406" s="50"/>
      <c r="X406" s="50"/>
      <c r="Y406" s="50"/>
      <c r="Z406" s="50"/>
      <c r="AA406" s="50"/>
      <c r="AB406" s="50"/>
    </row>
    <row r="407" customFormat="false" ht="15.75" hidden="false" customHeight="false" outlineLevel="0" collapsed="false">
      <c r="A407" s="50"/>
      <c r="B407" s="50"/>
      <c r="C407" s="5"/>
      <c r="D407" s="48"/>
      <c r="E407" s="50"/>
      <c r="F407" s="5"/>
      <c r="G407" s="5"/>
      <c r="H407" s="5"/>
      <c r="I407" s="5"/>
      <c r="J407" s="5"/>
      <c r="K407" s="50"/>
      <c r="L407" s="50"/>
      <c r="M407" s="50"/>
      <c r="N407" s="50"/>
      <c r="O407" s="50"/>
      <c r="P407" s="50"/>
      <c r="Q407" s="50"/>
      <c r="R407" s="50"/>
      <c r="S407" s="50"/>
      <c r="T407" s="50"/>
      <c r="U407" s="50"/>
      <c r="V407" s="50"/>
      <c r="W407" s="50"/>
      <c r="X407" s="50"/>
      <c r="Y407" s="50"/>
      <c r="Z407" s="50"/>
      <c r="AA407" s="50"/>
      <c r="AB407" s="50"/>
    </row>
    <row r="408" customFormat="false" ht="15.75" hidden="false" customHeight="false" outlineLevel="0" collapsed="false">
      <c r="A408" s="50"/>
      <c r="B408" s="50"/>
      <c r="C408" s="5"/>
      <c r="D408" s="48"/>
      <c r="E408" s="50"/>
      <c r="F408" s="5"/>
      <c r="G408" s="5"/>
      <c r="H408" s="5"/>
      <c r="I408" s="5"/>
      <c r="J408" s="5"/>
      <c r="K408" s="50"/>
      <c r="L408" s="50"/>
      <c r="M408" s="50"/>
      <c r="N408" s="50"/>
      <c r="O408" s="50"/>
      <c r="P408" s="50"/>
      <c r="Q408" s="50"/>
      <c r="R408" s="50"/>
      <c r="S408" s="50"/>
      <c r="T408" s="50"/>
      <c r="U408" s="50"/>
      <c r="V408" s="50"/>
      <c r="W408" s="50"/>
      <c r="X408" s="50"/>
      <c r="Y408" s="50"/>
      <c r="Z408" s="50"/>
      <c r="AA408" s="50"/>
      <c r="AB408" s="50"/>
    </row>
    <row r="409" customFormat="false" ht="15.75" hidden="false" customHeight="false" outlineLevel="0" collapsed="false">
      <c r="A409" s="50"/>
      <c r="B409" s="50"/>
      <c r="C409" s="5"/>
      <c r="D409" s="48"/>
      <c r="E409" s="50"/>
      <c r="F409" s="5"/>
      <c r="G409" s="5"/>
      <c r="H409" s="5"/>
      <c r="I409" s="5"/>
      <c r="J409" s="5"/>
      <c r="K409" s="50"/>
      <c r="L409" s="50"/>
      <c r="M409" s="50"/>
      <c r="N409" s="50"/>
      <c r="O409" s="50"/>
      <c r="P409" s="50"/>
      <c r="Q409" s="50"/>
      <c r="R409" s="50"/>
      <c r="S409" s="50"/>
      <c r="T409" s="50"/>
      <c r="U409" s="50"/>
      <c r="V409" s="50"/>
      <c r="W409" s="50"/>
      <c r="X409" s="50"/>
      <c r="Y409" s="50"/>
      <c r="Z409" s="50"/>
      <c r="AA409" s="50"/>
      <c r="AB409" s="50"/>
    </row>
    <row r="410" customFormat="false" ht="15.75" hidden="false" customHeight="false" outlineLevel="0" collapsed="false">
      <c r="A410" s="50"/>
      <c r="B410" s="50"/>
      <c r="C410" s="5"/>
      <c r="D410" s="48"/>
      <c r="E410" s="50"/>
      <c r="F410" s="5"/>
      <c r="G410" s="5"/>
      <c r="H410" s="5"/>
      <c r="I410" s="5"/>
      <c r="J410" s="5"/>
      <c r="K410" s="50"/>
      <c r="L410" s="50"/>
      <c r="M410" s="50"/>
      <c r="N410" s="50"/>
      <c r="O410" s="50"/>
      <c r="P410" s="50"/>
      <c r="Q410" s="50"/>
      <c r="R410" s="50"/>
      <c r="S410" s="50"/>
      <c r="T410" s="50"/>
      <c r="U410" s="50"/>
      <c r="V410" s="50"/>
      <c r="W410" s="50"/>
      <c r="X410" s="50"/>
      <c r="Y410" s="50"/>
      <c r="Z410" s="50"/>
      <c r="AA410" s="50"/>
      <c r="AB410" s="50"/>
    </row>
    <row r="411" customFormat="false" ht="15.75" hidden="false" customHeight="false" outlineLevel="0" collapsed="false">
      <c r="A411" s="50"/>
      <c r="B411" s="50"/>
      <c r="C411" s="5"/>
      <c r="D411" s="48"/>
      <c r="E411" s="50"/>
      <c r="F411" s="5"/>
      <c r="G411" s="5"/>
      <c r="H411" s="5"/>
      <c r="I411" s="5"/>
      <c r="J411" s="5"/>
      <c r="K411" s="50"/>
      <c r="L411" s="50"/>
      <c r="M411" s="50"/>
      <c r="N411" s="50"/>
      <c r="O411" s="50"/>
      <c r="P411" s="50"/>
      <c r="Q411" s="50"/>
      <c r="R411" s="50"/>
      <c r="S411" s="50"/>
      <c r="T411" s="50"/>
      <c r="U411" s="50"/>
      <c r="V411" s="50"/>
      <c r="W411" s="50"/>
      <c r="X411" s="50"/>
      <c r="Y411" s="50"/>
      <c r="Z411" s="50"/>
      <c r="AA411" s="50"/>
      <c r="AB411" s="50"/>
    </row>
    <row r="412" customFormat="false" ht="15.75" hidden="false" customHeight="false" outlineLevel="0" collapsed="false">
      <c r="A412" s="50"/>
      <c r="B412" s="50"/>
      <c r="C412" s="5"/>
      <c r="D412" s="48"/>
      <c r="E412" s="50"/>
      <c r="F412" s="5"/>
      <c r="G412" s="5"/>
      <c r="H412" s="5"/>
      <c r="I412" s="5"/>
      <c r="J412" s="5"/>
      <c r="K412" s="50"/>
      <c r="L412" s="50"/>
      <c r="M412" s="50"/>
      <c r="N412" s="50"/>
      <c r="O412" s="50"/>
      <c r="P412" s="50"/>
      <c r="Q412" s="50"/>
      <c r="R412" s="50"/>
      <c r="S412" s="50"/>
      <c r="T412" s="50"/>
      <c r="U412" s="50"/>
      <c r="V412" s="50"/>
      <c r="W412" s="50"/>
      <c r="X412" s="50"/>
      <c r="Y412" s="50"/>
      <c r="Z412" s="50"/>
      <c r="AA412" s="50"/>
      <c r="AB412" s="50"/>
    </row>
    <row r="413" customFormat="false" ht="15.75" hidden="false" customHeight="false" outlineLevel="0" collapsed="false">
      <c r="A413" s="50"/>
      <c r="B413" s="50"/>
      <c r="C413" s="5"/>
      <c r="D413" s="48"/>
      <c r="E413" s="50"/>
      <c r="F413" s="5"/>
      <c r="G413" s="5"/>
      <c r="H413" s="5"/>
      <c r="I413" s="5"/>
      <c r="J413" s="5"/>
      <c r="K413" s="50"/>
      <c r="L413" s="50"/>
      <c r="M413" s="50"/>
      <c r="N413" s="50"/>
      <c r="O413" s="50"/>
      <c r="P413" s="50"/>
      <c r="Q413" s="50"/>
      <c r="R413" s="50"/>
      <c r="S413" s="50"/>
      <c r="T413" s="50"/>
      <c r="U413" s="50"/>
      <c r="V413" s="50"/>
      <c r="W413" s="50"/>
      <c r="X413" s="50"/>
      <c r="Y413" s="50"/>
      <c r="Z413" s="50"/>
      <c r="AA413" s="50"/>
      <c r="AB413" s="50"/>
    </row>
    <row r="414" customFormat="false" ht="15.75" hidden="false" customHeight="false" outlineLevel="0" collapsed="false">
      <c r="A414" s="50"/>
      <c r="B414" s="50"/>
      <c r="C414" s="5"/>
      <c r="D414" s="48"/>
      <c r="E414" s="50"/>
      <c r="F414" s="5"/>
      <c r="G414" s="5"/>
      <c r="H414" s="5"/>
      <c r="I414" s="5"/>
      <c r="J414" s="5"/>
      <c r="K414" s="50"/>
      <c r="L414" s="50"/>
      <c r="M414" s="50"/>
      <c r="N414" s="50"/>
      <c r="O414" s="50"/>
      <c r="P414" s="50"/>
      <c r="Q414" s="50"/>
      <c r="R414" s="50"/>
      <c r="S414" s="50"/>
      <c r="T414" s="50"/>
      <c r="U414" s="50"/>
      <c r="V414" s="50"/>
      <c r="W414" s="50"/>
      <c r="X414" s="50"/>
      <c r="Y414" s="50"/>
      <c r="Z414" s="50"/>
      <c r="AA414" s="50"/>
      <c r="AB414" s="50"/>
    </row>
    <row r="415" customFormat="false" ht="15.75" hidden="false" customHeight="false" outlineLevel="0" collapsed="false">
      <c r="A415" s="50"/>
      <c r="B415" s="50"/>
      <c r="C415" s="5"/>
      <c r="D415" s="48"/>
      <c r="E415" s="50"/>
      <c r="F415" s="5"/>
      <c r="G415" s="5"/>
      <c r="H415" s="5"/>
      <c r="I415" s="5"/>
      <c r="J415" s="5"/>
      <c r="K415" s="50"/>
      <c r="L415" s="50"/>
      <c r="M415" s="50"/>
      <c r="N415" s="50"/>
      <c r="O415" s="50"/>
      <c r="P415" s="50"/>
      <c r="Q415" s="50"/>
      <c r="R415" s="50"/>
      <c r="S415" s="50"/>
      <c r="T415" s="50"/>
      <c r="U415" s="50"/>
      <c r="V415" s="50"/>
      <c r="W415" s="50"/>
      <c r="X415" s="50"/>
      <c r="Y415" s="50"/>
      <c r="Z415" s="50"/>
      <c r="AA415" s="50"/>
      <c r="AB415" s="50"/>
    </row>
    <row r="416" customFormat="false" ht="15.75" hidden="false" customHeight="false" outlineLevel="0" collapsed="false">
      <c r="A416" s="50"/>
      <c r="B416" s="50"/>
      <c r="C416" s="5"/>
      <c r="D416" s="48"/>
      <c r="E416" s="50"/>
      <c r="F416" s="5"/>
      <c r="G416" s="5"/>
      <c r="H416" s="5"/>
      <c r="I416" s="5"/>
      <c r="J416" s="5"/>
      <c r="K416" s="50"/>
      <c r="L416" s="50"/>
      <c r="M416" s="50"/>
      <c r="N416" s="50"/>
      <c r="O416" s="50"/>
      <c r="P416" s="50"/>
      <c r="Q416" s="50"/>
      <c r="R416" s="50"/>
      <c r="S416" s="50"/>
      <c r="T416" s="50"/>
      <c r="U416" s="50"/>
      <c r="V416" s="50"/>
      <c r="W416" s="50"/>
      <c r="X416" s="50"/>
      <c r="Y416" s="50"/>
      <c r="Z416" s="50"/>
      <c r="AA416" s="50"/>
      <c r="AB416" s="50"/>
    </row>
    <row r="417" customFormat="false" ht="15.75" hidden="false" customHeight="false" outlineLevel="0" collapsed="false">
      <c r="A417" s="50"/>
      <c r="B417" s="50"/>
      <c r="C417" s="5"/>
      <c r="D417" s="48"/>
      <c r="E417" s="50"/>
      <c r="F417" s="5"/>
      <c r="G417" s="5"/>
      <c r="H417" s="5"/>
      <c r="I417" s="5"/>
      <c r="J417" s="5"/>
      <c r="K417" s="50"/>
      <c r="L417" s="50"/>
      <c r="M417" s="50"/>
      <c r="N417" s="50"/>
      <c r="O417" s="50"/>
      <c r="P417" s="50"/>
      <c r="Q417" s="50"/>
      <c r="R417" s="50"/>
      <c r="S417" s="50"/>
      <c r="T417" s="50"/>
      <c r="U417" s="50"/>
      <c r="V417" s="50"/>
      <c r="W417" s="50"/>
      <c r="X417" s="50"/>
      <c r="Y417" s="50"/>
      <c r="Z417" s="50"/>
      <c r="AA417" s="50"/>
      <c r="AB417" s="50"/>
    </row>
    <row r="418" customFormat="false" ht="15.75" hidden="false" customHeight="false" outlineLevel="0" collapsed="false">
      <c r="A418" s="50"/>
      <c r="B418" s="50"/>
      <c r="C418" s="5"/>
      <c r="D418" s="48"/>
      <c r="E418" s="50"/>
      <c r="F418" s="5"/>
      <c r="G418" s="5"/>
      <c r="H418" s="5"/>
      <c r="I418" s="5"/>
      <c r="J418" s="5"/>
      <c r="K418" s="50"/>
      <c r="L418" s="50"/>
      <c r="M418" s="50"/>
      <c r="N418" s="50"/>
      <c r="O418" s="50"/>
      <c r="P418" s="50"/>
      <c r="Q418" s="50"/>
      <c r="R418" s="50"/>
      <c r="S418" s="50"/>
      <c r="T418" s="50"/>
      <c r="U418" s="50"/>
      <c r="V418" s="50"/>
      <c r="W418" s="50"/>
      <c r="X418" s="50"/>
      <c r="Y418" s="50"/>
      <c r="Z418" s="50"/>
      <c r="AA418" s="50"/>
      <c r="AB418" s="50"/>
    </row>
    <row r="419" customFormat="false" ht="15.75" hidden="false" customHeight="false" outlineLevel="0" collapsed="false">
      <c r="A419" s="50"/>
      <c r="B419" s="50"/>
      <c r="C419" s="5"/>
      <c r="D419" s="48"/>
      <c r="E419" s="50"/>
      <c r="F419" s="5"/>
      <c r="G419" s="5"/>
      <c r="H419" s="5"/>
      <c r="I419" s="5"/>
      <c r="J419" s="5"/>
      <c r="K419" s="50"/>
      <c r="L419" s="50"/>
      <c r="M419" s="50"/>
      <c r="N419" s="50"/>
      <c r="O419" s="50"/>
      <c r="P419" s="50"/>
      <c r="Q419" s="50"/>
      <c r="R419" s="50"/>
      <c r="S419" s="50"/>
      <c r="T419" s="50"/>
      <c r="U419" s="50"/>
      <c r="V419" s="50"/>
      <c r="W419" s="50"/>
      <c r="X419" s="50"/>
      <c r="Y419" s="50"/>
      <c r="Z419" s="50"/>
      <c r="AA419" s="50"/>
      <c r="AB419" s="50"/>
    </row>
    <row r="420" customFormat="false" ht="15.75" hidden="false" customHeight="false" outlineLevel="0" collapsed="false">
      <c r="A420" s="50"/>
      <c r="B420" s="50"/>
      <c r="C420" s="5"/>
      <c r="D420" s="48"/>
      <c r="E420" s="50"/>
      <c r="F420" s="5"/>
      <c r="G420" s="5"/>
      <c r="H420" s="5"/>
      <c r="I420" s="5"/>
      <c r="J420" s="5"/>
      <c r="K420" s="50"/>
      <c r="L420" s="50"/>
      <c r="M420" s="50"/>
      <c r="N420" s="50"/>
      <c r="O420" s="50"/>
      <c r="P420" s="50"/>
      <c r="Q420" s="50"/>
      <c r="R420" s="50"/>
      <c r="S420" s="50"/>
      <c r="T420" s="50"/>
      <c r="U420" s="50"/>
      <c r="V420" s="50"/>
      <c r="W420" s="50"/>
      <c r="X420" s="50"/>
      <c r="Y420" s="50"/>
      <c r="Z420" s="50"/>
      <c r="AA420" s="50"/>
      <c r="AB420" s="50"/>
    </row>
    <row r="421" customFormat="false" ht="15.75" hidden="false" customHeight="false" outlineLevel="0" collapsed="false">
      <c r="A421" s="50"/>
      <c r="B421" s="50"/>
      <c r="C421" s="5"/>
      <c r="D421" s="48"/>
      <c r="E421" s="50"/>
      <c r="F421" s="5"/>
      <c r="G421" s="5"/>
      <c r="H421" s="5"/>
      <c r="I421" s="5"/>
      <c r="J421" s="5"/>
      <c r="K421" s="50"/>
      <c r="L421" s="50"/>
      <c r="M421" s="50"/>
      <c r="N421" s="50"/>
      <c r="O421" s="50"/>
      <c r="P421" s="50"/>
      <c r="Q421" s="50"/>
      <c r="R421" s="50"/>
      <c r="S421" s="50"/>
      <c r="T421" s="50"/>
      <c r="U421" s="50"/>
      <c r="V421" s="50"/>
      <c r="W421" s="50"/>
      <c r="X421" s="50"/>
      <c r="Y421" s="50"/>
      <c r="Z421" s="50"/>
      <c r="AA421" s="50"/>
      <c r="AB421" s="50"/>
    </row>
    <row r="422" customFormat="false" ht="15.75" hidden="false" customHeight="false" outlineLevel="0" collapsed="false">
      <c r="A422" s="50"/>
      <c r="B422" s="50"/>
      <c r="C422" s="5"/>
      <c r="D422" s="48"/>
      <c r="E422" s="50"/>
      <c r="F422" s="5"/>
      <c r="G422" s="5"/>
      <c r="H422" s="5"/>
      <c r="I422" s="5"/>
      <c r="J422" s="5"/>
      <c r="K422" s="50"/>
      <c r="L422" s="50"/>
      <c r="M422" s="50"/>
      <c r="N422" s="50"/>
      <c r="O422" s="50"/>
      <c r="P422" s="50"/>
      <c r="Q422" s="50"/>
      <c r="R422" s="50"/>
      <c r="S422" s="50"/>
      <c r="T422" s="50"/>
      <c r="U422" s="50"/>
      <c r="V422" s="50"/>
      <c r="W422" s="50"/>
      <c r="X422" s="50"/>
      <c r="Y422" s="50"/>
      <c r="Z422" s="50"/>
      <c r="AA422" s="50"/>
      <c r="AB422" s="50"/>
    </row>
    <row r="423" customFormat="false" ht="15.75" hidden="false" customHeight="false" outlineLevel="0" collapsed="false">
      <c r="A423" s="50"/>
      <c r="B423" s="50"/>
      <c r="C423" s="5"/>
      <c r="D423" s="48"/>
      <c r="E423" s="50"/>
      <c r="F423" s="5"/>
      <c r="G423" s="5"/>
      <c r="H423" s="5"/>
      <c r="I423" s="5"/>
      <c r="J423" s="5"/>
      <c r="K423" s="50"/>
      <c r="L423" s="50"/>
      <c r="M423" s="50"/>
      <c r="N423" s="50"/>
      <c r="O423" s="50"/>
      <c r="P423" s="50"/>
      <c r="Q423" s="50"/>
      <c r="R423" s="50"/>
      <c r="S423" s="50"/>
      <c r="T423" s="50"/>
      <c r="U423" s="50"/>
      <c r="V423" s="50"/>
      <c r="W423" s="50"/>
      <c r="X423" s="50"/>
      <c r="Y423" s="50"/>
      <c r="Z423" s="50"/>
      <c r="AA423" s="50"/>
      <c r="AB423" s="50"/>
    </row>
    <row r="424" customFormat="false" ht="15.75" hidden="false" customHeight="false" outlineLevel="0" collapsed="false">
      <c r="A424" s="50"/>
      <c r="B424" s="50"/>
      <c r="C424" s="5"/>
      <c r="D424" s="48"/>
      <c r="E424" s="50"/>
      <c r="F424" s="5"/>
      <c r="G424" s="5"/>
      <c r="H424" s="5"/>
      <c r="I424" s="5"/>
      <c r="J424" s="5"/>
      <c r="K424" s="50"/>
      <c r="L424" s="50"/>
      <c r="M424" s="50"/>
      <c r="N424" s="50"/>
      <c r="O424" s="50"/>
      <c r="P424" s="50"/>
      <c r="Q424" s="50"/>
      <c r="R424" s="50"/>
      <c r="S424" s="50"/>
      <c r="T424" s="50"/>
      <c r="U424" s="50"/>
      <c r="V424" s="50"/>
      <c r="W424" s="50"/>
      <c r="X424" s="50"/>
      <c r="Y424" s="50"/>
      <c r="Z424" s="50"/>
      <c r="AA424" s="50"/>
      <c r="AB424" s="50"/>
    </row>
    <row r="425" customFormat="false" ht="15.75" hidden="false" customHeight="false" outlineLevel="0" collapsed="false">
      <c r="A425" s="50"/>
      <c r="B425" s="50"/>
      <c r="C425" s="5"/>
      <c r="D425" s="48"/>
      <c r="E425" s="50"/>
      <c r="F425" s="5"/>
      <c r="G425" s="5"/>
      <c r="H425" s="5"/>
      <c r="I425" s="5"/>
      <c r="J425" s="5"/>
      <c r="K425" s="50"/>
      <c r="L425" s="50"/>
      <c r="M425" s="50"/>
      <c r="N425" s="50"/>
      <c r="O425" s="50"/>
      <c r="P425" s="50"/>
      <c r="Q425" s="50"/>
      <c r="R425" s="50"/>
      <c r="S425" s="50"/>
      <c r="T425" s="50"/>
      <c r="U425" s="50"/>
      <c r="V425" s="50"/>
      <c r="W425" s="50"/>
      <c r="X425" s="50"/>
      <c r="Y425" s="50"/>
      <c r="Z425" s="50"/>
      <c r="AA425" s="50"/>
      <c r="AB425" s="50"/>
    </row>
    <row r="426" customFormat="false" ht="15.75" hidden="false" customHeight="false" outlineLevel="0" collapsed="false">
      <c r="A426" s="50"/>
      <c r="B426" s="50"/>
      <c r="C426" s="5"/>
      <c r="D426" s="48"/>
      <c r="E426" s="50"/>
      <c r="F426" s="5"/>
      <c r="G426" s="5"/>
      <c r="H426" s="5"/>
      <c r="I426" s="5"/>
      <c r="J426" s="5"/>
      <c r="K426" s="50"/>
      <c r="L426" s="50"/>
      <c r="M426" s="50"/>
      <c r="N426" s="50"/>
      <c r="O426" s="50"/>
      <c r="P426" s="50"/>
      <c r="Q426" s="50"/>
      <c r="R426" s="50"/>
      <c r="S426" s="50"/>
      <c r="T426" s="50"/>
      <c r="U426" s="50"/>
      <c r="V426" s="50"/>
      <c r="W426" s="50"/>
      <c r="X426" s="50"/>
      <c r="Y426" s="50"/>
      <c r="Z426" s="50"/>
      <c r="AA426" s="50"/>
      <c r="AB426" s="50"/>
    </row>
    <row r="427" customFormat="false" ht="15.75" hidden="false" customHeight="false" outlineLevel="0" collapsed="false">
      <c r="A427" s="50"/>
      <c r="B427" s="50"/>
      <c r="C427" s="5"/>
      <c r="D427" s="48"/>
      <c r="E427" s="50"/>
      <c r="F427" s="5"/>
      <c r="G427" s="5"/>
      <c r="H427" s="5"/>
      <c r="I427" s="5"/>
      <c r="J427" s="5"/>
      <c r="K427" s="50"/>
      <c r="L427" s="50"/>
      <c r="M427" s="50"/>
      <c r="N427" s="50"/>
      <c r="O427" s="50"/>
      <c r="P427" s="50"/>
      <c r="Q427" s="50"/>
      <c r="R427" s="50"/>
      <c r="S427" s="50"/>
      <c r="T427" s="50"/>
      <c r="U427" s="50"/>
      <c r="V427" s="50"/>
      <c r="W427" s="50"/>
      <c r="X427" s="50"/>
      <c r="Y427" s="50"/>
      <c r="Z427" s="50"/>
      <c r="AA427" s="50"/>
      <c r="AB427" s="50"/>
    </row>
    <row r="428" customFormat="false" ht="15.75" hidden="false" customHeight="false" outlineLevel="0" collapsed="false">
      <c r="A428" s="50"/>
      <c r="B428" s="50"/>
      <c r="C428" s="5"/>
      <c r="D428" s="48"/>
      <c r="E428" s="50"/>
      <c r="F428" s="5"/>
      <c r="G428" s="5"/>
      <c r="H428" s="5"/>
      <c r="I428" s="5"/>
      <c r="J428" s="5"/>
      <c r="K428" s="50"/>
      <c r="L428" s="50"/>
      <c r="M428" s="50"/>
      <c r="N428" s="50"/>
      <c r="O428" s="50"/>
      <c r="P428" s="50"/>
      <c r="Q428" s="50"/>
      <c r="R428" s="50"/>
      <c r="S428" s="50"/>
      <c r="T428" s="50"/>
      <c r="U428" s="50"/>
      <c r="V428" s="50"/>
      <c r="W428" s="50"/>
      <c r="X428" s="50"/>
      <c r="Y428" s="50"/>
      <c r="Z428" s="50"/>
      <c r="AA428" s="50"/>
      <c r="AB428" s="50"/>
    </row>
    <row r="429" customFormat="false" ht="15.75" hidden="false" customHeight="false" outlineLevel="0" collapsed="false">
      <c r="A429" s="50"/>
      <c r="B429" s="50"/>
      <c r="C429" s="5"/>
      <c r="D429" s="48"/>
      <c r="E429" s="50"/>
      <c r="F429" s="5"/>
      <c r="G429" s="5"/>
      <c r="H429" s="5"/>
      <c r="I429" s="5"/>
      <c r="J429" s="5"/>
      <c r="K429" s="50"/>
      <c r="L429" s="50"/>
      <c r="M429" s="50"/>
      <c r="N429" s="50"/>
      <c r="O429" s="50"/>
      <c r="P429" s="50"/>
      <c r="Q429" s="50"/>
      <c r="R429" s="50"/>
      <c r="S429" s="50"/>
      <c r="T429" s="50"/>
      <c r="U429" s="50"/>
      <c r="V429" s="50"/>
      <c r="W429" s="50"/>
      <c r="X429" s="50"/>
      <c r="Y429" s="50"/>
      <c r="Z429" s="50"/>
      <c r="AA429" s="50"/>
      <c r="AB429" s="50"/>
    </row>
    <row r="430" customFormat="false" ht="15.75" hidden="false" customHeight="false" outlineLevel="0" collapsed="false">
      <c r="A430" s="50"/>
      <c r="B430" s="50"/>
      <c r="C430" s="5"/>
      <c r="D430" s="48"/>
      <c r="E430" s="50"/>
      <c r="F430" s="5"/>
      <c r="G430" s="5"/>
      <c r="H430" s="5"/>
      <c r="I430" s="5"/>
      <c r="J430" s="5"/>
      <c r="K430" s="50"/>
      <c r="L430" s="50"/>
      <c r="M430" s="50"/>
      <c r="N430" s="50"/>
      <c r="O430" s="50"/>
      <c r="P430" s="50"/>
      <c r="Q430" s="50"/>
      <c r="R430" s="50"/>
      <c r="S430" s="50"/>
      <c r="T430" s="50"/>
      <c r="U430" s="50"/>
      <c r="V430" s="50"/>
      <c r="W430" s="50"/>
      <c r="X430" s="50"/>
      <c r="Y430" s="50"/>
      <c r="Z430" s="50"/>
      <c r="AA430" s="50"/>
      <c r="AB430" s="50"/>
    </row>
    <row r="431" customFormat="false" ht="15.75" hidden="false" customHeight="false" outlineLevel="0" collapsed="false">
      <c r="A431" s="50"/>
      <c r="B431" s="50"/>
      <c r="C431" s="5"/>
      <c r="D431" s="48"/>
      <c r="E431" s="50"/>
      <c r="F431" s="5"/>
      <c r="G431" s="5"/>
      <c r="H431" s="5"/>
      <c r="I431" s="5"/>
      <c r="J431" s="5"/>
      <c r="K431" s="50"/>
      <c r="L431" s="50"/>
      <c r="M431" s="50"/>
      <c r="N431" s="50"/>
      <c r="O431" s="50"/>
      <c r="P431" s="50"/>
      <c r="Q431" s="50"/>
      <c r="R431" s="50"/>
      <c r="S431" s="50"/>
      <c r="T431" s="50"/>
      <c r="U431" s="50"/>
      <c r="V431" s="50"/>
      <c r="W431" s="50"/>
      <c r="X431" s="50"/>
      <c r="Y431" s="50"/>
      <c r="Z431" s="50"/>
      <c r="AA431" s="50"/>
      <c r="AB431" s="50"/>
    </row>
    <row r="432" customFormat="false" ht="15.75" hidden="false" customHeight="false" outlineLevel="0" collapsed="false">
      <c r="A432" s="50"/>
      <c r="B432" s="50"/>
      <c r="C432" s="5"/>
      <c r="D432" s="48"/>
      <c r="E432" s="50"/>
      <c r="F432" s="5"/>
      <c r="G432" s="5"/>
      <c r="H432" s="5"/>
      <c r="I432" s="5"/>
      <c r="J432" s="5"/>
      <c r="K432" s="50"/>
      <c r="L432" s="50"/>
      <c r="M432" s="50"/>
      <c r="N432" s="50"/>
      <c r="O432" s="50"/>
      <c r="P432" s="50"/>
      <c r="Q432" s="50"/>
      <c r="R432" s="50"/>
      <c r="S432" s="50"/>
      <c r="T432" s="50"/>
      <c r="U432" s="50"/>
      <c r="V432" s="50"/>
      <c r="W432" s="50"/>
      <c r="X432" s="50"/>
      <c r="Y432" s="50"/>
      <c r="Z432" s="50"/>
      <c r="AA432" s="50"/>
      <c r="AB432" s="50"/>
    </row>
    <row r="433" customFormat="false" ht="15.75" hidden="false" customHeight="false" outlineLevel="0" collapsed="false">
      <c r="A433" s="50"/>
      <c r="B433" s="50"/>
      <c r="C433" s="5"/>
      <c r="D433" s="48"/>
      <c r="E433" s="50"/>
      <c r="F433" s="5"/>
      <c r="G433" s="5"/>
      <c r="H433" s="5"/>
      <c r="I433" s="5"/>
      <c r="J433" s="5"/>
      <c r="K433" s="50"/>
      <c r="L433" s="50"/>
      <c r="M433" s="50"/>
      <c r="N433" s="50"/>
      <c r="O433" s="50"/>
      <c r="P433" s="50"/>
      <c r="Q433" s="50"/>
      <c r="R433" s="50"/>
      <c r="S433" s="50"/>
      <c r="T433" s="50"/>
      <c r="U433" s="50"/>
      <c r="V433" s="50"/>
      <c r="W433" s="50"/>
      <c r="X433" s="50"/>
      <c r="Y433" s="50"/>
      <c r="Z433" s="50"/>
      <c r="AA433" s="50"/>
      <c r="AB433" s="50"/>
    </row>
    <row r="434" customFormat="false" ht="15.75" hidden="false" customHeight="false" outlineLevel="0" collapsed="false">
      <c r="A434" s="50"/>
      <c r="B434" s="50"/>
      <c r="C434" s="5"/>
      <c r="D434" s="48"/>
      <c r="E434" s="50"/>
      <c r="F434" s="5"/>
      <c r="G434" s="5"/>
      <c r="H434" s="5"/>
      <c r="I434" s="5"/>
      <c r="J434" s="5"/>
      <c r="K434" s="50"/>
      <c r="L434" s="50"/>
      <c r="M434" s="50"/>
      <c r="N434" s="50"/>
      <c r="O434" s="50"/>
      <c r="P434" s="50"/>
      <c r="Q434" s="50"/>
      <c r="R434" s="50"/>
      <c r="S434" s="50"/>
      <c r="T434" s="50"/>
      <c r="U434" s="50"/>
      <c r="V434" s="50"/>
      <c r="W434" s="50"/>
      <c r="X434" s="50"/>
      <c r="Y434" s="50"/>
      <c r="Z434" s="50"/>
      <c r="AA434" s="50"/>
      <c r="AB434" s="50"/>
    </row>
    <row r="435" customFormat="false" ht="15.75" hidden="false" customHeight="false" outlineLevel="0" collapsed="false">
      <c r="A435" s="50"/>
      <c r="B435" s="50"/>
      <c r="C435" s="5"/>
      <c r="D435" s="48"/>
      <c r="E435" s="50"/>
      <c r="F435" s="5"/>
      <c r="G435" s="5"/>
      <c r="H435" s="5"/>
      <c r="I435" s="5"/>
      <c r="J435" s="5"/>
      <c r="K435" s="50"/>
      <c r="L435" s="50"/>
      <c r="M435" s="50"/>
      <c r="N435" s="50"/>
      <c r="O435" s="50"/>
      <c r="P435" s="50"/>
      <c r="Q435" s="50"/>
      <c r="R435" s="50"/>
      <c r="S435" s="50"/>
      <c r="T435" s="50"/>
      <c r="U435" s="50"/>
      <c r="V435" s="50"/>
      <c r="W435" s="50"/>
      <c r="X435" s="50"/>
      <c r="Y435" s="50"/>
      <c r="Z435" s="50"/>
      <c r="AA435" s="50"/>
      <c r="AB435" s="50"/>
    </row>
    <row r="436" customFormat="false" ht="15.75" hidden="false" customHeight="false" outlineLevel="0" collapsed="false">
      <c r="A436" s="50"/>
      <c r="B436" s="50"/>
      <c r="C436" s="5"/>
      <c r="D436" s="48"/>
      <c r="E436" s="50"/>
      <c r="F436" s="5"/>
      <c r="G436" s="5"/>
      <c r="H436" s="5"/>
      <c r="I436" s="5"/>
      <c r="J436" s="5"/>
      <c r="K436" s="50"/>
      <c r="L436" s="50"/>
      <c r="M436" s="50"/>
      <c r="N436" s="50"/>
      <c r="O436" s="50"/>
      <c r="P436" s="50"/>
      <c r="Q436" s="50"/>
      <c r="R436" s="50"/>
      <c r="S436" s="50"/>
      <c r="T436" s="50"/>
      <c r="U436" s="50"/>
      <c r="V436" s="50"/>
      <c r="W436" s="50"/>
      <c r="X436" s="50"/>
      <c r="Y436" s="50"/>
      <c r="Z436" s="50"/>
      <c r="AA436" s="50"/>
      <c r="AB436" s="50"/>
    </row>
    <row r="437" customFormat="false" ht="15.75" hidden="false" customHeight="false" outlineLevel="0" collapsed="false">
      <c r="A437" s="50"/>
      <c r="B437" s="50"/>
      <c r="C437" s="5"/>
      <c r="D437" s="48"/>
      <c r="E437" s="50"/>
      <c r="F437" s="5"/>
      <c r="G437" s="5"/>
      <c r="H437" s="5"/>
      <c r="I437" s="5"/>
      <c r="J437" s="5"/>
      <c r="K437" s="50"/>
      <c r="L437" s="50"/>
      <c r="M437" s="50"/>
      <c r="N437" s="50"/>
      <c r="O437" s="50"/>
      <c r="P437" s="50"/>
      <c r="Q437" s="50"/>
      <c r="R437" s="50"/>
      <c r="S437" s="50"/>
      <c r="T437" s="50"/>
      <c r="U437" s="50"/>
      <c r="V437" s="50"/>
      <c r="W437" s="50"/>
      <c r="X437" s="50"/>
      <c r="Y437" s="50"/>
      <c r="Z437" s="50"/>
      <c r="AA437" s="50"/>
      <c r="AB437" s="50"/>
    </row>
    <row r="438" customFormat="false" ht="15.75" hidden="false" customHeight="false" outlineLevel="0" collapsed="false">
      <c r="A438" s="50"/>
      <c r="B438" s="50"/>
      <c r="C438" s="5"/>
      <c r="D438" s="48"/>
      <c r="E438" s="50"/>
      <c r="F438" s="5"/>
      <c r="G438" s="5"/>
      <c r="H438" s="5"/>
      <c r="I438" s="5"/>
      <c r="J438" s="5"/>
      <c r="K438" s="50"/>
      <c r="L438" s="50"/>
      <c r="M438" s="50"/>
      <c r="N438" s="50"/>
      <c r="O438" s="50"/>
      <c r="P438" s="50"/>
      <c r="Q438" s="50"/>
      <c r="R438" s="50"/>
      <c r="S438" s="50"/>
      <c r="T438" s="50"/>
      <c r="U438" s="50"/>
      <c r="V438" s="50"/>
      <c r="W438" s="50"/>
      <c r="X438" s="50"/>
      <c r="Y438" s="50"/>
      <c r="Z438" s="50"/>
      <c r="AA438" s="50"/>
      <c r="AB438" s="50"/>
    </row>
    <row r="439" customFormat="false" ht="15.75" hidden="false" customHeight="false" outlineLevel="0" collapsed="false">
      <c r="A439" s="50"/>
      <c r="B439" s="50"/>
      <c r="C439" s="5"/>
      <c r="D439" s="48"/>
      <c r="E439" s="50"/>
      <c r="F439" s="5"/>
      <c r="G439" s="5"/>
      <c r="H439" s="5"/>
      <c r="I439" s="5"/>
      <c r="J439" s="5"/>
      <c r="K439" s="50"/>
      <c r="L439" s="50"/>
      <c r="M439" s="50"/>
      <c r="N439" s="50"/>
      <c r="O439" s="50"/>
      <c r="P439" s="50"/>
      <c r="Q439" s="50"/>
      <c r="R439" s="50"/>
      <c r="S439" s="50"/>
      <c r="T439" s="50"/>
      <c r="U439" s="50"/>
      <c r="V439" s="50"/>
      <c r="W439" s="50"/>
      <c r="X439" s="50"/>
      <c r="Y439" s="50"/>
      <c r="Z439" s="50"/>
      <c r="AA439" s="50"/>
      <c r="AB439" s="50"/>
    </row>
    <row r="440" customFormat="false" ht="15.75" hidden="false" customHeight="false" outlineLevel="0" collapsed="false">
      <c r="A440" s="50"/>
      <c r="B440" s="50"/>
      <c r="C440" s="5"/>
      <c r="D440" s="48"/>
      <c r="E440" s="50"/>
      <c r="F440" s="5"/>
      <c r="G440" s="5"/>
      <c r="H440" s="5"/>
      <c r="I440" s="5"/>
      <c r="J440" s="5"/>
      <c r="K440" s="50"/>
      <c r="L440" s="50"/>
      <c r="M440" s="50"/>
      <c r="N440" s="50"/>
      <c r="O440" s="50"/>
      <c r="P440" s="50"/>
      <c r="Q440" s="50"/>
      <c r="R440" s="50"/>
      <c r="S440" s="50"/>
      <c r="T440" s="50"/>
      <c r="U440" s="50"/>
      <c r="V440" s="50"/>
      <c r="W440" s="50"/>
      <c r="X440" s="50"/>
      <c r="Y440" s="50"/>
      <c r="Z440" s="50"/>
      <c r="AA440" s="50"/>
      <c r="AB440" s="50"/>
    </row>
    <row r="441" customFormat="false" ht="15.75" hidden="false" customHeight="false" outlineLevel="0" collapsed="false">
      <c r="A441" s="50"/>
      <c r="B441" s="50"/>
      <c r="C441" s="5"/>
      <c r="D441" s="48"/>
      <c r="E441" s="50"/>
      <c r="F441" s="5"/>
      <c r="G441" s="5"/>
      <c r="H441" s="5"/>
      <c r="I441" s="5"/>
      <c r="J441" s="5"/>
      <c r="K441" s="50"/>
      <c r="L441" s="50"/>
      <c r="M441" s="50"/>
      <c r="N441" s="50"/>
      <c r="O441" s="50"/>
      <c r="P441" s="50"/>
      <c r="Q441" s="50"/>
      <c r="R441" s="50"/>
      <c r="S441" s="50"/>
      <c r="T441" s="50"/>
      <c r="U441" s="50"/>
      <c r="V441" s="50"/>
      <c r="W441" s="50"/>
      <c r="X441" s="50"/>
      <c r="Y441" s="50"/>
      <c r="Z441" s="50"/>
      <c r="AA441" s="50"/>
      <c r="AB441" s="50"/>
    </row>
    <row r="442" customFormat="false" ht="15.75" hidden="false" customHeight="false" outlineLevel="0" collapsed="false">
      <c r="A442" s="50"/>
      <c r="B442" s="50"/>
      <c r="C442" s="5"/>
      <c r="D442" s="48"/>
      <c r="E442" s="50"/>
      <c r="F442" s="5"/>
      <c r="G442" s="5"/>
      <c r="H442" s="5"/>
      <c r="I442" s="5"/>
      <c r="J442" s="5"/>
      <c r="K442" s="50"/>
      <c r="L442" s="50"/>
      <c r="M442" s="50"/>
      <c r="N442" s="50"/>
      <c r="O442" s="50"/>
      <c r="P442" s="50"/>
      <c r="Q442" s="50"/>
      <c r="R442" s="50"/>
      <c r="S442" s="50"/>
      <c r="T442" s="50"/>
      <c r="U442" s="50"/>
      <c r="V442" s="50"/>
      <c r="W442" s="50"/>
      <c r="X442" s="50"/>
      <c r="Y442" s="50"/>
      <c r="Z442" s="50"/>
      <c r="AA442" s="50"/>
      <c r="AB442" s="50"/>
    </row>
    <row r="443" customFormat="false" ht="15.75" hidden="false" customHeight="false" outlineLevel="0" collapsed="false">
      <c r="A443" s="50"/>
      <c r="B443" s="50"/>
      <c r="C443" s="5"/>
      <c r="D443" s="48"/>
      <c r="E443" s="50"/>
      <c r="F443" s="5"/>
      <c r="G443" s="5"/>
      <c r="H443" s="5"/>
      <c r="I443" s="5"/>
      <c r="J443" s="5"/>
      <c r="K443" s="50"/>
      <c r="L443" s="50"/>
      <c r="M443" s="50"/>
      <c r="N443" s="50"/>
      <c r="O443" s="50"/>
      <c r="P443" s="50"/>
      <c r="Q443" s="50"/>
      <c r="R443" s="50"/>
      <c r="S443" s="50"/>
      <c r="T443" s="50"/>
      <c r="U443" s="50"/>
      <c r="V443" s="50"/>
      <c r="W443" s="50"/>
      <c r="X443" s="50"/>
      <c r="Y443" s="50"/>
      <c r="Z443" s="50"/>
      <c r="AA443" s="50"/>
      <c r="AB443" s="50"/>
    </row>
    <row r="444" customFormat="false" ht="15.75" hidden="false" customHeight="false" outlineLevel="0" collapsed="false">
      <c r="A444" s="50"/>
      <c r="B444" s="50"/>
      <c r="C444" s="5"/>
      <c r="D444" s="48"/>
      <c r="E444" s="50"/>
      <c r="F444" s="5"/>
      <c r="G444" s="5"/>
      <c r="H444" s="5"/>
      <c r="I444" s="5"/>
      <c r="J444" s="5"/>
      <c r="K444" s="50"/>
      <c r="L444" s="50"/>
      <c r="M444" s="50"/>
      <c r="N444" s="50"/>
      <c r="O444" s="50"/>
      <c r="P444" s="50"/>
      <c r="Q444" s="50"/>
      <c r="R444" s="50"/>
      <c r="S444" s="50"/>
      <c r="T444" s="50"/>
      <c r="U444" s="50"/>
      <c r="V444" s="50"/>
      <c r="W444" s="50"/>
      <c r="X444" s="50"/>
      <c r="Y444" s="50"/>
      <c r="Z444" s="50"/>
      <c r="AA444" s="50"/>
      <c r="AB444" s="50"/>
    </row>
    <row r="445" customFormat="false" ht="15.75" hidden="false" customHeight="false" outlineLevel="0" collapsed="false">
      <c r="A445" s="50"/>
      <c r="B445" s="50"/>
      <c r="C445" s="5"/>
      <c r="D445" s="48"/>
      <c r="E445" s="50"/>
      <c r="F445" s="5"/>
      <c r="G445" s="5"/>
      <c r="H445" s="5"/>
      <c r="I445" s="5"/>
      <c r="J445" s="5"/>
      <c r="K445" s="50"/>
      <c r="L445" s="50"/>
      <c r="M445" s="50"/>
      <c r="N445" s="50"/>
      <c r="O445" s="50"/>
      <c r="P445" s="50"/>
      <c r="Q445" s="50"/>
      <c r="R445" s="50"/>
      <c r="S445" s="50"/>
      <c r="T445" s="50"/>
      <c r="U445" s="50"/>
      <c r="V445" s="50"/>
      <c r="W445" s="50"/>
      <c r="X445" s="50"/>
      <c r="Y445" s="50"/>
      <c r="Z445" s="50"/>
      <c r="AA445" s="50"/>
      <c r="AB445" s="50"/>
    </row>
    <row r="446" customFormat="false" ht="15.75" hidden="false" customHeight="false" outlineLevel="0" collapsed="false">
      <c r="A446" s="50"/>
      <c r="B446" s="50"/>
      <c r="C446" s="5"/>
      <c r="D446" s="48"/>
      <c r="E446" s="50"/>
      <c r="F446" s="5"/>
      <c r="G446" s="5"/>
      <c r="H446" s="5"/>
      <c r="I446" s="5"/>
      <c r="J446" s="5"/>
      <c r="K446" s="50"/>
      <c r="L446" s="50"/>
      <c r="M446" s="50"/>
      <c r="N446" s="50"/>
      <c r="O446" s="50"/>
      <c r="P446" s="50"/>
      <c r="Q446" s="50"/>
      <c r="R446" s="50"/>
      <c r="S446" s="50"/>
      <c r="T446" s="50"/>
      <c r="U446" s="50"/>
      <c r="V446" s="50"/>
      <c r="W446" s="50"/>
      <c r="X446" s="50"/>
      <c r="Y446" s="50"/>
      <c r="Z446" s="50"/>
      <c r="AA446" s="50"/>
      <c r="AB446" s="50"/>
    </row>
    <row r="447" customFormat="false" ht="15.75" hidden="false" customHeight="false" outlineLevel="0" collapsed="false">
      <c r="A447" s="50"/>
      <c r="B447" s="50"/>
      <c r="C447" s="5"/>
      <c r="D447" s="48"/>
      <c r="E447" s="50"/>
      <c r="F447" s="5"/>
      <c r="G447" s="5"/>
      <c r="H447" s="5"/>
      <c r="I447" s="5"/>
      <c r="J447" s="5"/>
      <c r="K447" s="50"/>
      <c r="L447" s="50"/>
      <c r="M447" s="50"/>
      <c r="N447" s="50"/>
      <c r="O447" s="50"/>
      <c r="P447" s="50"/>
      <c r="Q447" s="50"/>
      <c r="R447" s="50"/>
      <c r="S447" s="50"/>
      <c r="T447" s="50"/>
      <c r="U447" s="50"/>
      <c r="V447" s="50"/>
      <c r="W447" s="50"/>
      <c r="X447" s="50"/>
      <c r="Y447" s="50"/>
      <c r="Z447" s="50"/>
      <c r="AA447" s="50"/>
      <c r="AB447" s="50"/>
    </row>
    <row r="448" customFormat="false" ht="15.75" hidden="false" customHeight="false" outlineLevel="0" collapsed="false">
      <c r="A448" s="50"/>
      <c r="B448" s="50"/>
      <c r="C448" s="5"/>
      <c r="D448" s="48"/>
      <c r="E448" s="50"/>
      <c r="F448" s="5"/>
      <c r="G448" s="5"/>
      <c r="H448" s="5"/>
      <c r="I448" s="5"/>
      <c r="J448" s="5"/>
      <c r="K448" s="50"/>
      <c r="L448" s="50"/>
      <c r="M448" s="50"/>
      <c r="N448" s="50"/>
      <c r="O448" s="50"/>
      <c r="P448" s="50"/>
      <c r="Q448" s="50"/>
      <c r="R448" s="50"/>
      <c r="S448" s="50"/>
      <c r="T448" s="50"/>
      <c r="U448" s="50"/>
      <c r="V448" s="50"/>
      <c r="W448" s="50"/>
      <c r="X448" s="50"/>
      <c r="Y448" s="50"/>
      <c r="Z448" s="50"/>
      <c r="AA448" s="50"/>
      <c r="AB448" s="50"/>
    </row>
    <row r="449" customFormat="false" ht="15.75" hidden="false" customHeight="false" outlineLevel="0" collapsed="false">
      <c r="A449" s="50"/>
      <c r="B449" s="50"/>
      <c r="C449" s="5"/>
      <c r="D449" s="48"/>
      <c r="E449" s="50"/>
      <c r="F449" s="5"/>
      <c r="G449" s="5"/>
      <c r="H449" s="5"/>
      <c r="I449" s="5"/>
      <c r="J449" s="5"/>
      <c r="K449" s="50"/>
      <c r="L449" s="50"/>
      <c r="M449" s="50"/>
      <c r="N449" s="50"/>
      <c r="O449" s="50"/>
      <c r="P449" s="50"/>
      <c r="Q449" s="50"/>
      <c r="R449" s="50"/>
      <c r="S449" s="50"/>
      <c r="T449" s="50"/>
      <c r="U449" s="50"/>
      <c r="V449" s="50"/>
      <c r="W449" s="50"/>
      <c r="X449" s="50"/>
      <c r="Y449" s="50"/>
      <c r="Z449" s="50"/>
      <c r="AA449" s="50"/>
      <c r="AB449" s="50"/>
    </row>
    <row r="450" customFormat="false" ht="15.75" hidden="false" customHeight="false" outlineLevel="0" collapsed="false">
      <c r="A450" s="50"/>
      <c r="B450" s="50"/>
      <c r="C450" s="5"/>
      <c r="D450" s="48"/>
      <c r="E450" s="50"/>
      <c r="F450" s="5"/>
      <c r="G450" s="5"/>
      <c r="H450" s="5"/>
      <c r="I450" s="5"/>
      <c r="J450" s="5"/>
      <c r="K450" s="50"/>
      <c r="L450" s="50"/>
      <c r="M450" s="50"/>
      <c r="N450" s="50"/>
      <c r="O450" s="50"/>
      <c r="P450" s="50"/>
      <c r="Q450" s="50"/>
      <c r="R450" s="50"/>
      <c r="S450" s="50"/>
      <c r="T450" s="50"/>
      <c r="U450" s="50"/>
      <c r="V450" s="50"/>
      <c r="W450" s="50"/>
      <c r="X450" s="50"/>
      <c r="Y450" s="50"/>
      <c r="Z450" s="50"/>
      <c r="AA450" s="50"/>
      <c r="AB450" s="50"/>
    </row>
    <row r="451" customFormat="false" ht="15.75" hidden="false" customHeight="false" outlineLevel="0" collapsed="false">
      <c r="A451" s="50"/>
      <c r="B451" s="50"/>
      <c r="C451" s="5"/>
      <c r="D451" s="48"/>
      <c r="E451" s="50"/>
      <c r="F451" s="5"/>
      <c r="G451" s="5"/>
      <c r="H451" s="5"/>
      <c r="I451" s="5"/>
      <c r="J451" s="5"/>
      <c r="K451" s="50"/>
      <c r="L451" s="50"/>
      <c r="M451" s="50"/>
      <c r="N451" s="50"/>
      <c r="O451" s="50"/>
      <c r="P451" s="50"/>
      <c r="Q451" s="50"/>
      <c r="R451" s="50"/>
      <c r="S451" s="50"/>
      <c r="T451" s="50"/>
      <c r="U451" s="50"/>
      <c r="V451" s="50"/>
      <c r="W451" s="50"/>
      <c r="X451" s="50"/>
      <c r="Y451" s="50"/>
      <c r="Z451" s="50"/>
      <c r="AA451" s="50"/>
      <c r="AB451" s="50"/>
    </row>
    <row r="452" customFormat="false" ht="15.75" hidden="false" customHeight="false" outlineLevel="0" collapsed="false">
      <c r="A452" s="50"/>
      <c r="B452" s="50"/>
      <c r="C452" s="5"/>
      <c r="D452" s="48"/>
      <c r="E452" s="50"/>
      <c r="F452" s="5"/>
      <c r="G452" s="5"/>
      <c r="H452" s="5"/>
      <c r="I452" s="5"/>
      <c r="J452" s="5"/>
      <c r="K452" s="50"/>
      <c r="L452" s="50"/>
      <c r="M452" s="50"/>
      <c r="N452" s="50"/>
      <c r="O452" s="50"/>
      <c r="P452" s="50"/>
      <c r="Q452" s="50"/>
      <c r="R452" s="50"/>
      <c r="S452" s="50"/>
      <c r="T452" s="50"/>
      <c r="U452" s="50"/>
      <c r="V452" s="50"/>
      <c r="W452" s="50"/>
      <c r="X452" s="50"/>
      <c r="Y452" s="50"/>
      <c r="Z452" s="50"/>
      <c r="AA452" s="50"/>
      <c r="AB452" s="50"/>
    </row>
    <row r="453" customFormat="false" ht="15.75" hidden="false" customHeight="false" outlineLevel="0" collapsed="false">
      <c r="A453" s="50"/>
      <c r="B453" s="50"/>
      <c r="C453" s="5"/>
      <c r="D453" s="48"/>
      <c r="E453" s="50"/>
      <c r="F453" s="5"/>
      <c r="G453" s="5"/>
      <c r="H453" s="5"/>
      <c r="I453" s="5"/>
      <c r="J453" s="5"/>
      <c r="K453" s="50"/>
      <c r="L453" s="50"/>
      <c r="M453" s="50"/>
      <c r="N453" s="50"/>
      <c r="O453" s="50"/>
      <c r="P453" s="50"/>
      <c r="Q453" s="50"/>
      <c r="R453" s="50"/>
      <c r="S453" s="50"/>
      <c r="T453" s="50"/>
      <c r="U453" s="50"/>
      <c r="V453" s="50"/>
      <c r="W453" s="50"/>
      <c r="X453" s="50"/>
      <c r="Y453" s="50"/>
      <c r="Z453" s="50"/>
      <c r="AA453" s="50"/>
      <c r="AB453" s="50"/>
    </row>
    <row r="454" customFormat="false" ht="15.75" hidden="false" customHeight="false" outlineLevel="0" collapsed="false">
      <c r="A454" s="50"/>
      <c r="B454" s="50"/>
      <c r="C454" s="5"/>
      <c r="D454" s="48"/>
      <c r="E454" s="50"/>
      <c r="F454" s="5"/>
      <c r="G454" s="5"/>
      <c r="H454" s="5"/>
      <c r="I454" s="5"/>
      <c r="J454" s="5"/>
      <c r="K454" s="50"/>
      <c r="L454" s="50"/>
      <c r="M454" s="50"/>
      <c r="N454" s="50"/>
      <c r="O454" s="50"/>
      <c r="P454" s="50"/>
      <c r="Q454" s="50"/>
      <c r="R454" s="50"/>
      <c r="S454" s="50"/>
      <c r="T454" s="50"/>
      <c r="U454" s="50"/>
      <c r="V454" s="50"/>
      <c r="W454" s="50"/>
      <c r="X454" s="50"/>
      <c r="Y454" s="50"/>
      <c r="Z454" s="50"/>
      <c r="AA454" s="50"/>
      <c r="AB454" s="50"/>
    </row>
    <row r="455" customFormat="false" ht="15.75" hidden="false" customHeight="false" outlineLevel="0" collapsed="false">
      <c r="A455" s="50"/>
      <c r="B455" s="50"/>
      <c r="C455" s="5"/>
      <c r="D455" s="48"/>
      <c r="E455" s="50"/>
      <c r="F455" s="5"/>
      <c r="G455" s="5"/>
      <c r="H455" s="5"/>
      <c r="I455" s="5"/>
      <c r="J455" s="5"/>
      <c r="K455" s="50"/>
      <c r="L455" s="50"/>
      <c r="M455" s="50"/>
      <c r="N455" s="50"/>
      <c r="O455" s="50"/>
      <c r="P455" s="50"/>
      <c r="Q455" s="50"/>
      <c r="R455" s="50"/>
      <c r="S455" s="50"/>
      <c r="T455" s="50"/>
      <c r="U455" s="50"/>
      <c r="V455" s="50"/>
      <c r="W455" s="50"/>
      <c r="X455" s="50"/>
      <c r="Y455" s="50"/>
      <c r="Z455" s="50"/>
      <c r="AA455" s="50"/>
      <c r="AB455" s="50"/>
    </row>
    <row r="456" customFormat="false" ht="15.75" hidden="false" customHeight="false" outlineLevel="0" collapsed="false">
      <c r="A456" s="50"/>
      <c r="B456" s="50"/>
      <c r="C456" s="5"/>
      <c r="D456" s="48"/>
      <c r="E456" s="50"/>
      <c r="F456" s="5"/>
      <c r="G456" s="5"/>
      <c r="H456" s="5"/>
      <c r="I456" s="5"/>
      <c r="J456" s="5"/>
      <c r="K456" s="50"/>
      <c r="L456" s="50"/>
      <c r="M456" s="50"/>
      <c r="N456" s="50"/>
      <c r="O456" s="50"/>
      <c r="P456" s="50"/>
      <c r="Q456" s="50"/>
      <c r="R456" s="50"/>
      <c r="S456" s="50"/>
      <c r="T456" s="50"/>
      <c r="U456" s="50"/>
      <c r="V456" s="50"/>
      <c r="W456" s="50"/>
      <c r="X456" s="50"/>
      <c r="Y456" s="50"/>
      <c r="Z456" s="50"/>
      <c r="AA456" s="50"/>
      <c r="AB456" s="50"/>
    </row>
    <row r="457" customFormat="false" ht="15.75" hidden="false" customHeight="false" outlineLevel="0" collapsed="false">
      <c r="A457" s="50"/>
      <c r="B457" s="50"/>
      <c r="C457" s="5"/>
      <c r="D457" s="48"/>
      <c r="E457" s="50"/>
      <c r="F457" s="5"/>
      <c r="G457" s="5"/>
      <c r="H457" s="5"/>
      <c r="I457" s="5"/>
      <c r="J457" s="5"/>
      <c r="K457" s="50"/>
      <c r="L457" s="50"/>
      <c r="M457" s="50"/>
      <c r="N457" s="50"/>
      <c r="O457" s="50"/>
      <c r="P457" s="50"/>
      <c r="Q457" s="50"/>
      <c r="R457" s="50"/>
      <c r="S457" s="50"/>
      <c r="T457" s="50"/>
      <c r="U457" s="50"/>
      <c r="V457" s="50"/>
      <c r="W457" s="50"/>
      <c r="X457" s="50"/>
      <c r="Y457" s="50"/>
      <c r="Z457" s="50"/>
      <c r="AA457" s="50"/>
      <c r="AB457" s="50"/>
    </row>
    <row r="458" customFormat="false" ht="15.75" hidden="false" customHeight="false" outlineLevel="0" collapsed="false">
      <c r="A458" s="50"/>
      <c r="B458" s="50"/>
      <c r="C458" s="5"/>
      <c r="D458" s="48"/>
      <c r="E458" s="50"/>
      <c r="F458" s="5"/>
      <c r="G458" s="5"/>
      <c r="H458" s="5"/>
      <c r="I458" s="5"/>
      <c r="J458" s="5"/>
      <c r="K458" s="50"/>
      <c r="L458" s="50"/>
      <c r="M458" s="50"/>
      <c r="N458" s="50"/>
      <c r="O458" s="50"/>
      <c r="P458" s="50"/>
      <c r="Q458" s="50"/>
      <c r="R458" s="50"/>
      <c r="S458" s="50"/>
      <c r="T458" s="50"/>
      <c r="U458" s="50"/>
      <c r="V458" s="50"/>
      <c r="W458" s="50"/>
      <c r="X458" s="50"/>
      <c r="Y458" s="50"/>
      <c r="Z458" s="50"/>
      <c r="AA458" s="50"/>
      <c r="AB458" s="50"/>
    </row>
    <row r="459" customFormat="false" ht="15.75" hidden="false" customHeight="false" outlineLevel="0" collapsed="false">
      <c r="A459" s="50"/>
      <c r="B459" s="50"/>
      <c r="C459" s="5"/>
      <c r="D459" s="48"/>
      <c r="E459" s="50"/>
      <c r="F459" s="5"/>
      <c r="G459" s="5"/>
      <c r="H459" s="5"/>
      <c r="I459" s="5"/>
      <c r="J459" s="5"/>
      <c r="K459" s="50"/>
      <c r="L459" s="50"/>
      <c r="M459" s="50"/>
      <c r="N459" s="50"/>
      <c r="O459" s="50"/>
      <c r="P459" s="50"/>
      <c r="Q459" s="50"/>
      <c r="R459" s="50"/>
      <c r="S459" s="50"/>
      <c r="T459" s="50"/>
      <c r="U459" s="50"/>
      <c r="V459" s="50"/>
      <c r="W459" s="50"/>
      <c r="X459" s="50"/>
      <c r="Y459" s="50"/>
      <c r="Z459" s="50"/>
      <c r="AA459" s="50"/>
      <c r="AB459" s="50"/>
    </row>
    <row r="460" customFormat="false" ht="15.75" hidden="false" customHeight="false" outlineLevel="0" collapsed="false">
      <c r="A460" s="50"/>
      <c r="B460" s="50"/>
      <c r="C460" s="5"/>
      <c r="D460" s="48"/>
      <c r="E460" s="50"/>
      <c r="F460" s="5"/>
      <c r="G460" s="5"/>
      <c r="H460" s="5"/>
      <c r="I460" s="5"/>
      <c r="J460" s="5"/>
      <c r="K460" s="50"/>
      <c r="L460" s="50"/>
      <c r="M460" s="50"/>
      <c r="N460" s="50"/>
      <c r="O460" s="50"/>
      <c r="P460" s="50"/>
      <c r="Q460" s="50"/>
      <c r="R460" s="50"/>
      <c r="S460" s="50"/>
      <c r="T460" s="50"/>
      <c r="U460" s="50"/>
      <c r="V460" s="50"/>
      <c r="W460" s="50"/>
      <c r="X460" s="50"/>
      <c r="Y460" s="50"/>
      <c r="Z460" s="50"/>
      <c r="AA460" s="50"/>
      <c r="AB460" s="50"/>
    </row>
    <row r="461" customFormat="false" ht="15.75" hidden="false" customHeight="false" outlineLevel="0" collapsed="false">
      <c r="A461" s="50"/>
      <c r="B461" s="50"/>
      <c r="C461" s="5"/>
      <c r="D461" s="48"/>
      <c r="E461" s="50"/>
      <c r="F461" s="5"/>
      <c r="G461" s="5"/>
      <c r="H461" s="5"/>
      <c r="I461" s="5"/>
      <c r="J461" s="5"/>
      <c r="K461" s="50"/>
      <c r="L461" s="50"/>
      <c r="M461" s="50"/>
      <c r="N461" s="50"/>
      <c r="O461" s="50"/>
      <c r="P461" s="50"/>
      <c r="Q461" s="50"/>
      <c r="R461" s="50"/>
      <c r="S461" s="50"/>
      <c r="T461" s="50"/>
      <c r="U461" s="50"/>
      <c r="V461" s="50"/>
      <c r="W461" s="50"/>
      <c r="X461" s="50"/>
      <c r="Y461" s="50"/>
      <c r="Z461" s="50"/>
      <c r="AA461" s="50"/>
      <c r="AB461" s="50"/>
    </row>
    <row r="462" customFormat="false" ht="15.75" hidden="false" customHeight="false" outlineLevel="0" collapsed="false">
      <c r="A462" s="50"/>
      <c r="B462" s="50"/>
      <c r="C462" s="5"/>
      <c r="D462" s="48"/>
      <c r="E462" s="50"/>
      <c r="F462" s="5"/>
      <c r="G462" s="5"/>
      <c r="H462" s="5"/>
      <c r="I462" s="5"/>
      <c r="J462" s="5"/>
      <c r="K462" s="50"/>
      <c r="L462" s="50"/>
      <c r="M462" s="50"/>
      <c r="N462" s="50"/>
      <c r="O462" s="50"/>
      <c r="P462" s="50"/>
      <c r="Q462" s="50"/>
      <c r="R462" s="50"/>
      <c r="S462" s="50"/>
      <c r="T462" s="50"/>
      <c r="U462" s="50"/>
      <c r="V462" s="50"/>
      <c r="W462" s="50"/>
      <c r="X462" s="50"/>
      <c r="Y462" s="50"/>
      <c r="Z462" s="50"/>
      <c r="AA462" s="50"/>
      <c r="AB462" s="50"/>
    </row>
    <row r="463" customFormat="false" ht="15.75" hidden="false" customHeight="false" outlineLevel="0" collapsed="false">
      <c r="A463" s="50"/>
      <c r="B463" s="50"/>
      <c r="C463" s="5"/>
      <c r="D463" s="48"/>
      <c r="E463" s="50"/>
      <c r="F463" s="5"/>
      <c r="G463" s="5"/>
      <c r="H463" s="5"/>
      <c r="I463" s="5"/>
      <c r="J463" s="5"/>
      <c r="K463" s="50"/>
      <c r="L463" s="50"/>
      <c r="M463" s="50"/>
      <c r="N463" s="50"/>
      <c r="O463" s="50"/>
      <c r="P463" s="50"/>
      <c r="Q463" s="50"/>
      <c r="R463" s="50"/>
      <c r="S463" s="50"/>
      <c r="T463" s="50"/>
      <c r="U463" s="50"/>
      <c r="V463" s="50"/>
      <c r="W463" s="50"/>
      <c r="X463" s="50"/>
      <c r="Y463" s="50"/>
      <c r="Z463" s="50"/>
      <c r="AA463" s="50"/>
      <c r="AB463" s="50"/>
    </row>
    <row r="464" customFormat="false" ht="15.75" hidden="false" customHeight="false" outlineLevel="0" collapsed="false">
      <c r="A464" s="50"/>
      <c r="B464" s="50"/>
      <c r="C464" s="5"/>
      <c r="D464" s="48"/>
      <c r="E464" s="50"/>
      <c r="F464" s="5"/>
      <c r="G464" s="5"/>
      <c r="H464" s="5"/>
      <c r="I464" s="5"/>
      <c r="J464" s="5"/>
      <c r="K464" s="50"/>
      <c r="L464" s="50"/>
      <c r="M464" s="50"/>
      <c r="N464" s="50"/>
      <c r="O464" s="50"/>
      <c r="P464" s="50"/>
      <c r="Q464" s="50"/>
      <c r="R464" s="50"/>
      <c r="S464" s="50"/>
      <c r="T464" s="50"/>
      <c r="U464" s="50"/>
      <c r="V464" s="50"/>
      <c r="W464" s="50"/>
      <c r="X464" s="50"/>
      <c r="Y464" s="50"/>
      <c r="Z464" s="50"/>
      <c r="AA464" s="50"/>
      <c r="AB464" s="50"/>
    </row>
    <row r="465" customFormat="false" ht="15.75" hidden="false" customHeight="false" outlineLevel="0" collapsed="false">
      <c r="A465" s="50"/>
      <c r="B465" s="50"/>
      <c r="C465" s="5"/>
      <c r="D465" s="48"/>
      <c r="E465" s="50"/>
      <c r="F465" s="5"/>
      <c r="G465" s="5"/>
      <c r="H465" s="5"/>
      <c r="I465" s="5"/>
      <c r="J465" s="5"/>
      <c r="K465" s="50"/>
      <c r="L465" s="50"/>
      <c r="M465" s="50"/>
      <c r="N465" s="50"/>
      <c r="O465" s="50"/>
      <c r="P465" s="50"/>
      <c r="Q465" s="50"/>
      <c r="R465" s="50"/>
      <c r="S465" s="50"/>
      <c r="T465" s="50"/>
      <c r="U465" s="50"/>
      <c r="V465" s="50"/>
      <c r="W465" s="50"/>
      <c r="X465" s="50"/>
      <c r="Y465" s="50"/>
      <c r="Z465" s="50"/>
      <c r="AA465" s="50"/>
      <c r="AB465" s="50"/>
    </row>
    <row r="466" customFormat="false" ht="15.75" hidden="false" customHeight="false" outlineLevel="0" collapsed="false">
      <c r="A466" s="50"/>
      <c r="B466" s="50"/>
      <c r="C466" s="5"/>
      <c r="D466" s="48"/>
      <c r="E466" s="50"/>
      <c r="F466" s="5"/>
      <c r="G466" s="5"/>
      <c r="H466" s="5"/>
      <c r="I466" s="5"/>
      <c r="J466" s="5"/>
      <c r="K466" s="50"/>
      <c r="L466" s="50"/>
      <c r="M466" s="50"/>
      <c r="N466" s="50"/>
      <c r="O466" s="50"/>
      <c r="P466" s="50"/>
      <c r="Q466" s="50"/>
      <c r="R466" s="50"/>
      <c r="S466" s="50"/>
      <c r="T466" s="50"/>
      <c r="U466" s="50"/>
      <c r="V466" s="50"/>
      <c r="W466" s="50"/>
      <c r="X466" s="50"/>
      <c r="Y466" s="50"/>
      <c r="Z466" s="50"/>
      <c r="AA466" s="50"/>
      <c r="AB466" s="50"/>
    </row>
    <row r="467" customFormat="false" ht="15.75" hidden="false" customHeight="false" outlineLevel="0" collapsed="false">
      <c r="A467" s="50"/>
      <c r="B467" s="50"/>
      <c r="C467" s="5"/>
      <c r="D467" s="48"/>
      <c r="E467" s="50"/>
      <c r="F467" s="5"/>
      <c r="G467" s="5"/>
      <c r="H467" s="5"/>
      <c r="I467" s="5"/>
      <c r="J467" s="5"/>
      <c r="K467" s="50"/>
      <c r="L467" s="50"/>
      <c r="M467" s="50"/>
      <c r="N467" s="50"/>
      <c r="O467" s="50"/>
      <c r="P467" s="50"/>
      <c r="Q467" s="50"/>
      <c r="R467" s="50"/>
      <c r="S467" s="50"/>
      <c r="T467" s="50"/>
      <c r="U467" s="50"/>
      <c r="V467" s="50"/>
      <c r="W467" s="50"/>
      <c r="X467" s="50"/>
      <c r="Y467" s="50"/>
      <c r="Z467" s="50"/>
      <c r="AA467" s="50"/>
      <c r="AB467" s="50"/>
    </row>
    <row r="468" customFormat="false" ht="15.75" hidden="false" customHeight="false" outlineLevel="0" collapsed="false">
      <c r="A468" s="50"/>
      <c r="B468" s="50"/>
      <c r="C468" s="5"/>
      <c r="D468" s="48"/>
      <c r="E468" s="50"/>
      <c r="F468" s="5"/>
      <c r="G468" s="5"/>
      <c r="H468" s="5"/>
      <c r="I468" s="5"/>
      <c r="J468" s="5"/>
      <c r="K468" s="50"/>
      <c r="L468" s="50"/>
      <c r="M468" s="50"/>
      <c r="N468" s="50"/>
      <c r="O468" s="50"/>
      <c r="P468" s="50"/>
      <c r="Q468" s="50"/>
      <c r="R468" s="50"/>
      <c r="S468" s="50"/>
      <c r="T468" s="50"/>
      <c r="U468" s="50"/>
      <c r="V468" s="50"/>
      <c r="W468" s="50"/>
      <c r="X468" s="50"/>
      <c r="Y468" s="50"/>
      <c r="Z468" s="50"/>
      <c r="AA468" s="50"/>
      <c r="AB468" s="50"/>
    </row>
    <row r="469" customFormat="false" ht="15.75" hidden="false" customHeight="false" outlineLevel="0" collapsed="false">
      <c r="A469" s="50"/>
      <c r="B469" s="50"/>
      <c r="C469" s="5"/>
      <c r="D469" s="48"/>
      <c r="E469" s="50"/>
      <c r="F469" s="5"/>
      <c r="G469" s="5"/>
      <c r="H469" s="5"/>
      <c r="I469" s="5"/>
      <c r="J469" s="5"/>
      <c r="K469" s="50"/>
      <c r="L469" s="50"/>
      <c r="M469" s="50"/>
      <c r="N469" s="50"/>
      <c r="O469" s="50"/>
      <c r="P469" s="50"/>
      <c r="Q469" s="50"/>
      <c r="R469" s="50"/>
      <c r="S469" s="50"/>
      <c r="T469" s="50"/>
      <c r="U469" s="50"/>
      <c r="V469" s="50"/>
      <c r="W469" s="50"/>
      <c r="X469" s="50"/>
      <c r="Y469" s="50"/>
      <c r="Z469" s="50"/>
      <c r="AA469" s="50"/>
      <c r="AB469" s="50"/>
    </row>
    <row r="470" customFormat="false" ht="15.75" hidden="false" customHeight="false" outlineLevel="0" collapsed="false">
      <c r="A470" s="50"/>
      <c r="B470" s="50"/>
      <c r="C470" s="5"/>
      <c r="D470" s="48"/>
      <c r="E470" s="50"/>
      <c r="F470" s="5"/>
      <c r="G470" s="5"/>
      <c r="H470" s="5"/>
      <c r="I470" s="5"/>
      <c r="J470" s="5"/>
      <c r="K470" s="50"/>
      <c r="L470" s="50"/>
      <c r="M470" s="50"/>
      <c r="N470" s="50"/>
      <c r="O470" s="50"/>
      <c r="P470" s="50"/>
      <c r="Q470" s="50"/>
      <c r="R470" s="50"/>
      <c r="S470" s="50"/>
      <c r="T470" s="50"/>
      <c r="U470" s="50"/>
      <c r="V470" s="50"/>
      <c r="W470" s="50"/>
      <c r="X470" s="50"/>
      <c r="Y470" s="50"/>
      <c r="Z470" s="50"/>
      <c r="AA470" s="50"/>
      <c r="AB470" s="50"/>
    </row>
    <row r="471" customFormat="false" ht="15.75" hidden="false" customHeight="false" outlineLevel="0" collapsed="false">
      <c r="A471" s="50"/>
      <c r="B471" s="50"/>
      <c r="C471" s="5"/>
      <c r="D471" s="48"/>
      <c r="E471" s="50"/>
      <c r="F471" s="5"/>
      <c r="G471" s="5"/>
      <c r="H471" s="5"/>
      <c r="I471" s="5"/>
      <c r="J471" s="5"/>
      <c r="K471" s="50"/>
      <c r="L471" s="50"/>
      <c r="M471" s="50"/>
      <c r="N471" s="50"/>
      <c r="O471" s="50"/>
      <c r="P471" s="50"/>
      <c r="Q471" s="50"/>
      <c r="R471" s="50"/>
      <c r="S471" s="50"/>
      <c r="T471" s="50"/>
      <c r="U471" s="50"/>
      <c r="V471" s="50"/>
      <c r="W471" s="50"/>
      <c r="X471" s="50"/>
      <c r="Y471" s="50"/>
      <c r="Z471" s="50"/>
      <c r="AA471" s="50"/>
      <c r="AB471" s="50"/>
    </row>
    <row r="472" customFormat="false" ht="15.75" hidden="false" customHeight="false" outlineLevel="0" collapsed="false">
      <c r="A472" s="50"/>
      <c r="B472" s="50"/>
      <c r="C472" s="5"/>
      <c r="D472" s="48"/>
      <c r="E472" s="50"/>
      <c r="F472" s="5"/>
      <c r="G472" s="5"/>
      <c r="H472" s="5"/>
      <c r="I472" s="5"/>
      <c r="J472" s="5"/>
      <c r="K472" s="50"/>
      <c r="L472" s="50"/>
      <c r="M472" s="50"/>
      <c r="N472" s="50"/>
      <c r="O472" s="50"/>
      <c r="P472" s="50"/>
      <c r="Q472" s="50"/>
      <c r="R472" s="50"/>
      <c r="S472" s="50"/>
      <c r="T472" s="50"/>
      <c r="U472" s="50"/>
      <c r="V472" s="50"/>
      <c r="W472" s="50"/>
      <c r="X472" s="50"/>
      <c r="Y472" s="50"/>
      <c r="Z472" s="50"/>
      <c r="AA472" s="50"/>
      <c r="AB472" s="50"/>
    </row>
    <row r="473" customFormat="false" ht="15.75" hidden="false" customHeight="false" outlineLevel="0" collapsed="false">
      <c r="A473" s="50"/>
      <c r="B473" s="50"/>
      <c r="C473" s="5"/>
      <c r="D473" s="48"/>
      <c r="E473" s="50"/>
      <c r="F473" s="5"/>
      <c r="G473" s="5"/>
      <c r="H473" s="5"/>
      <c r="I473" s="5"/>
      <c r="J473" s="5"/>
      <c r="K473" s="50"/>
      <c r="L473" s="50"/>
      <c r="M473" s="50"/>
      <c r="N473" s="50"/>
      <c r="O473" s="50"/>
      <c r="P473" s="50"/>
      <c r="Q473" s="50"/>
      <c r="R473" s="50"/>
      <c r="S473" s="50"/>
      <c r="T473" s="50"/>
      <c r="U473" s="50"/>
      <c r="V473" s="50"/>
      <c r="W473" s="50"/>
      <c r="X473" s="50"/>
      <c r="Y473" s="50"/>
      <c r="Z473" s="50"/>
      <c r="AA473" s="50"/>
      <c r="AB473" s="50"/>
    </row>
    <row r="474" customFormat="false" ht="15.75" hidden="false" customHeight="false" outlineLevel="0" collapsed="false">
      <c r="A474" s="50"/>
      <c r="B474" s="50"/>
      <c r="C474" s="5"/>
      <c r="D474" s="48"/>
      <c r="E474" s="50"/>
      <c r="F474" s="5"/>
      <c r="G474" s="5"/>
      <c r="H474" s="5"/>
      <c r="I474" s="5"/>
      <c r="J474" s="5"/>
      <c r="K474" s="50"/>
      <c r="L474" s="50"/>
      <c r="M474" s="50"/>
      <c r="N474" s="50"/>
      <c r="O474" s="50"/>
      <c r="P474" s="50"/>
      <c r="Q474" s="50"/>
      <c r="R474" s="50"/>
      <c r="S474" s="50"/>
      <c r="T474" s="50"/>
      <c r="U474" s="50"/>
      <c r="V474" s="50"/>
      <c r="W474" s="50"/>
      <c r="X474" s="50"/>
      <c r="Y474" s="50"/>
      <c r="Z474" s="50"/>
      <c r="AA474" s="50"/>
      <c r="AB474" s="50"/>
    </row>
    <row r="475" customFormat="false" ht="15.75" hidden="false" customHeight="false" outlineLevel="0" collapsed="false">
      <c r="A475" s="50"/>
      <c r="B475" s="50"/>
      <c r="C475" s="5"/>
      <c r="D475" s="48"/>
      <c r="E475" s="50"/>
      <c r="F475" s="5"/>
      <c r="G475" s="5"/>
      <c r="H475" s="5"/>
      <c r="I475" s="5"/>
      <c r="J475" s="5"/>
      <c r="K475" s="50"/>
      <c r="L475" s="50"/>
      <c r="M475" s="50"/>
      <c r="N475" s="50"/>
      <c r="O475" s="50"/>
      <c r="P475" s="50"/>
      <c r="Q475" s="50"/>
      <c r="R475" s="50"/>
      <c r="S475" s="50"/>
      <c r="T475" s="50"/>
      <c r="U475" s="50"/>
      <c r="V475" s="50"/>
      <c r="W475" s="50"/>
      <c r="X475" s="50"/>
      <c r="Y475" s="50"/>
      <c r="Z475" s="50"/>
      <c r="AA475" s="50"/>
      <c r="AB475" s="50"/>
    </row>
    <row r="476" customFormat="false" ht="15.75" hidden="false" customHeight="false" outlineLevel="0" collapsed="false">
      <c r="A476" s="50"/>
      <c r="B476" s="50"/>
      <c r="C476" s="5"/>
      <c r="D476" s="48"/>
      <c r="E476" s="50"/>
      <c r="F476" s="5"/>
      <c r="G476" s="5"/>
      <c r="H476" s="5"/>
      <c r="I476" s="5"/>
      <c r="J476" s="5"/>
      <c r="K476" s="50"/>
      <c r="L476" s="50"/>
      <c r="M476" s="50"/>
      <c r="N476" s="50"/>
      <c r="O476" s="50"/>
      <c r="P476" s="50"/>
      <c r="Q476" s="50"/>
      <c r="R476" s="50"/>
      <c r="S476" s="50"/>
      <c r="T476" s="50"/>
      <c r="U476" s="50"/>
      <c r="V476" s="50"/>
      <c r="W476" s="50"/>
      <c r="X476" s="50"/>
      <c r="Y476" s="50"/>
      <c r="Z476" s="50"/>
      <c r="AA476" s="50"/>
      <c r="AB476" s="50"/>
    </row>
    <row r="477" customFormat="false" ht="15.75" hidden="false" customHeight="false" outlineLevel="0" collapsed="false">
      <c r="A477" s="50"/>
      <c r="B477" s="50"/>
      <c r="C477" s="5"/>
      <c r="D477" s="48"/>
      <c r="E477" s="50"/>
      <c r="F477" s="5"/>
      <c r="G477" s="5"/>
      <c r="H477" s="5"/>
      <c r="I477" s="5"/>
      <c r="J477" s="5"/>
      <c r="K477" s="50"/>
      <c r="L477" s="50"/>
      <c r="M477" s="50"/>
      <c r="N477" s="50"/>
      <c r="O477" s="50"/>
      <c r="P477" s="50"/>
      <c r="Q477" s="50"/>
      <c r="R477" s="50"/>
      <c r="S477" s="50"/>
      <c r="T477" s="50"/>
      <c r="U477" s="50"/>
      <c r="V477" s="50"/>
      <c r="W477" s="50"/>
      <c r="X477" s="50"/>
      <c r="Y477" s="50"/>
      <c r="Z477" s="50"/>
      <c r="AA477" s="50"/>
      <c r="AB477" s="50"/>
    </row>
    <row r="478" customFormat="false" ht="15.75" hidden="false" customHeight="false" outlineLevel="0" collapsed="false">
      <c r="A478" s="50"/>
      <c r="B478" s="50"/>
      <c r="C478" s="5"/>
      <c r="D478" s="48"/>
      <c r="E478" s="50"/>
      <c r="F478" s="5"/>
      <c r="G478" s="5"/>
      <c r="H478" s="5"/>
      <c r="I478" s="5"/>
      <c r="J478" s="5"/>
      <c r="K478" s="50"/>
      <c r="L478" s="50"/>
      <c r="M478" s="50"/>
      <c r="N478" s="50"/>
      <c r="O478" s="50"/>
      <c r="P478" s="50"/>
      <c r="Q478" s="50"/>
      <c r="R478" s="50"/>
      <c r="S478" s="50"/>
      <c r="T478" s="50"/>
      <c r="U478" s="50"/>
      <c r="V478" s="50"/>
      <c r="W478" s="50"/>
      <c r="X478" s="50"/>
      <c r="Y478" s="50"/>
      <c r="Z478" s="50"/>
      <c r="AA478" s="50"/>
      <c r="AB478" s="50"/>
    </row>
    <row r="479" customFormat="false" ht="15.75" hidden="false" customHeight="false" outlineLevel="0" collapsed="false">
      <c r="A479" s="50"/>
      <c r="B479" s="50"/>
      <c r="C479" s="5"/>
      <c r="D479" s="48"/>
      <c r="E479" s="50"/>
      <c r="F479" s="5"/>
      <c r="G479" s="5"/>
      <c r="H479" s="5"/>
      <c r="I479" s="5"/>
      <c r="J479" s="5"/>
      <c r="K479" s="50"/>
      <c r="L479" s="50"/>
      <c r="M479" s="50"/>
      <c r="N479" s="50"/>
      <c r="O479" s="50"/>
      <c r="P479" s="50"/>
      <c r="Q479" s="50"/>
      <c r="R479" s="50"/>
      <c r="S479" s="50"/>
      <c r="T479" s="50"/>
      <c r="U479" s="50"/>
      <c r="V479" s="50"/>
      <c r="W479" s="50"/>
      <c r="X479" s="50"/>
      <c r="Y479" s="50"/>
      <c r="Z479" s="50"/>
      <c r="AA479" s="50"/>
      <c r="AB479" s="50"/>
    </row>
    <row r="480" customFormat="false" ht="15.75" hidden="false" customHeight="false" outlineLevel="0" collapsed="false">
      <c r="A480" s="50"/>
      <c r="B480" s="50"/>
      <c r="C480" s="5"/>
      <c r="D480" s="48"/>
      <c r="E480" s="50"/>
      <c r="F480" s="5"/>
      <c r="G480" s="5"/>
      <c r="H480" s="5"/>
      <c r="I480" s="5"/>
      <c r="J480" s="5"/>
      <c r="K480" s="50"/>
      <c r="L480" s="50"/>
      <c r="M480" s="50"/>
      <c r="N480" s="50"/>
      <c r="O480" s="50"/>
      <c r="P480" s="50"/>
      <c r="Q480" s="50"/>
      <c r="R480" s="50"/>
      <c r="S480" s="50"/>
      <c r="T480" s="50"/>
      <c r="U480" s="50"/>
      <c r="V480" s="50"/>
      <c r="W480" s="50"/>
      <c r="X480" s="50"/>
      <c r="Y480" s="50"/>
      <c r="Z480" s="50"/>
      <c r="AA480" s="50"/>
      <c r="AB480" s="50"/>
    </row>
    <row r="481" customFormat="false" ht="15.75" hidden="false" customHeight="false" outlineLevel="0" collapsed="false">
      <c r="A481" s="50"/>
      <c r="B481" s="50"/>
      <c r="C481" s="5"/>
      <c r="D481" s="48"/>
      <c r="E481" s="50"/>
      <c r="F481" s="5"/>
      <c r="G481" s="5"/>
      <c r="H481" s="5"/>
      <c r="I481" s="5"/>
      <c r="J481" s="5"/>
      <c r="K481" s="50"/>
      <c r="L481" s="50"/>
      <c r="M481" s="50"/>
      <c r="N481" s="50"/>
      <c r="O481" s="50"/>
      <c r="P481" s="50"/>
      <c r="Q481" s="50"/>
      <c r="R481" s="50"/>
      <c r="S481" s="50"/>
      <c r="T481" s="50"/>
      <c r="U481" s="50"/>
      <c r="V481" s="50"/>
      <c r="W481" s="50"/>
      <c r="X481" s="50"/>
      <c r="Y481" s="50"/>
      <c r="Z481" s="50"/>
      <c r="AA481" s="50"/>
      <c r="AB481" s="50"/>
    </row>
    <row r="482" customFormat="false" ht="15.75" hidden="false" customHeight="false" outlineLevel="0" collapsed="false">
      <c r="A482" s="50"/>
      <c r="B482" s="50"/>
      <c r="C482" s="5"/>
      <c r="D482" s="48"/>
      <c r="E482" s="50"/>
      <c r="F482" s="5"/>
      <c r="G482" s="5"/>
      <c r="H482" s="5"/>
      <c r="I482" s="5"/>
      <c r="J482" s="5"/>
      <c r="K482" s="50"/>
      <c r="L482" s="50"/>
      <c r="M482" s="50"/>
      <c r="N482" s="50"/>
      <c r="O482" s="50"/>
      <c r="P482" s="50"/>
      <c r="Q482" s="50"/>
      <c r="R482" s="50"/>
      <c r="S482" s="50"/>
      <c r="T482" s="50"/>
      <c r="U482" s="50"/>
      <c r="V482" s="50"/>
      <c r="W482" s="50"/>
      <c r="X482" s="50"/>
      <c r="Y482" s="50"/>
      <c r="Z482" s="50"/>
      <c r="AA482" s="50"/>
      <c r="AB482" s="50"/>
    </row>
    <row r="483" customFormat="false" ht="15.75" hidden="false" customHeight="false" outlineLevel="0" collapsed="false">
      <c r="A483" s="50"/>
      <c r="B483" s="50"/>
      <c r="C483" s="5"/>
      <c r="D483" s="48"/>
      <c r="E483" s="50"/>
      <c r="F483" s="5"/>
      <c r="G483" s="5"/>
      <c r="H483" s="5"/>
      <c r="I483" s="5"/>
      <c r="J483" s="5"/>
      <c r="K483" s="50"/>
      <c r="L483" s="50"/>
      <c r="M483" s="50"/>
      <c r="N483" s="50"/>
      <c r="O483" s="50"/>
      <c r="P483" s="50"/>
      <c r="Q483" s="50"/>
      <c r="R483" s="50"/>
      <c r="S483" s="50"/>
      <c r="T483" s="50"/>
      <c r="U483" s="50"/>
      <c r="V483" s="50"/>
      <c r="W483" s="50"/>
      <c r="X483" s="50"/>
      <c r="Y483" s="50"/>
      <c r="Z483" s="50"/>
      <c r="AA483" s="50"/>
      <c r="AB483" s="50"/>
    </row>
    <row r="484" customFormat="false" ht="15.75" hidden="false" customHeight="false" outlineLevel="0" collapsed="false">
      <c r="A484" s="50"/>
      <c r="B484" s="50"/>
      <c r="C484" s="5"/>
      <c r="D484" s="48"/>
      <c r="E484" s="50"/>
      <c r="F484" s="5"/>
      <c r="G484" s="5"/>
      <c r="H484" s="5"/>
      <c r="I484" s="5"/>
      <c r="J484" s="5"/>
      <c r="K484" s="50"/>
      <c r="L484" s="50"/>
      <c r="M484" s="50"/>
      <c r="N484" s="50"/>
      <c r="O484" s="50"/>
      <c r="P484" s="50"/>
      <c r="Q484" s="50"/>
      <c r="R484" s="50"/>
      <c r="S484" s="50"/>
      <c r="T484" s="50"/>
      <c r="U484" s="50"/>
      <c r="V484" s="50"/>
      <c r="W484" s="50"/>
      <c r="X484" s="50"/>
      <c r="Y484" s="50"/>
      <c r="Z484" s="50"/>
      <c r="AA484" s="50"/>
      <c r="AB484" s="50"/>
    </row>
    <row r="485" customFormat="false" ht="15.75" hidden="false" customHeight="false" outlineLevel="0" collapsed="false">
      <c r="A485" s="50"/>
      <c r="B485" s="50"/>
      <c r="C485" s="5"/>
      <c r="D485" s="48"/>
      <c r="E485" s="50"/>
      <c r="F485" s="5"/>
      <c r="G485" s="5"/>
      <c r="H485" s="5"/>
      <c r="I485" s="5"/>
      <c r="J485" s="5"/>
      <c r="K485" s="50"/>
      <c r="L485" s="50"/>
      <c r="M485" s="50"/>
      <c r="N485" s="50"/>
      <c r="O485" s="50"/>
      <c r="P485" s="50"/>
      <c r="Q485" s="50"/>
      <c r="R485" s="50"/>
      <c r="S485" s="50"/>
      <c r="T485" s="50"/>
      <c r="U485" s="50"/>
      <c r="V485" s="50"/>
      <c r="W485" s="50"/>
      <c r="X485" s="50"/>
      <c r="Y485" s="50"/>
      <c r="Z485" s="50"/>
      <c r="AA485" s="50"/>
      <c r="AB485" s="50"/>
    </row>
    <row r="486" customFormat="false" ht="15.75" hidden="false" customHeight="false" outlineLevel="0" collapsed="false">
      <c r="A486" s="50"/>
      <c r="B486" s="50"/>
      <c r="C486" s="5"/>
      <c r="D486" s="48"/>
      <c r="E486" s="50"/>
      <c r="F486" s="5"/>
      <c r="G486" s="5"/>
      <c r="H486" s="5"/>
      <c r="I486" s="5"/>
      <c r="J486" s="5"/>
      <c r="K486" s="50"/>
      <c r="L486" s="50"/>
      <c r="M486" s="50"/>
      <c r="N486" s="50"/>
      <c r="O486" s="50"/>
      <c r="P486" s="50"/>
      <c r="Q486" s="50"/>
      <c r="R486" s="50"/>
      <c r="S486" s="50"/>
      <c r="T486" s="50"/>
      <c r="U486" s="50"/>
      <c r="V486" s="50"/>
      <c r="W486" s="50"/>
      <c r="X486" s="50"/>
      <c r="Y486" s="50"/>
      <c r="Z486" s="50"/>
      <c r="AA486" s="50"/>
      <c r="AB486" s="50"/>
    </row>
    <row r="487" customFormat="false" ht="15.75" hidden="false" customHeight="false" outlineLevel="0" collapsed="false">
      <c r="A487" s="50"/>
      <c r="B487" s="50"/>
      <c r="C487" s="5"/>
      <c r="D487" s="48"/>
      <c r="E487" s="50"/>
      <c r="F487" s="5"/>
      <c r="G487" s="5"/>
      <c r="H487" s="5"/>
      <c r="I487" s="5"/>
      <c r="J487" s="5"/>
      <c r="K487" s="50"/>
      <c r="L487" s="50"/>
      <c r="M487" s="50"/>
      <c r="N487" s="50"/>
      <c r="O487" s="50"/>
      <c r="P487" s="50"/>
      <c r="Q487" s="50"/>
      <c r="R487" s="50"/>
      <c r="S487" s="50"/>
      <c r="T487" s="50"/>
      <c r="U487" s="50"/>
      <c r="V487" s="50"/>
      <c r="W487" s="50"/>
      <c r="X487" s="50"/>
      <c r="Y487" s="50"/>
      <c r="Z487" s="50"/>
      <c r="AA487" s="50"/>
      <c r="AB487" s="50"/>
    </row>
    <row r="488" customFormat="false" ht="15.75" hidden="false" customHeight="false" outlineLevel="0" collapsed="false">
      <c r="A488" s="50"/>
      <c r="B488" s="50"/>
      <c r="C488" s="5"/>
      <c r="D488" s="48"/>
      <c r="E488" s="50"/>
      <c r="F488" s="5"/>
      <c r="G488" s="5"/>
      <c r="H488" s="5"/>
      <c r="I488" s="5"/>
      <c r="J488" s="5"/>
      <c r="K488" s="50"/>
      <c r="L488" s="50"/>
      <c r="M488" s="50"/>
      <c r="N488" s="50"/>
      <c r="O488" s="50"/>
      <c r="P488" s="50"/>
      <c r="Q488" s="50"/>
      <c r="R488" s="50"/>
      <c r="S488" s="50"/>
      <c r="T488" s="50"/>
      <c r="U488" s="50"/>
      <c r="V488" s="50"/>
      <c r="W488" s="50"/>
      <c r="X488" s="50"/>
      <c r="Y488" s="50"/>
      <c r="Z488" s="50"/>
      <c r="AA488" s="50"/>
      <c r="AB488" s="50"/>
    </row>
    <row r="489" customFormat="false" ht="15.75" hidden="false" customHeight="false" outlineLevel="0" collapsed="false">
      <c r="A489" s="50"/>
      <c r="B489" s="50"/>
      <c r="C489" s="5"/>
      <c r="D489" s="48"/>
      <c r="E489" s="50"/>
      <c r="F489" s="5"/>
      <c r="G489" s="5"/>
      <c r="H489" s="5"/>
      <c r="I489" s="5"/>
      <c r="J489" s="5"/>
      <c r="K489" s="50"/>
      <c r="L489" s="50"/>
      <c r="M489" s="50"/>
      <c r="N489" s="50"/>
      <c r="O489" s="50"/>
      <c r="P489" s="50"/>
      <c r="Q489" s="50"/>
      <c r="R489" s="50"/>
      <c r="S489" s="50"/>
      <c r="T489" s="50"/>
      <c r="U489" s="50"/>
      <c r="V489" s="50"/>
      <c r="W489" s="50"/>
      <c r="X489" s="50"/>
      <c r="Y489" s="50"/>
      <c r="Z489" s="50"/>
      <c r="AA489" s="50"/>
      <c r="AB489" s="50"/>
    </row>
    <row r="490" customFormat="false" ht="15.75" hidden="false" customHeight="false" outlineLevel="0" collapsed="false">
      <c r="A490" s="50"/>
      <c r="B490" s="50"/>
      <c r="C490" s="5"/>
      <c r="D490" s="48"/>
      <c r="E490" s="50"/>
      <c r="F490" s="5"/>
      <c r="G490" s="5"/>
      <c r="H490" s="5"/>
      <c r="I490" s="5"/>
      <c r="J490" s="5"/>
      <c r="K490" s="50"/>
      <c r="L490" s="50"/>
      <c r="M490" s="50"/>
      <c r="N490" s="50"/>
      <c r="O490" s="50"/>
      <c r="P490" s="50"/>
      <c r="Q490" s="50"/>
      <c r="R490" s="50"/>
      <c r="S490" s="50"/>
      <c r="T490" s="50"/>
      <c r="U490" s="50"/>
      <c r="V490" s="50"/>
      <c r="W490" s="50"/>
      <c r="X490" s="50"/>
      <c r="Y490" s="50"/>
      <c r="Z490" s="50"/>
      <c r="AA490" s="50"/>
      <c r="AB490" s="50"/>
    </row>
    <row r="491" customFormat="false" ht="15.75" hidden="false" customHeight="false" outlineLevel="0" collapsed="false">
      <c r="A491" s="50"/>
      <c r="B491" s="50"/>
      <c r="C491" s="5"/>
      <c r="D491" s="48"/>
      <c r="E491" s="50"/>
      <c r="F491" s="5"/>
      <c r="G491" s="5"/>
      <c r="H491" s="5"/>
      <c r="I491" s="5"/>
      <c r="J491" s="5"/>
      <c r="K491" s="50"/>
      <c r="L491" s="50"/>
      <c r="M491" s="50"/>
      <c r="N491" s="50"/>
      <c r="O491" s="50"/>
      <c r="P491" s="50"/>
      <c r="Q491" s="50"/>
      <c r="R491" s="50"/>
      <c r="S491" s="50"/>
      <c r="T491" s="50"/>
      <c r="U491" s="50"/>
      <c r="V491" s="50"/>
      <c r="W491" s="50"/>
      <c r="X491" s="50"/>
      <c r="Y491" s="50"/>
      <c r="Z491" s="50"/>
      <c r="AA491" s="50"/>
      <c r="AB491" s="50"/>
    </row>
    <row r="492" customFormat="false" ht="15.75" hidden="false" customHeight="false" outlineLevel="0" collapsed="false">
      <c r="A492" s="50"/>
      <c r="B492" s="50"/>
      <c r="C492" s="5"/>
      <c r="D492" s="48"/>
      <c r="E492" s="50"/>
      <c r="F492" s="5"/>
      <c r="G492" s="5"/>
      <c r="H492" s="5"/>
      <c r="I492" s="5"/>
      <c r="J492" s="5"/>
      <c r="K492" s="50"/>
      <c r="L492" s="50"/>
      <c r="M492" s="50"/>
      <c r="N492" s="50"/>
      <c r="O492" s="50"/>
      <c r="P492" s="50"/>
      <c r="Q492" s="50"/>
      <c r="R492" s="50"/>
      <c r="S492" s="50"/>
      <c r="T492" s="50"/>
      <c r="U492" s="50"/>
      <c r="V492" s="50"/>
      <c r="W492" s="50"/>
      <c r="X492" s="50"/>
      <c r="Y492" s="50"/>
      <c r="Z492" s="50"/>
      <c r="AA492" s="50"/>
      <c r="AB492" s="50"/>
    </row>
    <row r="493" customFormat="false" ht="15.75" hidden="false" customHeight="false" outlineLevel="0" collapsed="false">
      <c r="A493" s="50"/>
      <c r="B493" s="50"/>
      <c r="C493" s="5"/>
      <c r="D493" s="48"/>
      <c r="E493" s="50"/>
      <c r="F493" s="5"/>
      <c r="G493" s="5"/>
      <c r="H493" s="5"/>
      <c r="I493" s="5"/>
      <c r="J493" s="5"/>
      <c r="K493" s="50"/>
      <c r="L493" s="50"/>
      <c r="M493" s="50"/>
      <c r="N493" s="50"/>
      <c r="O493" s="50"/>
      <c r="P493" s="50"/>
      <c r="Q493" s="50"/>
      <c r="R493" s="50"/>
      <c r="S493" s="50"/>
      <c r="T493" s="50"/>
      <c r="U493" s="50"/>
      <c r="V493" s="50"/>
      <c r="W493" s="50"/>
      <c r="X493" s="50"/>
      <c r="Y493" s="50"/>
      <c r="Z493" s="50"/>
      <c r="AA493" s="50"/>
      <c r="AB493" s="50"/>
    </row>
    <row r="494" customFormat="false" ht="15.75" hidden="false" customHeight="false" outlineLevel="0" collapsed="false">
      <c r="A494" s="50"/>
      <c r="B494" s="50"/>
      <c r="C494" s="5"/>
      <c r="D494" s="48"/>
      <c r="E494" s="50"/>
      <c r="F494" s="5"/>
      <c r="G494" s="5"/>
      <c r="H494" s="5"/>
      <c r="I494" s="5"/>
      <c r="J494" s="5"/>
      <c r="K494" s="50"/>
      <c r="L494" s="50"/>
      <c r="M494" s="50"/>
      <c r="N494" s="50"/>
      <c r="O494" s="50"/>
      <c r="P494" s="50"/>
      <c r="Q494" s="50"/>
      <c r="R494" s="50"/>
      <c r="S494" s="50"/>
      <c r="T494" s="50"/>
      <c r="U494" s="50"/>
      <c r="V494" s="50"/>
      <c r="W494" s="50"/>
      <c r="X494" s="50"/>
      <c r="Y494" s="50"/>
      <c r="Z494" s="50"/>
      <c r="AA494" s="50"/>
      <c r="AB494" s="50"/>
    </row>
    <row r="495" customFormat="false" ht="15.75" hidden="false" customHeight="false" outlineLevel="0" collapsed="false">
      <c r="A495" s="50"/>
      <c r="B495" s="50"/>
      <c r="C495" s="5"/>
      <c r="D495" s="48"/>
      <c r="E495" s="50"/>
      <c r="F495" s="5"/>
      <c r="G495" s="5"/>
      <c r="H495" s="5"/>
      <c r="I495" s="5"/>
      <c r="J495" s="5"/>
      <c r="K495" s="50"/>
      <c r="L495" s="50"/>
      <c r="M495" s="50"/>
      <c r="N495" s="50"/>
      <c r="O495" s="50"/>
      <c r="P495" s="50"/>
      <c r="Q495" s="50"/>
      <c r="R495" s="50"/>
      <c r="S495" s="50"/>
      <c r="T495" s="50"/>
      <c r="U495" s="50"/>
      <c r="V495" s="50"/>
      <c r="W495" s="50"/>
      <c r="X495" s="50"/>
      <c r="Y495" s="50"/>
      <c r="Z495" s="50"/>
      <c r="AA495" s="50"/>
      <c r="AB495" s="50"/>
    </row>
    <row r="496" customFormat="false" ht="15.75" hidden="false" customHeight="false" outlineLevel="0" collapsed="false">
      <c r="A496" s="50"/>
      <c r="B496" s="50"/>
      <c r="C496" s="5"/>
      <c r="D496" s="48"/>
      <c r="E496" s="50"/>
      <c r="F496" s="5"/>
      <c r="G496" s="5"/>
      <c r="H496" s="5"/>
      <c r="I496" s="5"/>
      <c r="J496" s="5"/>
      <c r="K496" s="50"/>
      <c r="L496" s="50"/>
      <c r="M496" s="50"/>
      <c r="N496" s="50"/>
      <c r="O496" s="50"/>
      <c r="P496" s="50"/>
      <c r="Q496" s="50"/>
      <c r="R496" s="50"/>
      <c r="S496" s="50"/>
      <c r="T496" s="50"/>
      <c r="U496" s="50"/>
      <c r="V496" s="50"/>
      <c r="W496" s="50"/>
      <c r="X496" s="50"/>
      <c r="Y496" s="50"/>
      <c r="Z496" s="50"/>
      <c r="AA496" s="50"/>
      <c r="AB496" s="50"/>
    </row>
    <row r="497" customFormat="false" ht="15.75" hidden="false" customHeight="false" outlineLevel="0" collapsed="false">
      <c r="A497" s="50"/>
      <c r="B497" s="50"/>
      <c r="C497" s="5"/>
      <c r="D497" s="48"/>
      <c r="E497" s="50"/>
      <c r="F497" s="5"/>
      <c r="G497" s="5"/>
      <c r="H497" s="5"/>
      <c r="I497" s="5"/>
      <c r="J497" s="5"/>
      <c r="K497" s="50"/>
      <c r="L497" s="50"/>
      <c r="M497" s="50"/>
      <c r="N497" s="50"/>
      <c r="O497" s="50"/>
      <c r="P497" s="50"/>
      <c r="Q497" s="50"/>
      <c r="R497" s="50"/>
      <c r="S497" s="50"/>
      <c r="T497" s="50"/>
      <c r="U497" s="50"/>
      <c r="V497" s="50"/>
      <c r="W497" s="50"/>
      <c r="X497" s="50"/>
      <c r="Y497" s="50"/>
      <c r="Z497" s="50"/>
      <c r="AA497" s="50"/>
      <c r="AB497" s="50"/>
    </row>
    <row r="498" customFormat="false" ht="15.75" hidden="false" customHeight="false" outlineLevel="0" collapsed="false">
      <c r="A498" s="50"/>
      <c r="B498" s="50"/>
      <c r="C498" s="5"/>
      <c r="D498" s="48"/>
      <c r="E498" s="50"/>
      <c r="F498" s="5"/>
      <c r="G498" s="5"/>
      <c r="H498" s="5"/>
      <c r="I498" s="5"/>
      <c r="J498" s="5"/>
      <c r="K498" s="50"/>
      <c r="L498" s="50"/>
      <c r="M498" s="50"/>
      <c r="N498" s="50"/>
      <c r="O498" s="50"/>
      <c r="P498" s="50"/>
      <c r="Q498" s="50"/>
      <c r="R498" s="50"/>
      <c r="S498" s="50"/>
      <c r="T498" s="50"/>
      <c r="U498" s="50"/>
      <c r="V498" s="50"/>
      <c r="W498" s="50"/>
      <c r="X498" s="50"/>
      <c r="Y498" s="50"/>
      <c r="Z498" s="50"/>
      <c r="AA498" s="50"/>
      <c r="AB498" s="50"/>
    </row>
    <row r="499" customFormat="false" ht="15.75" hidden="false" customHeight="false" outlineLevel="0" collapsed="false">
      <c r="A499" s="50"/>
      <c r="B499" s="50"/>
      <c r="C499" s="5"/>
      <c r="D499" s="48"/>
      <c r="E499" s="50"/>
      <c r="F499" s="5"/>
      <c r="G499" s="5"/>
      <c r="H499" s="5"/>
      <c r="I499" s="5"/>
      <c r="J499" s="5"/>
      <c r="K499" s="50"/>
      <c r="L499" s="50"/>
      <c r="M499" s="50"/>
      <c r="N499" s="50"/>
      <c r="O499" s="50"/>
      <c r="P499" s="50"/>
      <c r="Q499" s="50"/>
      <c r="R499" s="50"/>
      <c r="S499" s="50"/>
      <c r="T499" s="50"/>
      <c r="U499" s="50"/>
      <c r="V499" s="50"/>
      <c r="W499" s="50"/>
      <c r="X499" s="50"/>
      <c r="Y499" s="50"/>
      <c r="Z499" s="50"/>
      <c r="AA499" s="50"/>
      <c r="AB499" s="50"/>
    </row>
    <row r="500" customFormat="false" ht="15.75" hidden="false" customHeight="false" outlineLevel="0" collapsed="false">
      <c r="A500" s="50"/>
      <c r="B500" s="50"/>
      <c r="C500" s="5"/>
      <c r="D500" s="48"/>
      <c r="E500" s="50"/>
      <c r="F500" s="5"/>
      <c r="G500" s="5"/>
      <c r="H500" s="5"/>
      <c r="I500" s="5"/>
      <c r="J500" s="5"/>
      <c r="K500" s="50"/>
      <c r="L500" s="50"/>
      <c r="M500" s="50"/>
      <c r="N500" s="50"/>
      <c r="O500" s="50"/>
      <c r="P500" s="50"/>
      <c r="Q500" s="50"/>
      <c r="R500" s="50"/>
      <c r="S500" s="50"/>
      <c r="T500" s="50"/>
      <c r="U500" s="50"/>
      <c r="V500" s="50"/>
      <c r="W500" s="50"/>
      <c r="X500" s="50"/>
      <c r="Y500" s="50"/>
      <c r="Z500" s="50"/>
      <c r="AA500" s="50"/>
      <c r="AB500" s="50"/>
    </row>
    <row r="501" customFormat="false" ht="15.75" hidden="false" customHeight="false" outlineLevel="0" collapsed="false">
      <c r="A501" s="50"/>
      <c r="B501" s="50"/>
      <c r="C501" s="5"/>
      <c r="D501" s="48"/>
      <c r="E501" s="50"/>
      <c r="F501" s="5"/>
      <c r="G501" s="5"/>
      <c r="H501" s="5"/>
      <c r="I501" s="5"/>
      <c r="J501" s="5"/>
      <c r="K501" s="50"/>
      <c r="L501" s="50"/>
      <c r="M501" s="50"/>
      <c r="N501" s="50"/>
      <c r="O501" s="50"/>
      <c r="P501" s="50"/>
      <c r="Q501" s="50"/>
      <c r="R501" s="50"/>
      <c r="S501" s="50"/>
      <c r="T501" s="50"/>
      <c r="U501" s="50"/>
      <c r="V501" s="50"/>
      <c r="W501" s="50"/>
      <c r="X501" s="50"/>
      <c r="Y501" s="50"/>
      <c r="Z501" s="50"/>
      <c r="AA501" s="50"/>
      <c r="AB501" s="50"/>
    </row>
    <row r="502" customFormat="false" ht="15.75" hidden="false" customHeight="false" outlineLevel="0" collapsed="false">
      <c r="A502" s="50"/>
      <c r="B502" s="50"/>
      <c r="C502" s="5"/>
      <c r="D502" s="48"/>
      <c r="E502" s="50"/>
      <c r="F502" s="5"/>
      <c r="G502" s="5"/>
      <c r="H502" s="5"/>
      <c r="I502" s="5"/>
      <c r="J502" s="5"/>
      <c r="K502" s="50"/>
      <c r="L502" s="50"/>
      <c r="M502" s="50"/>
      <c r="N502" s="50"/>
      <c r="O502" s="50"/>
      <c r="P502" s="50"/>
      <c r="Q502" s="50"/>
      <c r="R502" s="50"/>
      <c r="S502" s="50"/>
      <c r="T502" s="50"/>
      <c r="U502" s="50"/>
      <c r="V502" s="50"/>
      <c r="W502" s="50"/>
      <c r="X502" s="50"/>
      <c r="Y502" s="50"/>
      <c r="Z502" s="50"/>
      <c r="AA502" s="50"/>
      <c r="AB502" s="50"/>
    </row>
    <row r="503" customFormat="false" ht="15.75" hidden="false" customHeight="false" outlineLevel="0" collapsed="false">
      <c r="A503" s="50"/>
      <c r="B503" s="50"/>
      <c r="C503" s="5"/>
      <c r="D503" s="48"/>
      <c r="E503" s="50"/>
      <c r="F503" s="5"/>
      <c r="G503" s="5"/>
      <c r="H503" s="5"/>
      <c r="I503" s="5"/>
      <c r="J503" s="5"/>
      <c r="K503" s="50"/>
      <c r="L503" s="50"/>
      <c r="M503" s="50"/>
      <c r="N503" s="50"/>
      <c r="O503" s="50"/>
      <c r="P503" s="50"/>
      <c r="Q503" s="50"/>
      <c r="R503" s="50"/>
      <c r="S503" s="50"/>
      <c r="T503" s="50"/>
      <c r="U503" s="50"/>
      <c r="V503" s="50"/>
      <c r="W503" s="50"/>
      <c r="X503" s="50"/>
      <c r="Y503" s="50"/>
      <c r="Z503" s="50"/>
      <c r="AA503" s="50"/>
      <c r="AB503" s="50"/>
    </row>
    <row r="504" customFormat="false" ht="15.75" hidden="false" customHeight="false" outlineLevel="0" collapsed="false">
      <c r="A504" s="50"/>
      <c r="B504" s="50"/>
      <c r="C504" s="5"/>
      <c r="D504" s="48"/>
      <c r="E504" s="50"/>
      <c r="F504" s="5"/>
      <c r="G504" s="5"/>
      <c r="H504" s="5"/>
      <c r="I504" s="5"/>
      <c r="J504" s="5"/>
      <c r="K504" s="50"/>
      <c r="L504" s="50"/>
      <c r="M504" s="50"/>
      <c r="N504" s="50"/>
      <c r="O504" s="50"/>
      <c r="P504" s="50"/>
      <c r="Q504" s="50"/>
      <c r="R504" s="50"/>
      <c r="S504" s="50"/>
      <c r="T504" s="50"/>
      <c r="U504" s="50"/>
      <c r="V504" s="50"/>
      <c r="W504" s="50"/>
      <c r="X504" s="50"/>
      <c r="Y504" s="50"/>
      <c r="Z504" s="50"/>
      <c r="AA504" s="50"/>
      <c r="AB504" s="50"/>
    </row>
    <row r="505" customFormat="false" ht="15.75" hidden="false" customHeight="false" outlineLevel="0" collapsed="false">
      <c r="A505" s="50"/>
      <c r="B505" s="50"/>
      <c r="C505" s="5"/>
      <c r="D505" s="48"/>
      <c r="E505" s="50"/>
      <c r="F505" s="5"/>
      <c r="G505" s="5"/>
      <c r="H505" s="5"/>
      <c r="I505" s="5"/>
      <c r="J505" s="5"/>
      <c r="K505" s="50"/>
      <c r="L505" s="50"/>
      <c r="M505" s="50"/>
      <c r="N505" s="50"/>
      <c r="O505" s="50"/>
      <c r="P505" s="50"/>
      <c r="Q505" s="50"/>
      <c r="R505" s="50"/>
      <c r="S505" s="50"/>
      <c r="T505" s="50"/>
      <c r="U505" s="50"/>
      <c r="V505" s="50"/>
      <c r="W505" s="50"/>
      <c r="X505" s="50"/>
      <c r="Y505" s="50"/>
      <c r="Z505" s="50"/>
      <c r="AA505" s="50"/>
      <c r="AB505" s="50"/>
    </row>
    <row r="506" customFormat="false" ht="15.75" hidden="false" customHeight="false" outlineLevel="0" collapsed="false">
      <c r="A506" s="50"/>
      <c r="B506" s="50"/>
      <c r="C506" s="5"/>
      <c r="D506" s="48"/>
      <c r="E506" s="50"/>
      <c r="F506" s="5"/>
      <c r="G506" s="5"/>
      <c r="H506" s="5"/>
      <c r="I506" s="5"/>
      <c r="J506" s="5"/>
      <c r="K506" s="50"/>
      <c r="L506" s="50"/>
      <c r="M506" s="50"/>
      <c r="N506" s="50"/>
      <c r="O506" s="50"/>
      <c r="P506" s="50"/>
      <c r="Q506" s="50"/>
      <c r="R506" s="50"/>
      <c r="S506" s="50"/>
      <c r="T506" s="50"/>
      <c r="U506" s="50"/>
      <c r="V506" s="50"/>
      <c r="W506" s="50"/>
      <c r="X506" s="50"/>
      <c r="Y506" s="50"/>
      <c r="Z506" s="50"/>
      <c r="AA506" s="50"/>
      <c r="AB506" s="50"/>
    </row>
    <row r="507" customFormat="false" ht="15.75" hidden="false" customHeight="false" outlineLevel="0" collapsed="false">
      <c r="A507" s="50"/>
      <c r="B507" s="50"/>
      <c r="C507" s="5"/>
      <c r="D507" s="48"/>
      <c r="E507" s="50"/>
      <c r="F507" s="5"/>
      <c r="G507" s="5"/>
      <c r="H507" s="5"/>
      <c r="I507" s="5"/>
      <c r="J507" s="5"/>
      <c r="K507" s="50"/>
      <c r="L507" s="50"/>
      <c r="M507" s="50"/>
      <c r="N507" s="50"/>
      <c r="O507" s="50"/>
      <c r="P507" s="50"/>
      <c r="Q507" s="50"/>
      <c r="R507" s="50"/>
      <c r="S507" s="50"/>
      <c r="T507" s="50"/>
      <c r="U507" s="50"/>
      <c r="V507" s="50"/>
      <c r="W507" s="50"/>
      <c r="X507" s="50"/>
      <c r="Y507" s="50"/>
      <c r="Z507" s="50"/>
      <c r="AA507" s="50"/>
      <c r="AB507" s="50"/>
    </row>
    <row r="508" customFormat="false" ht="15.75" hidden="false" customHeight="false" outlineLevel="0" collapsed="false">
      <c r="A508" s="50"/>
      <c r="B508" s="50"/>
      <c r="C508" s="5"/>
      <c r="D508" s="48"/>
      <c r="E508" s="50"/>
      <c r="F508" s="5"/>
      <c r="G508" s="5"/>
      <c r="H508" s="5"/>
      <c r="I508" s="5"/>
      <c r="J508" s="5"/>
      <c r="K508" s="50"/>
      <c r="L508" s="50"/>
      <c r="M508" s="50"/>
      <c r="N508" s="50"/>
      <c r="O508" s="50"/>
      <c r="P508" s="50"/>
      <c r="Q508" s="50"/>
      <c r="R508" s="50"/>
      <c r="S508" s="50"/>
      <c r="T508" s="50"/>
      <c r="U508" s="50"/>
      <c r="V508" s="50"/>
      <c r="W508" s="50"/>
      <c r="X508" s="50"/>
      <c r="Y508" s="50"/>
      <c r="Z508" s="50"/>
      <c r="AA508" s="50"/>
      <c r="AB508" s="50"/>
    </row>
    <row r="509" customFormat="false" ht="15.75" hidden="false" customHeight="false" outlineLevel="0" collapsed="false">
      <c r="A509" s="50"/>
      <c r="B509" s="50"/>
      <c r="C509" s="5"/>
      <c r="D509" s="48"/>
      <c r="E509" s="50"/>
      <c r="F509" s="5"/>
      <c r="G509" s="5"/>
      <c r="H509" s="5"/>
      <c r="I509" s="5"/>
      <c r="J509" s="5"/>
      <c r="K509" s="50"/>
      <c r="L509" s="50"/>
      <c r="M509" s="50"/>
      <c r="N509" s="50"/>
      <c r="O509" s="50"/>
      <c r="P509" s="50"/>
      <c r="Q509" s="50"/>
      <c r="R509" s="50"/>
      <c r="S509" s="50"/>
      <c r="T509" s="50"/>
      <c r="U509" s="50"/>
      <c r="V509" s="50"/>
      <c r="W509" s="50"/>
      <c r="X509" s="50"/>
      <c r="Y509" s="50"/>
      <c r="Z509" s="50"/>
      <c r="AA509" s="50"/>
      <c r="AB509" s="50"/>
    </row>
    <row r="510" customFormat="false" ht="15.75" hidden="false" customHeight="false" outlineLevel="0" collapsed="false">
      <c r="A510" s="50"/>
      <c r="B510" s="50"/>
      <c r="C510" s="5"/>
      <c r="D510" s="48"/>
      <c r="E510" s="50"/>
      <c r="F510" s="5"/>
      <c r="G510" s="5"/>
      <c r="H510" s="5"/>
      <c r="I510" s="5"/>
      <c r="J510" s="5"/>
      <c r="K510" s="50"/>
      <c r="L510" s="50"/>
      <c r="M510" s="50"/>
      <c r="N510" s="50"/>
      <c r="O510" s="50"/>
      <c r="P510" s="50"/>
      <c r="Q510" s="50"/>
      <c r="R510" s="50"/>
      <c r="S510" s="50"/>
      <c r="T510" s="50"/>
      <c r="U510" s="50"/>
      <c r="V510" s="50"/>
      <c r="W510" s="50"/>
      <c r="X510" s="50"/>
      <c r="Y510" s="50"/>
      <c r="Z510" s="50"/>
      <c r="AA510" s="50"/>
      <c r="AB510" s="50"/>
    </row>
    <row r="511" customFormat="false" ht="15.75" hidden="false" customHeight="false" outlineLevel="0" collapsed="false">
      <c r="A511" s="50"/>
      <c r="B511" s="50"/>
      <c r="C511" s="5"/>
      <c r="D511" s="48"/>
      <c r="E511" s="50"/>
      <c r="F511" s="5"/>
      <c r="G511" s="5"/>
      <c r="H511" s="5"/>
      <c r="I511" s="5"/>
      <c r="J511" s="5"/>
      <c r="K511" s="50"/>
      <c r="L511" s="50"/>
      <c r="M511" s="50"/>
      <c r="N511" s="50"/>
      <c r="O511" s="50"/>
      <c r="P511" s="50"/>
      <c r="Q511" s="50"/>
      <c r="R511" s="50"/>
      <c r="S511" s="50"/>
      <c r="T511" s="50"/>
      <c r="U511" s="50"/>
      <c r="V511" s="50"/>
      <c r="W511" s="50"/>
      <c r="X511" s="50"/>
      <c r="Y511" s="50"/>
      <c r="Z511" s="50"/>
      <c r="AA511" s="50"/>
      <c r="AB511" s="50"/>
    </row>
    <row r="512" customFormat="false" ht="15.75" hidden="false" customHeight="false" outlineLevel="0" collapsed="false">
      <c r="A512" s="50"/>
      <c r="B512" s="50"/>
      <c r="C512" s="5"/>
      <c r="D512" s="48"/>
      <c r="E512" s="50"/>
      <c r="F512" s="5"/>
      <c r="G512" s="5"/>
      <c r="H512" s="5"/>
      <c r="I512" s="5"/>
      <c r="J512" s="5"/>
      <c r="K512" s="50"/>
      <c r="L512" s="50"/>
      <c r="M512" s="50"/>
      <c r="N512" s="50"/>
      <c r="O512" s="50"/>
      <c r="P512" s="50"/>
      <c r="Q512" s="50"/>
      <c r="R512" s="50"/>
      <c r="S512" s="50"/>
      <c r="T512" s="50"/>
      <c r="U512" s="50"/>
      <c r="V512" s="50"/>
      <c r="W512" s="50"/>
      <c r="X512" s="50"/>
      <c r="Y512" s="50"/>
      <c r="Z512" s="50"/>
      <c r="AA512" s="50"/>
      <c r="AB512" s="50"/>
    </row>
    <row r="513" customFormat="false" ht="15.75" hidden="false" customHeight="false" outlineLevel="0" collapsed="false">
      <c r="A513" s="50"/>
      <c r="B513" s="50"/>
      <c r="C513" s="5"/>
      <c r="D513" s="48"/>
      <c r="E513" s="50"/>
      <c r="F513" s="5"/>
      <c r="G513" s="5"/>
      <c r="H513" s="5"/>
      <c r="I513" s="5"/>
      <c r="J513" s="5"/>
      <c r="K513" s="50"/>
      <c r="L513" s="50"/>
      <c r="M513" s="50"/>
      <c r="N513" s="50"/>
      <c r="O513" s="50"/>
      <c r="P513" s="50"/>
      <c r="Q513" s="50"/>
      <c r="R513" s="50"/>
      <c r="S513" s="50"/>
      <c r="T513" s="50"/>
      <c r="U513" s="50"/>
      <c r="V513" s="50"/>
      <c r="W513" s="50"/>
      <c r="X513" s="50"/>
      <c r="Y513" s="50"/>
      <c r="Z513" s="50"/>
      <c r="AA513" s="50"/>
      <c r="AB513" s="50"/>
    </row>
    <row r="514" customFormat="false" ht="15.75" hidden="false" customHeight="false" outlineLevel="0" collapsed="false">
      <c r="A514" s="50"/>
      <c r="B514" s="50"/>
      <c r="C514" s="5"/>
      <c r="D514" s="48"/>
      <c r="E514" s="50"/>
      <c r="F514" s="5"/>
      <c r="G514" s="5"/>
      <c r="H514" s="5"/>
      <c r="I514" s="5"/>
      <c r="J514" s="5"/>
      <c r="K514" s="50"/>
      <c r="L514" s="50"/>
      <c r="M514" s="50"/>
      <c r="N514" s="50"/>
      <c r="O514" s="50"/>
      <c r="P514" s="50"/>
      <c r="Q514" s="50"/>
      <c r="R514" s="50"/>
      <c r="S514" s="50"/>
      <c r="T514" s="50"/>
      <c r="U514" s="50"/>
      <c r="V514" s="50"/>
      <c r="W514" s="50"/>
      <c r="X514" s="50"/>
      <c r="Y514" s="50"/>
      <c r="Z514" s="50"/>
      <c r="AA514" s="50"/>
      <c r="AB514" s="50"/>
    </row>
    <row r="515" customFormat="false" ht="15.75" hidden="false" customHeight="false" outlineLevel="0" collapsed="false">
      <c r="A515" s="50"/>
      <c r="B515" s="50"/>
      <c r="C515" s="5"/>
      <c r="D515" s="48"/>
      <c r="E515" s="50"/>
      <c r="F515" s="5"/>
      <c r="G515" s="5"/>
      <c r="H515" s="5"/>
      <c r="I515" s="5"/>
      <c r="J515" s="5"/>
      <c r="K515" s="50"/>
      <c r="L515" s="50"/>
      <c r="M515" s="50"/>
      <c r="N515" s="50"/>
      <c r="O515" s="50"/>
      <c r="P515" s="50"/>
      <c r="Q515" s="50"/>
      <c r="R515" s="50"/>
      <c r="S515" s="50"/>
      <c r="T515" s="50"/>
      <c r="U515" s="50"/>
      <c r="V515" s="50"/>
      <c r="W515" s="50"/>
      <c r="X515" s="50"/>
      <c r="Y515" s="50"/>
      <c r="Z515" s="50"/>
      <c r="AA515" s="50"/>
      <c r="AB515" s="50"/>
    </row>
    <row r="516" customFormat="false" ht="15.75" hidden="false" customHeight="false" outlineLevel="0" collapsed="false">
      <c r="A516" s="50"/>
      <c r="B516" s="50"/>
      <c r="C516" s="5"/>
      <c r="D516" s="48"/>
      <c r="E516" s="50"/>
      <c r="F516" s="5"/>
      <c r="G516" s="5"/>
      <c r="H516" s="5"/>
      <c r="I516" s="5"/>
      <c r="J516" s="5"/>
      <c r="K516" s="50"/>
      <c r="L516" s="50"/>
      <c r="M516" s="50"/>
      <c r="N516" s="50"/>
      <c r="O516" s="50"/>
      <c r="P516" s="50"/>
      <c r="Q516" s="50"/>
      <c r="R516" s="50"/>
      <c r="S516" s="50"/>
      <c r="T516" s="50"/>
      <c r="U516" s="50"/>
      <c r="V516" s="50"/>
      <c r="W516" s="50"/>
      <c r="X516" s="50"/>
      <c r="Y516" s="50"/>
      <c r="Z516" s="50"/>
      <c r="AA516" s="50"/>
      <c r="AB516" s="50"/>
    </row>
    <row r="517" customFormat="false" ht="15.75" hidden="false" customHeight="false" outlineLevel="0" collapsed="false">
      <c r="A517" s="50"/>
      <c r="B517" s="50"/>
      <c r="C517" s="5"/>
      <c r="D517" s="48"/>
      <c r="E517" s="50"/>
      <c r="F517" s="5"/>
      <c r="G517" s="5"/>
      <c r="H517" s="5"/>
      <c r="I517" s="5"/>
      <c r="J517" s="5"/>
      <c r="K517" s="50"/>
      <c r="L517" s="50"/>
      <c r="M517" s="50"/>
      <c r="N517" s="50"/>
      <c r="O517" s="50"/>
      <c r="P517" s="50"/>
      <c r="Q517" s="50"/>
      <c r="R517" s="50"/>
      <c r="S517" s="50"/>
      <c r="T517" s="50"/>
      <c r="U517" s="50"/>
      <c r="V517" s="50"/>
      <c r="W517" s="50"/>
      <c r="X517" s="50"/>
      <c r="Y517" s="50"/>
      <c r="Z517" s="50"/>
      <c r="AA517" s="50"/>
      <c r="AB517" s="50"/>
    </row>
    <row r="518" customFormat="false" ht="15.75" hidden="false" customHeight="false" outlineLevel="0" collapsed="false">
      <c r="A518" s="50"/>
      <c r="B518" s="50"/>
      <c r="C518" s="5"/>
      <c r="D518" s="48"/>
      <c r="E518" s="50"/>
      <c r="F518" s="5"/>
      <c r="G518" s="5"/>
      <c r="H518" s="5"/>
      <c r="I518" s="5"/>
      <c r="J518" s="5"/>
      <c r="K518" s="50"/>
      <c r="L518" s="50"/>
      <c r="M518" s="50"/>
      <c r="N518" s="50"/>
      <c r="O518" s="50"/>
      <c r="P518" s="50"/>
      <c r="Q518" s="50"/>
      <c r="R518" s="50"/>
      <c r="S518" s="50"/>
      <c r="T518" s="50"/>
      <c r="U518" s="50"/>
      <c r="V518" s="50"/>
      <c r="W518" s="50"/>
      <c r="X518" s="50"/>
      <c r="Y518" s="50"/>
      <c r="Z518" s="50"/>
      <c r="AA518" s="50"/>
      <c r="AB518" s="50"/>
    </row>
    <row r="519" customFormat="false" ht="15.75" hidden="false" customHeight="false" outlineLevel="0" collapsed="false">
      <c r="A519" s="50"/>
      <c r="B519" s="50"/>
      <c r="C519" s="5"/>
      <c r="D519" s="48"/>
      <c r="E519" s="50"/>
      <c r="F519" s="5"/>
      <c r="G519" s="5"/>
      <c r="H519" s="5"/>
      <c r="I519" s="5"/>
      <c r="J519" s="5"/>
      <c r="K519" s="50"/>
      <c r="L519" s="50"/>
      <c r="M519" s="50"/>
      <c r="N519" s="50"/>
      <c r="O519" s="50"/>
      <c r="P519" s="50"/>
      <c r="Q519" s="50"/>
      <c r="R519" s="50"/>
      <c r="S519" s="50"/>
      <c r="T519" s="50"/>
      <c r="U519" s="50"/>
      <c r="V519" s="50"/>
      <c r="W519" s="50"/>
      <c r="X519" s="50"/>
      <c r="Y519" s="50"/>
      <c r="Z519" s="50"/>
      <c r="AA519" s="50"/>
      <c r="AB519" s="50"/>
    </row>
    <row r="520" customFormat="false" ht="15.75" hidden="false" customHeight="false" outlineLevel="0" collapsed="false">
      <c r="A520" s="50"/>
      <c r="B520" s="50"/>
      <c r="C520" s="5"/>
      <c r="D520" s="48"/>
      <c r="E520" s="50"/>
      <c r="F520" s="5"/>
      <c r="G520" s="5"/>
      <c r="H520" s="5"/>
      <c r="I520" s="5"/>
      <c r="J520" s="5"/>
      <c r="K520" s="50"/>
      <c r="L520" s="50"/>
      <c r="M520" s="50"/>
      <c r="N520" s="50"/>
      <c r="O520" s="50"/>
      <c r="P520" s="50"/>
      <c r="Q520" s="50"/>
      <c r="R520" s="50"/>
      <c r="S520" s="50"/>
      <c r="T520" s="50"/>
      <c r="U520" s="50"/>
      <c r="V520" s="50"/>
      <c r="W520" s="50"/>
      <c r="X520" s="50"/>
      <c r="Y520" s="50"/>
      <c r="Z520" s="50"/>
      <c r="AA520" s="50"/>
      <c r="AB520" s="50"/>
    </row>
    <row r="521" customFormat="false" ht="15.75" hidden="false" customHeight="false" outlineLevel="0" collapsed="false">
      <c r="A521" s="50"/>
      <c r="B521" s="50"/>
      <c r="C521" s="5"/>
      <c r="D521" s="48"/>
      <c r="E521" s="50"/>
      <c r="F521" s="5"/>
      <c r="G521" s="5"/>
      <c r="H521" s="5"/>
      <c r="I521" s="5"/>
      <c r="J521" s="5"/>
      <c r="K521" s="50"/>
      <c r="L521" s="50"/>
      <c r="M521" s="50"/>
      <c r="N521" s="50"/>
      <c r="O521" s="50"/>
      <c r="P521" s="50"/>
      <c r="Q521" s="50"/>
      <c r="R521" s="50"/>
      <c r="S521" s="50"/>
      <c r="T521" s="50"/>
      <c r="U521" s="50"/>
      <c r="V521" s="50"/>
      <c r="W521" s="50"/>
      <c r="X521" s="50"/>
      <c r="Y521" s="50"/>
      <c r="Z521" s="50"/>
      <c r="AA521" s="50"/>
      <c r="AB521" s="50"/>
    </row>
    <row r="522" customFormat="false" ht="15.75" hidden="false" customHeight="false" outlineLevel="0" collapsed="false">
      <c r="A522" s="50"/>
      <c r="B522" s="50"/>
      <c r="C522" s="5"/>
      <c r="D522" s="48"/>
      <c r="E522" s="50"/>
      <c r="F522" s="5"/>
      <c r="G522" s="5"/>
      <c r="H522" s="5"/>
      <c r="I522" s="5"/>
      <c r="J522" s="5"/>
      <c r="K522" s="50"/>
      <c r="L522" s="50"/>
      <c r="M522" s="50"/>
      <c r="N522" s="50"/>
      <c r="O522" s="50"/>
      <c r="P522" s="50"/>
      <c r="Q522" s="50"/>
      <c r="R522" s="50"/>
      <c r="S522" s="50"/>
      <c r="T522" s="50"/>
      <c r="U522" s="50"/>
      <c r="V522" s="50"/>
      <c r="W522" s="50"/>
      <c r="X522" s="50"/>
      <c r="Y522" s="50"/>
      <c r="Z522" s="50"/>
      <c r="AA522" s="50"/>
      <c r="AB522" s="50"/>
    </row>
    <row r="523" customFormat="false" ht="15.75" hidden="false" customHeight="false" outlineLevel="0" collapsed="false">
      <c r="A523" s="50"/>
      <c r="B523" s="50"/>
      <c r="C523" s="5"/>
      <c r="D523" s="48"/>
      <c r="E523" s="50"/>
      <c r="F523" s="5"/>
      <c r="G523" s="5"/>
      <c r="H523" s="5"/>
      <c r="I523" s="5"/>
      <c r="J523" s="5"/>
      <c r="K523" s="50"/>
      <c r="L523" s="50"/>
      <c r="M523" s="50"/>
      <c r="N523" s="50"/>
      <c r="O523" s="50"/>
      <c r="P523" s="50"/>
      <c r="Q523" s="50"/>
      <c r="R523" s="50"/>
      <c r="S523" s="50"/>
      <c r="T523" s="50"/>
      <c r="U523" s="50"/>
      <c r="V523" s="50"/>
      <c r="W523" s="50"/>
      <c r="X523" s="50"/>
      <c r="Y523" s="50"/>
      <c r="Z523" s="50"/>
      <c r="AA523" s="50"/>
      <c r="AB523" s="50"/>
    </row>
    <row r="524" customFormat="false" ht="15.75" hidden="false" customHeight="false" outlineLevel="0" collapsed="false">
      <c r="A524" s="50"/>
      <c r="B524" s="50"/>
      <c r="C524" s="5"/>
      <c r="D524" s="48"/>
      <c r="E524" s="50"/>
      <c r="F524" s="5"/>
      <c r="G524" s="5"/>
      <c r="H524" s="5"/>
      <c r="I524" s="5"/>
      <c r="J524" s="5"/>
      <c r="K524" s="50"/>
      <c r="L524" s="50"/>
      <c r="M524" s="50"/>
      <c r="N524" s="50"/>
      <c r="O524" s="50"/>
      <c r="P524" s="50"/>
      <c r="Q524" s="50"/>
      <c r="R524" s="50"/>
      <c r="S524" s="50"/>
      <c r="T524" s="50"/>
      <c r="U524" s="50"/>
      <c r="V524" s="50"/>
      <c r="W524" s="50"/>
      <c r="X524" s="50"/>
      <c r="Y524" s="50"/>
      <c r="Z524" s="50"/>
      <c r="AA524" s="50"/>
      <c r="AB524" s="50"/>
    </row>
    <row r="525" customFormat="false" ht="15.75" hidden="false" customHeight="false" outlineLevel="0" collapsed="false">
      <c r="A525" s="50"/>
      <c r="B525" s="50"/>
      <c r="C525" s="5"/>
      <c r="D525" s="48"/>
      <c r="E525" s="50"/>
      <c r="F525" s="5"/>
      <c r="G525" s="5"/>
      <c r="H525" s="5"/>
      <c r="I525" s="5"/>
      <c r="J525" s="5"/>
      <c r="K525" s="50"/>
      <c r="L525" s="50"/>
      <c r="M525" s="50"/>
      <c r="N525" s="50"/>
      <c r="O525" s="50"/>
      <c r="P525" s="50"/>
      <c r="Q525" s="50"/>
      <c r="R525" s="50"/>
      <c r="S525" s="50"/>
      <c r="T525" s="50"/>
      <c r="U525" s="50"/>
      <c r="V525" s="50"/>
      <c r="W525" s="50"/>
      <c r="X525" s="50"/>
      <c r="Y525" s="50"/>
      <c r="Z525" s="50"/>
      <c r="AA525" s="50"/>
      <c r="AB525" s="50"/>
    </row>
    <row r="526" customFormat="false" ht="15.75" hidden="false" customHeight="false" outlineLevel="0" collapsed="false">
      <c r="A526" s="50"/>
      <c r="B526" s="50"/>
      <c r="C526" s="5"/>
      <c r="D526" s="48"/>
      <c r="E526" s="50"/>
      <c r="F526" s="5"/>
      <c r="G526" s="5"/>
      <c r="H526" s="5"/>
      <c r="I526" s="5"/>
      <c r="J526" s="5"/>
      <c r="K526" s="50"/>
      <c r="L526" s="50"/>
      <c r="M526" s="50"/>
      <c r="N526" s="50"/>
      <c r="O526" s="50"/>
      <c r="P526" s="50"/>
      <c r="Q526" s="50"/>
      <c r="R526" s="50"/>
      <c r="S526" s="50"/>
      <c r="T526" s="50"/>
      <c r="U526" s="50"/>
      <c r="V526" s="50"/>
      <c r="W526" s="50"/>
      <c r="X526" s="50"/>
      <c r="Y526" s="50"/>
      <c r="Z526" s="50"/>
      <c r="AA526" s="50"/>
      <c r="AB526" s="50"/>
    </row>
    <row r="527" customFormat="false" ht="15.75" hidden="false" customHeight="false" outlineLevel="0" collapsed="false">
      <c r="A527" s="50"/>
      <c r="B527" s="50"/>
      <c r="C527" s="5"/>
      <c r="D527" s="48"/>
      <c r="E527" s="50"/>
      <c r="F527" s="5"/>
      <c r="G527" s="5"/>
      <c r="H527" s="5"/>
      <c r="I527" s="5"/>
      <c r="J527" s="5"/>
      <c r="K527" s="50"/>
      <c r="L527" s="50"/>
      <c r="M527" s="50"/>
      <c r="N527" s="50"/>
      <c r="O527" s="50"/>
      <c r="P527" s="50"/>
      <c r="Q527" s="50"/>
      <c r="R527" s="50"/>
      <c r="S527" s="50"/>
      <c r="T527" s="50"/>
      <c r="U527" s="50"/>
      <c r="V527" s="50"/>
      <c r="W527" s="50"/>
      <c r="X527" s="50"/>
      <c r="Y527" s="50"/>
      <c r="Z527" s="50"/>
      <c r="AA527" s="50"/>
      <c r="AB527" s="50"/>
    </row>
    <row r="528" customFormat="false" ht="15.75" hidden="false" customHeight="false" outlineLevel="0" collapsed="false">
      <c r="A528" s="50"/>
      <c r="B528" s="50"/>
      <c r="C528" s="5"/>
      <c r="D528" s="48"/>
      <c r="E528" s="50"/>
      <c r="F528" s="5"/>
      <c r="G528" s="5"/>
      <c r="H528" s="5"/>
      <c r="I528" s="5"/>
      <c r="J528" s="5"/>
      <c r="K528" s="50"/>
      <c r="L528" s="50"/>
      <c r="M528" s="50"/>
      <c r="N528" s="50"/>
      <c r="O528" s="50"/>
      <c r="P528" s="50"/>
      <c r="Q528" s="50"/>
      <c r="R528" s="50"/>
      <c r="S528" s="50"/>
      <c r="T528" s="50"/>
      <c r="U528" s="50"/>
      <c r="V528" s="50"/>
      <c r="W528" s="50"/>
      <c r="X528" s="50"/>
      <c r="Y528" s="50"/>
      <c r="Z528" s="50"/>
      <c r="AA528" s="50"/>
      <c r="AB528" s="50"/>
    </row>
    <row r="529" customFormat="false" ht="15.75" hidden="false" customHeight="false" outlineLevel="0" collapsed="false">
      <c r="A529" s="50"/>
      <c r="B529" s="50"/>
      <c r="C529" s="5"/>
      <c r="D529" s="48"/>
      <c r="E529" s="50"/>
      <c r="F529" s="5"/>
      <c r="G529" s="5"/>
      <c r="H529" s="5"/>
      <c r="I529" s="5"/>
      <c r="J529" s="5"/>
      <c r="K529" s="50"/>
      <c r="L529" s="50"/>
      <c r="M529" s="50"/>
      <c r="N529" s="50"/>
      <c r="O529" s="50"/>
      <c r="P529" s="50"/>
      <c r="Q529" s="50"/>
      <c r="R529" s="50"/>
      <c r="S529" s="50"/>
      <c r="T529" s="50"/>
      <c r="U529" s="50"/>
      <c r="V529" s="50"/>
      <c r="W529" s="50"/>
      <c r="X529" s="50"/>
      <c r="Y529" s="50"/>
      <c r="Z529" s="50"/>
      <c r="AA529" s="50"/>
      <c r="AB529" s="50"/>
    </row>
    <row r="530" customFormat="false" ht="15.75" hidden="false" customHeight="false" outlineLevel="0" collapsed="false">
      <c r="A530" s="50"/>
      <c r="B530" s="50"/>
      <c r="C530" s="5"/>
      <c r="D530" s="48"/>
      <c r="E530" s="50"/>
      <c r="F530" s="5"/>
      <c r="G530" s="5"/>
      <c r="H530" s="5"/>
      <c r="I530" s="5"/>
      <c r="J530" s="5"/>
      <c r="K530" s="50"/>
      <c r="L530" s="50"/>
      <c r="M530" s="50"/>
      <c r="N530" s="50"/>
      <c r="O530" s="50"/>
      <c r="P530" s="50"/>
      <c r="Q530" s="50"/>
      <c r="R530" s="50"/>
      <c r="S530" s="50"/>
      <c r="T530" s="50"/>
      <c r="U530" s="50"/>
      <c r="V530" s="50"/>
      <c r="W530" s="50"/>
      <c r="X530" s="50"/>
      <c r="Y530" s="50"/>
      <c r="Z530" s="50"/>
      <c r="AA530" s="50"/>
      <c r="AB530" s="50"/>
    </row>
    <row r="531" customFormat="false" ht="15.75" hidden="false" customHeight="false" outlineLevel="0" collapsed="false">
      <c r="A531" s="50"/>
      <c r="B531" s="50"/>
      <c r="C531" s="5"/>
      <c r="D531" s="48"/>
      <c r="E531" s="50"/>
      <c r="F531" s="5"/>
      <c r="G531" s="5"/>
      <c r="H531" s="5"/>
      <c r="I531" s="5"/>
      <c r="J531" s="5"/>
      <c r="K531" s="50"/>
      <c r="L531" s="50"/>
      <c r="M531" s="50"/>
      <c r="N531" s="50"/>
      <c r="O531" s="50"/>
      <c r="P531" s="50"/>
      <c r="Q531" s="50"/>
      <c r="R531" s="50"/>
      <c r="S531" s="50"/>
      <c r="T531" s="50"/>
      <c r="U531" s="50"/>
      <c r="V531" s="50"/>
      <c r="W531" s="50"/>
      <c r="X531" s="50"/>
      <c r="Y531" s="50"/>
      <c r="Z531" s="50"/>
      <c r="AA531" s="50"/>
      <c r="AB531" s="50"/>
    </row>
    <row r="532" customFormat="false" ht="15.75" hidden="false" customHeight="false" outlineLevel="0" collapsed="false">
      <c r="A532" s="50"/>
      <c r="B532" s="50"/>
      <c r="C532" s="5"/>
      <c r="D532" s="48"/>
      <c r="E532" s="50"/>
      <c r="F532" s="5"/>
      <c r="G532" s="5"/>
      <c r="H532" s="5"/>
      <c r="I532" s="5"/>
      <c r="J532" s="5"/>
      <c r="K532" s="50"/>
      <c r="L532" s="50"/>
      <c r="M532" s="50"/>
      <c r="N532" s="50"/>
      <c r="O532" s="50"/>
      <c r="P532" s="50"/>
      <c r="Q532" s="50"/>
      <c r="R532" s="50"/>
      <c r="S532" s="50"/>
      <c r="T532" s="50"/>
      <c r="U532" s="50"/>
      <c r="V532" s="50"/>
      <c r="W532" s="50"/>
      <c r="X532" s="50"/>
      <c r="Y532" s="50"/>
      <c r="Z532" s="50"/>
      <c r="AA532" s="50"/>
      <c r="AB532" s="50"/>
    </row>
    <row r="533" customFormat="false" ht="15.75" hidden="false" customHeight="false" outlineLevel="0" collapsed="false">
      <c r="A533" s="50"/>
      <c r="B533" s="50"/>
      <c r="C533" s="5"/>
      <c r="D533" s="48"/>
      <c r="E533" s="50"/>
      <c r="F533" s="5"/>
      <c r="G533" s="5"/>
      <c r="H533" s="5"/>
      <c r="I533" s="5"/>
      <c r="J533" s="5"/>
      <c r="K533" s="50"/>
      <c r="L533" s="50"/>
      <c r="M533" s="50"/>
      <c r="N533" s="50"/>
      <c r="O533" s="50"/>
      <c r="P533" s="50"/>
      <c r="Q533" s="50"/>
      <c r="R533" s="50"/>
      <c r="S533" s="50"/>
      <c r="T533" s="50"/>
      <c r="U533" s="50"/>
      <c r="V533" s="50"/>
      <c r="W533" s="50"/>
      <c r="X533" s="50"/>
      <c r="Y533" s="50"/>
      <c r="Z533" s="50"/>
      <c r="AA533" s="50"/>
      <c r="AB533" s="50"/>
    </row>
    <row r="534" customFormat="false" ht="15.75" hidden="false" customHeight="false" outlineLevel="0" collapsed="false">
      <c r="A534" s="50"/>
      <c r="B534" s="50"/>
      <c r="C534" s="5"/>
      <c r="D534" s="48"/>
      <c r="E534" s="50"/>
      <c r="F534" s="5"/>
      <c r="G534" s="5"/>
      <c r="H534" s="5"/>
      <c r="I534" s="5"/>
      <c r="J534" s="5"/>
      <c r="K534" s="50"/>
      <c r="L534" s="50"/>
      <c r="M534" s="50"/>
      <c r="N534" s="50"/>
      <c r="O534" s="50"/>
      <c r="P534" s="50"/>
      <c r="Q534" s="50"/>
      <c r="R534" s="50"/>
      <c r="S534" s="50"/>
      <c r="T534" s="50"/>
      <c r="U534" s="50"/>
      <c r="V534" s="50"/>
      <c r="W534" s="50"/>
      <c r="X534" s="50"/>
      <c r="Y534" s="50"/>
      <c r="Z534" s="50"/>
      <c r="AA534" s="50"/>
      <c r="AB534" s="50"/>
    </row>
    <row r="535" customFormat="false" ht="15.75" hidden="false" customHeight="false" outlineLevel="0" collapsed="false">
      <c r="A535" s="50"/>
      <c r="B535" s="50"/>
      <c r="C535" s="5"/>
      <c r="D535" s="48"/>
      <c r="E535" s="50"/>
      <c r="F535" s="5"/>
      <c r="G535" s="5"/>
      <c r="H535" s="5"/>
      <c r="I535" s="5"/>
      <c r="J535" s="5"/>
      <c r="K535" s="50"/>
      <c r="L535" s="50"/>
      <c r="M535" s="50"/>
      <c r="N535" s="50"/>
      <c r="O535" s="50"/>
      <c r="P535" s="50"/>
      <c r="Q535" s="50"/>
      <c r="R535" s="50"/>
      <c r="S535" s="50"/>
      <c r="T535" s="50"/>
      <c r="U535" s="50"/>
      <c r="V535" s="50"/>
      <c r="W535" s="50"/>
      <c r="X535" s="50"/>
      <c r="Y535" s="50"/>
      <c r="Z535" s="50"/>
      <c r="AA535" s="50"/>
      <c r="AB535" s="50"/>
    </row>
    <row r="536" customFormat="false" ht="15.75" hidden="false" customHeight="false" outlineLevel="0" collapsed="false">
      <c r="A536" s="50"/>
      <c r="B536" s="50"/>
      <c r="C536" s="5"/>
      <c r="D536" s="48"/>
      <c r="E536" s="50"/>
      <c r="F536" s="5"/>
      <c r="G536" s="5"/>
      <c r="H536" s="5"/>
      <c r="I536" s="5"/>
      <c r="J536" s="5"/>
      <c r="K536" s="50"/>
      <c r="L536" s="50"/>
      <c r="M536" s="50"/>
      <c r="N536" s="50"/>
      <c r="O536" s="50"/>
      <c r="P536" s="50"/>
      <c r="Q536" s="50"/>
      <c r="R536" s="50"/>
      <c r="S536" s="50"/>
      <c r="T536" s="50"/>
      <c r="U536" s="50"/>
      <c r="V536" s="50"/>
      <c r="W536" s="50"/>
      <c r="X536" s="50"/>
      <c r="Y536" s="50"/>
      <c r="Z536" s="50"/>
      <c r="AA536" s="50"/>
      <c r="AB536" s="50"/>
    </row>
    <row r="537" customFormat="false" ht="15.75" hidden="false" customHeight="false" outlineLevel="0" collapsed="false">
      <c r="A537" s="50"/>
      <c r="B537" s="50"/>
      <c r="C537" s="5"/>
      <c r="D537" s="48"/>
      <c r="E537" s="50"/>
      <c r="F537" s="5"/>
      <c r="G537" s="5"/>
      <c r="H537" s="5"/>
      <c r="I537" s="5"/>
      <c r="J537" s="5"/>
      <c r="K537" s="50"/>
      <c r="L537" s="50"/>
      <c r="M537" s="50"/>
      <c r="N537" s="50"/>
      <c r="O537" s="50"/>
      <c r="P537" s="50"/>
      <c r="Q537" s="50"/>
      <c r="R537" s="50"/>
      <c r="S537" s="50"/>
      <c r="T537" s="50"/>
      <c r="U537" s="50"/>
      <c r="V537" s="50"/>
      <c r="W537" s="50"/>
      <c r="X537" s="50"/>
      <c r="Y537" s="50"/>
      <c r="Z537" s="50"/>
      <c r="AA537" s="50"/>
      <c r="AB537" s="50"/>
    </row>
    <row r="538" customFormat="false" ht="15.75" hidden="false" customHeight="false" outlineLevel="0" collapsed="false">
      <c r="A538" s="50"/>
      <c r="B538" s="50"/>
      <c r="C538" s="5"/>
      <c r="D538" s="48"/>
      <c r="E538" s="50"/>
      <c r="F538" s="5"/>
      <c r="G538" s="5"/>
      <c r="H538" s="5"/>
      <c r="I538" s="5"/>
      <c r="J538" s="5"/>
      <c r="K538" s="50"/>
      <c r="L538" s="50"/>
      <c r="M538" s="50"/>
      <c r="N538" s="50"/>
      <c r="O538" s="50"/>
      <c r="P538" s="50"/>
      <c r="Q538" s="50"/>
      <c r="R538" s="50"/>
      <c r="S538" s="50"/>
      <c r="T538" s="50"/>
      <c r="U538" s="50"/>
      <c r="V538" s="50"/>
      <c r="W538" s="50"/>
      <c r="X538" s="50"/>
      <c r="Y538" s="50"/>
      <c r="Z538" s="50"/>
      <c r="AA538" s="50"/>
      <c r="AB538" s="50"/>
    </row>
    <row r="539" customFormat="false" ht="15.75" hidden="false" customHeight="false" outlineLevel="0" collapsed="false">
      <c r="A539" s="50"/>
      <c r="B539" s="50"/>
      <c r="C539" s="5"/>
      <c r="D539" s="48"/>
      <c r="E539" s="50"/>
      <c r="F539" s="5"/>
      <c r="G539" s="5"/>
      <c r="H539" s="5"/>
      <c r="I539" s="5"/>
      <c r="J539" s="5"/>
      <c r="K539" s="50"/>
      <c r="L539" s="50"/>
      <c r="M539" s="50"/>
      <c r="N539" s="50"/>
      <c r="O539" s="50"/>
      <c r="P539" s="50"/>
      <c r="Q539" s="50"/>
      <c r="R539" s="50"/>
      <c r="S539" s="50"/>
      <c r="T539" s="50"/>
      <c r="U539" s="50"/>
      <c r="V539" s="50"/>
      <c r="W539" s="50"/>
      <c r="X539" s="50"/>
      <c r="Y539" s="50"/>
      <c r="Z539" s="50"/>
      <c r="AA539" s="50"/>
      <c r="AB539" s="50"/>
    </row>
    <row r="540" customFormat="false" ht="15.75" hidden="false" customHeight="false" outlineLevel="0" collapsed="false">
      <c r="A540" s="50"/>
      <c r="B540" s="50"/>
      <c r="C540" s="5"/>
      <c r="D540" s="48"/>
      <c r="E540" s="50"/>
      <c r="F540" s="5"/>
      <c r="G540" s="5"/>
      <c r="H540" s="5"/>
      <c r="I540" s="5"/>
      <c r="J540" s="5"/>
      <c r="K540" s="50"/>
      <c r="L540" s="50"/>
      <c r="M540" s="50"/>
      <c r="N540" s="50"/>
      <c r="O540" s="50"/>
      <c r="P540" s="50"/>
      <c r="Q540" s="50"/>
      <c r="R540" s="50"/>
      <c r="S540" s="50"/>
      <c r="T540" s="50"/>
      <c r="U540" s="50"/>
      <c r="V540" s="50"/>
      <c r="W540" s="50"/>
      <c r="X540" s="50"/>
      <c r="Y540" s="50"/>
      <c r="Z540" s="50"/>
      <c r="AA540" s="50"/>
      <c r="AB540" s="50"/>
    </row>
    <row r="541" customFormat="false" ht="15.75" hidden="false" customHeight="false" outlineLevel="0" collapsed="false">
      <c r="A541" s="50"/>
      <c r="B541" s="50"/>
      <c r="C541" s="5"/>
      <c r="D541" s="48"/>
      <c r="E541" s="50"/>
      <c r="F541" s="5"/>
      <c r="G541" s="5"/>
      <c r="H541" s="5"/>
      <c r="I541" s="5"/>
      <c r="J541" s="5"/>
      <c r="K541" s="50"/>
      <c r="L541" s="50"/>
      <c r="M541" s="50"/>
      <c r="N541" s="50"/>
      <c r="O541" s="50"/>
      <c r="P541" s="50"/>
      <c r="Q541" s="50"/>
      <c r="R541" s="50"/>
      <c r="S541" s="50"/>
      <c r="T541" s="50"/>
      <c r="U541" s="50"/>
      <c r="V541" s="50"/>
      <c r="W541" s="50"/>
      <c r="X541" s="50"/>
      <c r="Y541" s="50"/>
      <c r="Z541" s="50"/>
      <c r="AA541" s="50"/>
      <c r="AB541" s="50"/>
    </row>
    <row r="542" customFormat="false" ht="15.75" hidden="false" customHeight="false" outlineLevel="0" collapsed="false">
      <c r="A542" s="50"/>
      <c r="B542" s="50"/>
      <c r="C542" s="5"/>
      <c r="D542" s="48"/>
      <c r="E542" s="50"/>
      <c r="F542" s="5"/>
      <c r="G542" s="5"/>
      <c r="H542" s="5"/>
      <c r="I542" s="5"/>
      <c r="J542" s="5"/>
      <c r="K542" s="50"/>
      <c r="L542" s="50"/>
      <c r="M542" s="50"/>
      <c r="N542" s="50"/>
      <c r="O542" s="50"/>
      <c r="P542" s="50"/>
      <c r="Q542" s="50"/>
      <c r="R542" s="50"/>
      <c r="S542" s="50"/>
      <c r="T542" s="50"/>
      <c r="U542" s="50"/>
      <c r="V542" s="50"/>
      <c r="W542" s="50"/>
      <c r="X542" s="50"/>
      <c r="Y542" s="50"/>
      <c r="Z542" s="50"/>
      <c r="AA542" s="50"/>
      <c r="AB542" s="50"/>
    </row>
    <row r="543" customFormat="false" ht="15.75" hidden="false" customHeight="false" outlineLevel="0" collapsed="false">
      <c r="A543" s="50"/>
      <c r="B543" s="50"/>
      <c r="C543" s="5"/>
      <c r="D543" s="48"/>
      <c r="E543" s="50"/>
      <c r="F543" s="5"/>
      <c r="G543" s="5"/>
      <c r="H543" s="5"/>
      <c r="I543" s="5"/>
      <c r="J543" s="5"/>
      <c r="K543" s="50"/>
      <c r="L543" s="50"/>
      <c r="M543" s="50"/>
      <c r="N543" s="50"/>
      <c r="O543" s="50"/>
      <c r="P543" s="50"/>
      <c r="Q543" s="50"/>
      <c r="R543" s="50"/>
      <c r="S543" s="50"/>
      <c r="T543" s="50"/>
      <c r="U543" s="50"/>
      <c r="V543" s="50"/>
      <c r="W543" s="50"/>
      <c r="X543" s="50"/>
      <c r="Y543" s="50"/>
      <c r="Z543" s="50"/>
      <c r="AA543" s="50"/>
      <c r="AB543" s="50"/>
    </row>
    <row r="544" customFormat="false" ht="15.75" hidden="false" customHeight="false" outlineLevel="0" collapsed="false">
      <c r="A544" s="50"/>
      <c r="B544" s="50"/>
      <c r="C544" s="5"/>
      <c r="D544" s="48"/>
      <c r="E544" s="50"/>
      <c r="F544" s="5"/>
      <c r="G544" s="5"/>
      <c r="H544" s="5"/>
      <c r="I544" s="5"/>
      <c r="J544" s="5"/>
      <c r="K544" s="50"/>
      <c r="L544" s="50"/>
      <c r="M544" s="50"/>
      <c r="N544" s="50"/>
      <c r="O544" s="50"/>
      <c r="P544" s="50"/>
      <c r="Q544" s="50"/>
      <c r="R544" s="50"/>
      <c r="S544" s="50"/>
      <c r="T544" s="50"/>
      <c r="U544" s="50"/>
      <c r="V544" s="50"/>
      <c r="W544" s="50"/>
      <c r="X544" s="50"/>
      <c r="Y544" s="50"/>
      <c r="Z544" s="50"/>
      <c r="AA544" s="50"/>
      <c r="AB544" s="50"/>
    </row>
    <row r="545" customFormat="false" ht="15.75" hidden="false" customHeight="false" outlineLevel="0" collapsed="false">
      <c r="A545" s="50"/>
      <c r="B545" s="50"/>
      <c r="C545" s="5"/>
      <c r="D545" s="48"/>
      <c r="E545" s="50"/>
      <c r="F545" s="5"/>
      <c r="G545" s="5"/>
      <c r="H545" s="5"/>
      <c r="I545" s="5"/>
      <c r="J545" s="5"/>
      <c r="K545" s="50"/>
      <c r="L545" s="50"/>
      <c r="M545" s="50"/>
      <c r="N545" s="50"/>
      <c r="O545" s="50"/>
      <c r="P545" s="50"/>
      <c r="Q545" s="50"/>
      <c r="R545" s="50"/>
      <c r="S545" s="50"/>
      <c r="T545" s="50"/>
      <c r="U545" s="50"/>
      <c r="V545" s="50"/>
      <c r="W545" s="50"/>
      <c r="X545" s="50"/>
      <c r="Y545" s="50"/>
      <c r="Z545" s="50"/>
      <c r="AA545" s="50"/>
      <c r="AB545" s="50"/>
    </row>
    <row r="546" customFormat="false" ht="15.75" hidden="false" customHeight="false" outlineLevel="0" collapsed="false">
      <c r="A546" s="50"/>
      <c r="B546" s="50"/>
      <c r="C546" s="5"/>
      <c r="D546" s="48"/>
      <c r="E546" s="50"/>
      <c r="F546" s="5"/>
      <c r="G546" s="5"/>
      <c r="H546" s="5"/>
      <c r="I546" s="5"/>
      <c r="J546" s="5"/>
      <c r="K546" s="50"/>
      <c r="L546" s="50"/>
      <c r="M546" s="50"/>
      <c r="N546" s="50"/>
      <c r="O546" s="50"/>
      <c r="P546" s="50"/>
      <c r="Q546" s="50"/>
      <c r="R546" s="50"/>
      <c r="S546" s="50"/>
      <c r="T546" s="50"/>
      <c r="U546" s="50"/>
      <c r="V546" s="50"/>
      <c r="W546" s="50"/>
      <c r="X546" s="50"/>
      <c r="Y546" s="50"/>
      <c r="Z546" s="50"/>
      <c r="AA546" s="50"/>
      <c r="AB546" s="50"/>
    </row>
    <row r="547" customFormat="false" ht="15.75" hidden="false" customHeight="false" outlineLevel="0" collapsed="false">
      <c r="A547" s="50"/>
      <c r="B547" s="50"/>
      <c r="C547" s="5"/>
      <c r="D547" s="48"/>
      <c r="E547" s="50"/>
      <c r="F547" s="5"/>
      <c r="G547" s="5"/>
      <c r="H547" s="5"/>
      <c r="I547" s="5"/>
      <c r="J547" s="5"/>
      <c r="K547" s="50"/>
      <c r="L547" s="50"/>
      <c r="M547" s="50"/>
      <c r="N547" s="50"/>
      <c r="O547" s="50"/>
      <c r="P547" s="50"/>
      <c r="Q547" s="50"/>
      <c r="R547" s="50"/>
      <c r="S547" s="50"/>
      <c r="T547" s="50"/>
      <c r="U547" s="50"/>
      <c r="V547" s="50"/>
      <c r="W547" s="50"/>
      <c r="X547" s="50"/>
      <c r="Y547" s="50"/>
      <c r="Z547" s="50"/>
      <c r="AA547" s="50"/>
      <c r="AB547" s="50"/>
    </row>
    <row r="548" customFormat="false" ht="15.75" hidden="false" customHeight="false" outlineLevel="0" collapsed="false">
      <c r="A548" s="50"/>
      <c r="B548" s="50"/>
      <c r="C548" s="5"/>
      <c r="D548" s="48"/>
      <c r="E548" s="50"/>
      <c r="F548" s="5"/>
      <c r="G548" s="5"/>
      <c r="H548" s="5"/>
      <c r="I548" s="5"/>
      <c r="J548" s="5"/>
      <c r="K548" s="50"/>
      <c r="L548" s="50"/>
      <c r="M548" s="50"/>
      <c r="N548" s="50"/>
      <c r="O548" s="50"/>
      <c r="P548" s="50"/>
      <c r="Q548" s="50"/>
      <c r="R548" s="50"/>
      <c r="S548" s="50"/>
      <c r="T548" s="50"/>
      <c r="U548" s="50"/>
      <c r="V548" s="50"/>
      <c r="W548" s="50"/>
      <c r="X548" s="50"/>
      <c r="Y548" s="50"/>
      <c r="Z548" s="50"/>
      <c r="AA548" s="50"/>
      <c r="AB548" s="50"/>
    </row>
    <row r="549" customFormat="false" ht="15.75" hidden="false" customHeight="false" outlineLevel="0" collapsed="false">
      <c r="A549" s="50"/>
      <c r="B549" s="50"/>
      <c r="C549" s="5"/>
      <c r="D549" s="48"/>
      <c r="E549" s="50"/>
      <c r="F549" s="5"/>
      <c r="G549" s="5"/>
      <c r="H549" s="5"/>
      <c r="I549" s="5"/>
      <c r="J549" s="5"/>
      <c r="K549" s="50"/>
      <c r="L549" s="50"/>
      <c r="M549" s="50"/>
      <c r="N549" s="50"/>
      <c r="O549" s="50"/>
      <c r="P549" s="50"/>
      <c r="Q549" s="50"/>
      <c r="R549" s="50"/>
      <c r="S549" s="50"/>
      <c r="T549" s="50"/>
      <c r="U549" s="50"/>
      <c r="V549" s="50"/>
      <c r="W549" s="50"/>
      <c r="X549" s="50"/>
      <c r="Y549" s="50"/>
      <c r="Z549" s="50"/>
      <c r="AA549" s="50"/>
      <c r="AB549" s="50"/>
    </row>
    <row r="550" customFormat="false" ht="15.75" hidden="false" customHeight="false" outlineLevel="0" collapsed="false">
      <c r="A550" s="50"/>
      <c r="B550" s="50"/>
      <c r="C550" s="5"/>
      <c r="D550" s="48"/>
      <c r="E550" s="50"/>
      <c r="F550" s="5"/>
      <c r="G550" s="5"/>
      <c r="H550" s="5"/>
      <c r="I550" s="5"/>
      <c r="J550" s="5"/>
      <c r="K550" s="50"/>
      <c r="L550" s="50"/>
      <c r="M550" s="50"/>
      <c r="N550" s="50"/>
      <c r="O550" s="50"/>
      <c r="P550" s="50"/>
      <c r="Q550" s="50"/>
      <c r="R550" s="50"/>
      <c r="S550" s="50"/>
      <c r="T550" s="50"/>
      <c r="U550" s="50"/>
      <c r="V550" s="50"/>
      <c r="W550" s="50"/>
      <c r="X550" s="50"/>
      <c r="Y550" s="50"/>
      <c r="Z550" s="50"/>
      <c r="AA550" s="50"/>
      <c r="AB550" s="50"/>
    </row>
    <row r="551" customFormat="false" ht="15.75" hidden="false" customHeight="false" outlineLevel="0" collapsed="false">
      <c r="A551" s="50"/>
      <c r="B551" s="50"/>
      <c r="C551" s="5"/>
      <c r="D551" s="48"/>
      <c r="E551" s="50"/>
      <c r="F551" s="5"/>
      <c r="G551" s="5"/>
      <c r="H551" s="5"/>
      <c r="I551" s="5"/>
      <c r="J551" s="5"/>
      <c r="K551" s="50"/>
      <c r="L551" s="50"/>
      <c r="M551" s="50"/>
      <c r="N551" s="50"/>
      <c r="O551" s="50"/>
      <c r="P551" s="50"/>
      <c r="Q551" s="50"/>
      <c r="R551" s="50"/>
      <c r="S551" s="50"/>
      <c r="T551" s="50"/>
      <c r="U551" s="50"/>
      <c r="V551" s="50"/>
      <c r="W551" s="50"/>
      <c r="X551" s="50"/>
      <c r="Y551" s="50"/>
      <c r="Z551" s="50"/>
      <c r="AA551" s="50"/>
      <c r="AB551" s="50"/>
    </row>
    <row r="552" customFormat="false" ht="15.75" hidden="false" customHeight="false" outlineLevel="0" collapsed="false">
      <c r="A552" s="50"/>
      <c r="B552" s="50"/>
      <c r="C552" s="5"/>
      <c r="D552" s="48"/>
      <c r="E552" s="50"/>
      <c r="F552" s="5"/>
      <c r="G552" s="5"/>
      <c r="H552" s="5"/>
      <c r="I552" s="5"/>
      <c r="J552" s="5"/>
      <c r="K552" s="50"/>
      <c r="L552" s="50"/>
      <c r="M552" s="50"/>
      <c r="N552" s="50"/>
      <c r="O552" s="50"/>
      <c r="P552" s="50"/>
      <c r="Q552" s="50"/>
      <c r="R552" s="50"/>
      <c r="S552" s="50"/>
      <c r="T552" s="50"/>
      <c r="U552" s="50"/>
      <c r="V552" s="50"/>
      <c r="W552" s="50"/>
      <c r="X552" s="50"/>
      <c r="Y552" s="50"/>
      <c r="Z552" s="50"/>
      <c r="AA552" s="50"/>
      <c r="AB552" s="50"/>
    </row>
    <row r="553" customFormat="false" ht="15.75" hidden="false" customHeight="false" outlineLevel="0" collapsed="false">
      <c r="A553" s="50"/>
      <c r="B553" s="50"/>
      <c r="C553" s="5"/>
      <c r="D553" s="48"/>
      <c r="E553" s="50"/>
      <c r="F553" s="5"/>
      <c r="G553" s="5"/>
      <c r="H553" s="5"/>
      <c r="I553" s="5"/>
      <c r="J553" s="5"/>
      <c r="K553" s="50"/>
      <c r="L553" s="50"/>
      <c r="M553" s="50"/>
      <c r="N553" s="50"/>
      <c r="O553" s="50"/>
      <c r="P553" s="50"/>
      <c r="Q553" s="50"/>
      <c r="R553" s="50"/>
      <c r="S553" s="50"/>
      <c r="T553" s="50"/>
      <c r="U553" s="50"/>
      <c r="V553" s="50"/>
      <c r="W553" s="50"/>
      <c r="X553" s="50"/>
      <c r="Y553" s="50"/>
      <c r="Z553" s="50"/>
      <c r="AA553" s="50"/>
      <c r="AB553" s="50"/>
    </row>
    <row r="554" customFormat="false" ht="15.75" hidden="false" customHeight="false" outlineLevel="0" collapsed="false">
      <c r="A554" s="50"/>
      <c r="B554" s="50"/>
      <c r="C554" s="5"/>
      <c r="D554" s="48"/>
      <c r="E554" s="50"/>
      <c r="F554" s="5"/>
      <c r="G554" s="5"/>
      <c r="H554" s="5"/>
      <c r="I554" s="5"/>
      <c r="J554" s="5"/>
      <c r="K554" s="50"/>
      <c r="L554" s="50"/>
      <c r="M554" s="50"/>
      <c r="N554" s="50"/>
      <c r="O554" s="50"/>
      <c r="P554" s="50"/>
      <c r="Q554" s="50"/>
      <c r="R554" s="50"/>
      <c r="S554" s="50"/>
      <c r="T554" s="50"/>
      <c r="U554" s="50"/>
      <c r="V554" s="50"/>
      <c r="W554" s="50"/>
      <c r="X554" s="50"/>
      <c r="Y554" s="50"/>
      <c r="Z554" s="50"/>
      <c r="AA554" s="50"/>
      <c r="AB554" s="50"/>
    </row>
    <row r="555" customFormat="false" ht="15.75" hidden="false" customHeight="false" outlineLevel="0" collapsed="false">
      <c r="A555" s="50"/>
      <c r="B555" s="50"/>
      <c r="C555" s="5"/>
      <c r="D555" s="48"/>
      <c r="E555" s="50"/>
      <c r="F555" s="5"/>
      <c r="G555" s="5"/>
      <c r="H555" s="5"/>
      <c r="I555" s="5"/>
      <c r="J555" s="5"/>
      <c r="K555" s="50"/>
      <c r="L555" s="50"/>
      <c r="M555" s="50"/>
      <c r="N555" s="50"/>
      <c r="O555" s="50"/>
      <c r="P555" s="50"/>
      <c r="Q555" s="50"/>
      <c r="R555" s="50"/>
      <c r="S555" s="50"/>
      <c r="T555" s="50"/>
      <c r="U555" s="50"/>
      <c r="V555" s="50"/>
      <c r="W555" s="50"/>
      <c r="X555" s="50"/>
      <c r="Y555" s="50"/>
      <c r="Z555" s="50"/>
      <c r="AA555" s="50"/>
      <c r="AB555" s="50"/>
    </row>
    <row r="556" customFormat="false" ht="15.75" hidden="false" customHeight="false" outlineLevel="0" collapsed="false">
      <c r="A556" s="50"/>
      <c r="B556" s="50"/>
      <c r="C556" s="5"/>
      <c r="D556" s="48"/>
      <c r="E556" s="50"/>
      <c r="F556" s="5"/>
      <c r="G556" s="5"/>
      <c r="H556" s="5"/>
      <c r="I556" s="5"/>
      <c r="J556" s="5"/>
      <c r="K556" s="50"/>
      <c r="L556" s="50"/>
      <c r="M556" s="50"/>
      <c r="N556" s="50"/>
      <c r="O556" s="50"/>
      <c r="P556" s="50"/>
      <c r="Q556" s="50"/>
      <c r="R556" s="50"/>
      <c r="S556" s="50"/>
      <c r="T556" s="50"/>
      <c r="U556" s="50"/>
      <c r="V556" s="50"/>
      <c r="W556" s="50"/>
      <c r="X556" s="50"/>
      <c r="Y556" s="50"/>
      <c r="Z556" s="50"/>
      <c r="AA556" s="50"/>
      <c r="AB556" s="50"/>
    </row>
    <row r="557" customFormat="false" ht="15.75" hidden="false" customHeight="false" outlineLevel="0" collapsed="false">
      <c r="A557" s="50"/>
      <c r="B557" s="50"/>
      <c r="C557" s="5"/>
      <c r="D557" s="48"/>
      <c r="E557" s="50"/>
      <c r="F557" s="5"/>
      <c r="G557" s="5"/>
      <c r="H557" s="5"/>
      <c r="I557" s="5"/>
      <c r="J557" s="5"/>
      <c r="K557" s="50"/>
      <c r="L557" s="50"/>
      <c r="M557" s="50"/>
      <c r="N557" s="50"/>
      <c r="O557" s="50"/>
      <c r="P557" s="50"/>
      <c r="Q557" s="50"/>
      <c r="R557" s="50"/>
      <c r="S557" s="50"/>
      <c r="T557" s="50"/>
      <c r="U557" s="50"/>
      <c r="V557" s="50"/>
      <c r="W557" s="50"/>
      <c r="X557" s="50"/>
      <c r="Y557" s="50"/>
      <c r="Z557" s="50"/>
      <c r="AA557" s="50"/>
      <c r="AB557" s="50"/>
    </row>
    <row r="558" customFormat="false" ht="15.75" hidden="false" customHeight="false" outlineLevel="0" collapsed="false">
      <c r="A558" s="50"/>
      <c r="B558" s="50"/>
      <c r="C558" s="5"/>
      <c r="D558" s="48"/>
      <c r="E558" s="50"/>
      <c r="F558" s="5"/>
      <c r="G558" s="5"/>
      <c r="H558" s="5"/>
      <c r="I558" s="5"/>
      <c r="J558" s="5"/>
      <c r="K558" s="50"/>
      <c r="L558" s="50"/>
      <c r="M558" s="50"/>
      <c r="N558" s="50"/>
      <c r="O558" s="50"/>
      <c r="P558" s="50"/>
      <c r="Q558" s="50"/>
      <c r="R558" s="50"/>
      <c r="S558" s="50"/>
      <c r="T558" s="50"/>
      <c r="U558" s="50"/>
      <c r="V558" s="50"/>
      <c r="W558" s="50"/>
      <c r="X558" s="50"/>
      <c r="Y558" s="50"/>
      <c r="Z558" s="50"/>
      <c r="AA558" s="50"/>
      <c r="AB558" s="50"/>
    </row>
    <row r="559" customFormat="false" ht="15.75" hidden="false" customHeight="false" outlineLevel="0" collapsed="false">
      <c r="A559" s="50"/>
      <c r="B559" s="50"/>
      <c r="C559" s="5"/>
      <c r="D559" s="48"/>
      <c r="E559" s="50"/>
      <c r="F559" s="5"/>
      <c r="G559" s="5"/>
      <c r="H559" s="5"/>
      <c r="I559" s="5"/>
      <c r="J559" s="5"/>
      <c r="K559" s="50"/>
      <c r="L559" s="50"/>
      <c r="M559" s="50"/>
      <c r="N559" s="50"/>
      <c r="O559" s="50"/>
      <c r="P559" s="50"/>
      <c r="Q559" s="50"/>
      <c r="R559" s="50"/>
      <c r="S559" s="50"/>
      <c r="T559" s="50"/>
      <c r="U559" s="50"/>
      <c r="V559" s="50"/>
      <c r="W559" s="50"/>
      <c r="X559" s="50"/>
      <c r="Y559" s="50"/>
      <c r="Z559" s="50"/>
      <c r="AA559" s="50"/>
      <c r="AB559" s="50"/>
    </row>
    <row r="560" customFormat="false" ht="15.75" hidden="false" customHeight="false" outlineLevel="0" collapsed="false">
      <c r="A560" s="50"/>
      <c r="B560" s="50"/>
      <c r="C560" s="5"/>
      <c r="D560" s="48"/>
      <c r="E560" s="50"/>
      <c r="F560" s="5"/>
      <c r="G560" s="5"/>
      <c r="H560" s="5"/>
      <c r="I560" s="5"/>
      <c r="J560" s="5"/>
      <c r="K560" s="50"/>
      <c r="L560" s="50"/>
      <c r="M560" s="50"/>
      <c r="N560" s="50"/>
      <c r="O560" s="50"/>
      <c r="P560" s="50"/>
      <c r="Q560" s="50"/>
      <c r="R560" s="50"/>
      <c r="S560" s="50"/>
      <c r="T560" s="50"/>
      <c r="U560" s="50"/>
      <c r="V560" s="50"/>
      <c r="W560" s="50"/>
      <c r="X560" s="50"/>
      <c r="Y560" s="50"/>
      <c r="Z560" s="50"/>
      <c r="AA560" s="50"/>
      <c r="AB560" s="50"/>
    </row>
    <row r="561" customFormat="false" ht="15.75" hidden="false" customHeight="false" outlineLevel="0" collapsed="false">
      <c r="A561" s="50"/>
      <c r="B561" s="50"/>
      <c r="C561" s="5"/>
      <c r="D561" s="48"/>
      <c r="E561" s="50"/>
      <c r="F561" s="5"/>
      <c r="G561" s="5"/>
      <c r="H561" s="5"/>
      <c r="I561" s="5"/>
      <c r="J561" s="5"/>
      <c r="K561" s="50"/>
      <c r="L561" s="50"/>
      <c r="M561" s="50"/>
      <c r="N561" s="50"/>
      <c r="O561" s="50"/>
      <c r="P561" s="50"/>
      <c r="Q561" s="50"/>
      <c r="R561" s="50"/>
      <c r="S561" s="50"/>
      <c r="T561" s="50"/>
      <c r="U561" s="50"/>
      <c r="V561" s="50"/>
      <c r="W561" s="50"/>
      <c r="X561" s="50"/>
      <c r="Y561" s="50"/>
      <c r="Z561" s="50"/>
      <c r="AA561" s="50"/>
      <c r="AB561" s="50"/>
    </row>
    <row r="562" customFormat="false" ht="15.75" hidden="false" customHeight="false" outlineLevel="0" collapsed="false">
      <c r="A562" s="50"/>
      <c r="B562" s="50"/>
      <c r="C562" s="5"/>
      <c r="D562" s="48"/>
      <c r="E562" s="50"/>
      <c r="F562" s="5"/>
      <c r="G562" s="5"/>
      <c r="H562" s="5"/>
      <c r="I562" s="5"/>
      <c r="J562" s="5"/>
      <c r="K562" s="50"/>
      <c r="L562" s="50"/>
      <c r="M562" s="50"/>
      <c r="N562" s="50"/>
      <c r="O562" s="50"/>
      <c r="P562" s="50"/>
      <c r="Q562" s="50"/>
      <c r="R562" s="50"/>
      <c r="S562" s="50"/>
      <c r="T562" s="50"/>
      <c r="U562" s="50"/>
      <c r="V562" s="50"/>
      <c r="W562" s="50"/>
      <c r="X562" s="50"/>
      <c r="Y562" s="50"/>
      <c r="Z562" s="50"/>
      <c r="AA562" s="50"/>
      <c r="AB562" s="50"/>
    </row>
    <row r="563" customFormat="false" ht="15.75" hidden="false" customHeight="false" outlineLevel="0" collapsed="false">
      <c r="A563" s="50"/>
      <c r="B563" s="50"/>
      <c r="C563" s="5"/>
      <c r="D563" s="48"/>
      <c r="E563" s="50"/>
      <c r="F563" s="5"/>
      <c r="G563" s="5"/>
      <c r="H563" s="5"/>
      <c r="I563" s="5"/>
      <c r="J563" s="5"/>
      <c r="K563" s="50"/>
      <c r="L563" s="50"/>
      <c r="M563" s="50"/>
      <c r="N563" s="50"/>
      <c r="O563" s="50"/>
      <c r="P563" s="50"/>
      <c r="Q563" s="50"/>
      <c r="R563" s="50"/>
      <c r="S563" s="50"/>
      <c r="T563" s="50"/>
      <c r="U563" s="50"/>
      <c r="V563" s="50"/>
      <c r="W563" s="50"/>
      <c r="X563" s="50"/>
      <c r="Y563" s="50"/>
      <c r="Z563" s="50"/>
      <c r="AA563" s="50"/>
      <c r="AB563" s="50"/>
    </row>
    <row r="564" customFormat="false" ht="15.75" hidden="false" customHeight="false" outlineLevel="0" collapsed="false">
      <c r="A564" s="50"/>
      <c r="B564" s="50"/>
      <c r="C564" s="5"/>
      <c r="D564" s="48"/>
      <c r="E564" s="50"/>
      <c r="F564" s="5"/>
      <c r="G564" s="5"/>
      <c r="H564" s="5"/>
      <c r="I564" s="5"/>
      <c r="J564" s="5"/>
      <c r="K564" s="50"/>
      <c r="L564" s="50"/>
      <c r="M564" s="50"/>
      <c r="N564" s="50"/>
      <c r="O564" s="50"/>
      <c r="P564" s="50"/>
      <c r="Q564" s="50"/>
      <c r="R564" s="50"/>
      <c r="S564" s="50"/>
      <c r="T564" s="50"/>
      <c r="U564" s="50"/>
      <c r="V564" s="50"/>
      <c r="W564" s="50"/>
      <c r="X564" s="50"/>
      <c r="Y564" s="50"/>
      <c r="Z564" s="50"/>
      <c r="AA564" s="50"/>
      <c r="AB564" s="50"/>
    </row>
    <row r="565" customFormat="false" ht="15.75" hidden="false" customHeight="false" outlineLevel="0" collapsed="false">
      <c r="A565" s="50"/>
      <c r="B565" s="50"/>
      <c r="C565" s="5"/>
      <c r="D565" s="48"/>
      <c r="E565" s="50"/>
      <c r="F565" s="5"/>
      <c r="G565" s="5"/>
      <c r="H565" s="5"/>
      <c r="I565" s="5"/>
      <c r="J565" s="5"/>
      <c r="K565" s="50"/>
      <c r="L565" s="50"/>
      <c r="M565" s="50"/>
      <c r="N565" s="50"/>
      <c r="O565" s="50"/>
      <c r="P565" s="50"/>
      <c r="Q565" s="50"/>
      <c r="R565" s="50"/>
      <c r="S565" s="50"/>
      <c r="T565" s="50"/>
      <c r="U565" s="50"/>
      <c r="V565" s="50"/>
      <c r="W565" s="50"/>
      <c r="X565" s="50"/>
      <c r="Y565" s="50"/>
      <c r="Z565" s="50"/>
      <c r="AA565" s="50"/>
      <c r="AB565" s="50"/>
    </row>
    <row r="566" customFormat="false" ht="15.75" hidden="false" customHeight="false" outlineLevel="0" collapsed="false">
      <c r="A566" s="50"/>
      <c r="B566" s="50"/>
      <c r="C566" s="5"/>
      <c r="D566" s="48"/>
      <c r="E566" s="50"/>
      <c r="F566" s="5"/>
      <c r="G566" s="5"/>
      <c r="H566" s="5"/>
      <c r="I566" s="5"/>
      <c r="J566" s="5"/>
      <c r="K566" s="50"/>
      <c r="L566" s="50"/>
      <c r="M566" s="50"/>
      <c r="N566" s="50"/>
      <c r="O566" s="50"/>
      <c r="P566" s="50"/>
      <c r="Q566" s="50"/>
      <c r="R566" s="50"/>
      <c r="S566" s="50"/>
      <c r="T566" s="50"/>
      <c r="U566" s="50"/>
      <c r="V566" s="50"/>
      <c r="W566" s="50"/>
      <c r="X566" s="50"/>
      <c r="Y566" s="50"/>
      <c r="Z566" s="50"/>
      <c r="AA566" s="50"/>
      <c r="AB566" s="50"/>
    </row>
    <row r="567" customFormat="false" ht="15.75" hidden="false" customHeight="false" outlineLevel="0" collapsed="false">
      <c r="A567" s="50"/>
      <c r="B567" s="50"/>
      <c r="C567" s="5"/>
      <c r="D567" s="48"/>
      <c r="E567" s="50"/>
      <c r="F567" s="5"/>
      <c r="G567" s="5"/>
      <c r="H567" s="5"/>
      <c r="I567" s="5"/>
      <c r="J567" s="5"/>
      <c r="K567" s="50"/>
      <c r="L567" s="50"/>
      <c r="M567" s="50"/>
      <c r="N567" s="50"/>
      <c r="O567" s="50"/>
      <c r="P567" s="50"/>
      <c r="Q567" s="50"/>
      <c r="R567" s="50"/>
      <c r="S567" s="50"/>
      <c r="T567" s="50"/>
      <c r="U567" s="50"/>
      <c r="V567" s="50"/>
      <c r="W567" s="50"/>
      <c r="X567" s="50"/>
      <c r="Y567" s="50"/>
      <c r="Z567" s="50"/>
      <c r="AA567" s="50"/>
      <c r="AB567" s="50"/>
    </row>
    <row r="568" customFormat="false" ht="15.75" hidden="false" customHeight="false" outlineLevel="0" collapsed="false">
      <c r="A568" s="50"/>
      <c r="B568" s="50"/>
      <c r="C568" s="5"/>
      <c r="D568" s="48"/>
      <c r="E568" s="50"/>
      <c r="F568" s="5"/>
      <c r="G568" s="5"/>
      <c r="H568" s="5"/>
      <c r="I568" s="5"/>
      <c r="J568" s="5"/>
      <c r="K568" s="50"/>
      <c r="L568" s="50"/>
      <c r="M568" s="50"/>
      <c r="N568" s="50"/>
      <c r="O568" s="50"/>
      <c r="P568" s="50"/>
      <c r="Q568" s="50"/>
      <c r="R568" s="50"/>
      <c r="S568" s="50"/>
      <c r="T568" s="50"/>
      <c r="U568" s="50"/>
      <c r="V568" s="50"/>
      <c r="W568" s="50"/>
      <c r="X568" s="50"/>
      <c r="Y568" s="50"/>
      <c r="Z568" s="50"/>
      <c r="AA568" s="50"/>
      <c r="AB568" s="50"/>
    </row>
    <row r="569" customFormat="false" ht="15.75" hidden="false" customHeight="false" outlineLevel="0" collapsed="false">
      <c r="A569" s="50"/>
      <c r="B569" s="50"/>
      <c r="C569" s="5"/>
      <c r="D569" s="48"/>
      <c r="E569" s="50"/>
      <c r="F569" s="5"/>
      <c r="G569" s="5"/>
      <c r="H569" s="5"/>
      <c r="I569" s="5"/>
      <c r="J569" s="5"/>
      <c r="K569" s="50"/>
      <c r="L569" s="50"/>
      <c r="M569" s="50"/>
      <c r="N569" s="50"/>
      <c r="O569" s="50"/>
      <c r="P569" s="50"/>
      <c r="Q569" s="50"/>
      <c r="R569" s="50"/>
      <c r="S569" s="50"/>
      <c r="T569" s="50"/>
      <c r="U569" s="50"/>
      <c r="V569" s="50"/>
      <c r="W569" s="50"/>
      <c r="X569" s="50"/>
      <c r="Y569" s="50"/>
      <c r="Z569" s="50"/>
      <c r="AA569" s="50"/>
      <c r="AB569" s="50"/>
    </row>
    <row r="570" customFormat="false" ht="15.75" hidden="false" customHeight="false" outlineLevel="0" collapsed="false">
      <c r="A570" s="50"/>
      <c r="B570" s="50"/>
      <c r="C570" s="5"/>
      <c r="D570" s="48"/>
      <c r="E570" s="50"/>
      <c r="F570" s="5"/>
      <c r="G570" s="5"/>
      <c r="H570" s="5"/>
      <c r="I570" s="5"/>
      <c r="J570" s="5"/>
      <c r="K570" s="50"/>
      <c r="L570" s="50"/>
      <c r="M570" s="50"/>
      <c r="N570" s="50"/>
      <c r="O570" s="50"/>
      <c r="P570" s="50"/>
      <c r="Q570" s="50"/>
      <c r="R570" s="50"/>
      <c r="S570" s="50"/>
      <c r="T570" s="50"/>
      <c r="U570" s="50"/>
      <c r="V570" s="50"/>
      <c r="W570" s="50"/>
      <c r="X570" s="50"/>
      <c r="Y570" s="50"/>
      <c r="Z570" s="50"/>
      <c r="AA570" s="50"/>
      <c r="AB570" s="50"/>
    </row>
    <row r="571" customFormat="false" ht="15.75" hidden="false" customHeight="false" outlineLevel="0" collapsed="false">
      <c r="A571" s="50"/>
      <c r="B571" s="50"/>
      <c r="C571" s="5"/>
      <c r="D571" s="48"/>
      <c r="E571" s="50"/>
      <c r="F571" s="5"/>
      <c r="G571" s="5"/>
      <c r="H571" s="5"/>
      <c r="I571" s="5"/>
      <c r="J571" s="5"/>
      <c r="K571" s="50"/>
      <c r="L571" s="50"/>
      <c r="M571" s="50"/>
      <c r="N571" s="50"/>
      <c r="O571" s="50"/>
      <c r="P571" s="50"/>
      <c r="Q571" s="50"/>
      <c r="R571" s="50"/>
      <c r="S571" s="50"/>
      <c r="T571" s="50"/>
      <c r="U571" s="50"/>
      <c r="V571" s="50"/>
      <c r="W571" s="50"/>
      <c r="X571" s="50"/>
      <c r="Y571" s="50"/>
      <c r="Z571" s="50"/>
      <c r="AA571" s="50"/>
      <c r="AB571" s="50"/>
    </row>
    <row r="572" customFormat="false" ht="15.75" hidden="false" customHeight="false" outlineLevel="0" collapsed="false">
      <c r="A572" s="50"/>
      <c r="B572" s="50"/>
      <c r="C572" s="5"/>
      <c r="D572" s="48"/>
      <c r="E572" s="50"/>
      <c r="F572" s="5"/>
      <c r="G572" s="5"/>
      <c r="H572" s="5"/>
      <c r="I572" s="5"/>
      <c r="J572" s="5"/>
      <c r="K572" s="50"/>
      <c r="L572" s="50"/>
      <c r="M572" s="50"/>
      <c r="N572" s="50"/>
      <c r="O572" s="50"/>
      <c r="P572" s="50"/>
      <c r="Q572" s="50"/>
      <c r="R572" s="50"/>
      <c r="S572" s="50"/>
      <c r="T572" s="50"/>
      <c r="U572" s="50"/>
      <c r="V572" s="50"/>
      <c r="W572" s="50"/>
      <c r="X572" s="50"/>
      <c r="Y572" s="50"/>
      <c r="Z572" s="50"/>
      <c r="AA572" s="50"/>
      <c r="AB572" s="50"/>
    </row>
    <row r="573" customFormat="false" ht="15.75" hidden="false" customHeight="false" outlineLevel="0" collapsed="false">
      <c r="A573" s="50"/>
      <c r="B573" s="50"/>
      <c r="C573" s="5"/>
      <c r="D573" s="48"/>
      <c r="E573" s="50"/>
      <c r="F573" s="5"/>
      <c r="G573" s="5"/>
      <c r="H573" s="5"/>
      <c r="I573" s="5"/>
      <c r="J573" s="5"/>
      <c r="K573" s="50"/>
      <c r="L573" s="50"/>
      <c r="M573" s="50"/>
      <c r="N573" s="50"/>
      <c r="O573" s="50"/>
      <c r="P573" s="50"/>
      <c r="Q573" s="50"/>
      <c r="R573" s="50"/>
      <c r="S573" s="50"/>
      <c r="T573" s="50"/>
      <c r="U573" s="50"/>
      <c r="V573" s="50"/>
      <c r="W573" s="50"/>
      <c r="X573" s="50"/>
      <c r="Y573" s="50"/>
      <c r="Z573" s="50"/>
      <c r="AA573" s="50"/>
      <c r="AB573" s="50"/>
    </row>
    <row r="574" customFormat="false" ht="15.75" hidden="false" customHeight="false" outlineLevel="0" collapsed="false">
      <c r="A574" s="50"/>
      <c r="B574" s="50"/>
      <c r="C574" s="5"/>
      <c r="D574" s="48"/>
      <c r="E574" s="50"/>
      <c r="F574" s="5"/>
      <c r="G574" s="5"/>
      <c r="H574" s="5"/>
      <c r="I574" s="5"/>
      <c r="J574" s="5"/>
      <c r="K574" s="50"/>
      <c r="L574" s="50"/>
      <c r="M574" s="50"/>
      <c r="N574" s="50"/>
      <c r="O574" s="50"/>
      <c r="P574" s="50"/>
      <c r="Q574" s="50"/>
      <c r="R574" s="50"/>
      <c r="S574" s="50"/>
      <c r="T574" s="50"/>
      <c r="U574" s="50"/>
      <c r="V574" s="50"/>
      <c r="W574" s="50"/>
      <c r="X574" s="50"/>
      <c r="Y574" s="50"/>
      <c r="Z574" s="50"/>
      <c r="AA574" s="50"/>
      <c r="AB574" s="50"/>
    </row>
    <row r="575" customFormat="false" ht="15.75" hidden="false" customHeight="false" outlineLevel="0" collapsed="false">
      <c r="A575" s="50"/>
      <c r="B575" s="50"/>
      <c r="C575" s="5"/>
      <c r="D575" s="48"/>
      <c r="E575" s="50"/>
      <c r="F575" s="5"/>
      <c r="G575" s="5"/>
      <c r="H575" s="5"/>
      <c r="I575" s="5"/>
      <c r="J575" s="5"/>
      <c r="K575" s="50"/>
      <c r="L575" s="50"/>
      <c r="M575" s="50"/>
      <c r="N575" s="50"/>
      <c r="O575" s="50"/>
      <c r="P575" s="50"/>
      <c r="Q575" s="50"/>
      <c r="R575" s="50"/>
      <c r="S575" s="50"/>
      <c r="T575" s="50"/>
      <c r="U575" s="50"/>
      <c r="V575" s="50"/>
      <c r="W575" s="50"/>
      <c r="X575" s="50"/>
      <c r="Y575" s="50"/>
      <c r="Z575" s="50"/>
      <c r="AA575" s="50"/>
      <c r="AB575" s="50"/>
    </row>
    <row r="576" customFormat="false" ht="15.75" hidden="false" customHeight="false" outlineLevel="0" collapsed="false">
      <c r="A576" s="50"/>
      <c r="B576" s="50"/>
      <c r="C576" s="5"/>
      <c r="D576" s="48"/>
      <c r="E576" s="50"/>
      <c r="F576" s="5"/>
      <c r="G576" s="5"/>
      <c r="H576" s="5"/>
      <c r="I576" s="5"/>
      <c r="J576" s="5"/>
      <c r="K576" s="50"/>
      <c r="L576" s="50"/>
      <c r="M576" s="50"/>
      <c r="N576" s="50"/>
      <c r="O576" s="50"/>
      <c r="P576" s="50"/>
      <c r="Q576" s="50"/>
      <c r="R576" s="50"/>
      <c r="S576" s="50"/>
      <c r="T576" s="50"/>
      <c r="U576" s="50"/>
      <c r="V576" s="50"/>
      <c r="W576" s="50"/>
      <c r="X576" s="50"/>
      <c r="Y576" s="50"/>
      <c r="Z576" s="50"/>
      <c r="AA576" s="50"/>
      <c r="AB576" s="50"/>
    </row>
    <row r="577" customFormat="false" ht="15.75" hidden="false" customHeight="false" outlineLevel="0" collapsed="false">
      <c r="A577" s="50"/>
      <c r="B577" s="50"/>
      <c r="C577" s="5"/>
      <c r="D577" s="48"/>
      <c r="E577" s="50"/>
      <c r="F577" s="5"/>
      <c r="G577" s="5"/>
      <c r="H577" s="5"/>
      <c r="I577" s="5"/>
      <c r="J577" s="5"/>
      <c r="K577" s="50"/>
      <c r="L577" s="50"/>
      <c r="M577" s="50"/>
      <c r="N577" s="50"/>
      <c r="O577" s="50"/>
      <c r="P577" s="50"/>
      <c r="Q577" s="50"/>
      <c r="R577" s="50"/>
      <c r="S577" s="50"/>
      <c r="T577" s="50"/>
      <c r="U577" s="50"/>
      <c r="V577" s="50"/>
      <c r="W577" s="50"/>
      <c r="X577" s="50"/>
      <c r="Y577" s="50"/>
      <c r="Z577" s="50"/>
      <c r="AA577" s="50"/>
      <c r="AB577" s="50"/>
    </row>
    <row r="578" customFormat="false" ht="15.75" hidden="false" customHeight="false" outlineLevel="0" collapsed="false">
      <c r="A578" s="50"/>
      <c r="B578" s="50"/>
      <c r="C578" s="5"/>
      <c r="D578" s="48"/>
      <c r="E578" s="50"/>
      <c r="F578" s="5"/>
      <c r="G578" s="5"/>
      <c r="H578" s="5"/>
      <c r="I578" s="5"/>
      <c r="J578" s="5"/>
      <c r="K578" s="50"/>
      <c r="L578" s="50"/>
      <c r="M578" s="50"/>
      <c r="N578" s="50"/>
      <c r="O578" s="50"/>
      <c r="P578" s="50"/>
      <c r="Q578" s="50"/>
      <c r="R578" s="50"/>
      <c r="S578" s="50"/>
      <c r="T578" s="50"/>
      <c r="U578" s="50"/>
      <c r="V578" s="50"/>
      <c r="W578" s="50"/>
      <c r="X578" s="50"/>
      <c r="Y578" s="50"/>
      <c r="Z578" s="50"/>
      <c r="AA578" s="50"/>
      <c r="AB578" s="50"/>
    </row>
    <row r="579" customFormat="false" ht="15.75" hidden="false" customHeight="false" outlineLevel="0" collapsed="false">
      <c r="A579" s="50"/>
      <c r="B579" s="50"/>
      <c r="C579" s="5"/>
      <c r="D579" s="48"/>
      <c r="E579" s="50"/>
      <c r="F579" s="5"/>
      <c r="G579" s="5"/>
      <c r="H579" s="5"/>
      <c r="I579" s="5"/>
      <c r="J579" s="5"/>
      <c r="K579" s="50"/>
      <c r="L579" s="50"/>
      <c r="M579" s="50"/>
      <c r="N579" s="50"/>
      <c r="O579" s="50"/>
      <c r="P579" s="50"/>
      <c r="Q579" s="50"/>
      <c r="R579" s="50"/>
      <c r="S579" s="50"/>
      <c r="T579" s="50"/>
      <c r="U579" s="50"/>
      <c r="V579" s="50"/>
      <c r="W579" s="50"/>
      <c r="X579" s="50"/>
      <c r="Y579" s="50"/>
      <c r="Z579" s="50"/>
      <c r="AA579" s="50"/>
      <c r="AB579" s="50"/>
    </row>
    <row r="580" customFormat="false" ht="15.75" hidden="false" customHeight="false" outlineLevel="0" collapsed="false">
      <c r="A580" s="50"/>
      <c r="B580" s="50"/>
      <c r="C580" s="5"/>
      <c r="D580" s="48"/>
      <c r="E580" s="50"/>
      <c r="F580" s="5"/>
      <c r="G580" s="5"/>
      <c r="H580" s="5"/>
      <c r="I580" s="5"/>
      <c r="J580" s="5"/>
      <c r="K580" s="50"/>
      <c r="L580" s="50"/>
      <c r="M580" s="50"/>
      <c r="N580" s="50"/>
      <c r="O580" s="50"/>
      <c r="P580" s="50"/>
      <c r="Q580" s="50"/>
      <c r="R580" s="50"/>
      <c r="S580" s="50"/>
      <c r="T580" s="50"/>
      <c r="U580" s="50"/>
      <c r="V580" s="50"/>
      <c r="W580" s="50"/>
      <c r="X580" s="50"/>
      <c r="Y580" s="50"/>
      <c r="Z580" s="50"/>
      <c r="AA580" s="50"/>
      <c r="AB580" s="50"/>
    </row>
    <row r="581" customFormat="false" ht="15.75" hidden="false" customHeight="false" outlineLevel="0" collapsed="false">
      <c r="A581" s="50"/>
      <c r="B581" s="50"/>
      <c r="C581" s="5"/>
      <c r="D581" s="48"/>
      <c r="E581" s="50"/>
      <c r="F581" s="5"/>
      <c r="G581" s="5"/>
      <c r="H581" s="5"/>
      <c r="I581" s="5"/>
      <c r="J581" s="5"/>
      <c r="K581" s="50"/>
      <c r="L581" s="50"/>
      <c r="M581" s="50"/>
      <c r="N581" s="50"/>
      <c r="O581" s="50"/>
      <c r="P581" s="50"/>
      <c r="Q581" s="50"/>
      <c r="R581" s="50"/>
      <c r="S581" s="50"/>
      <c r="T581" s="50"/>
      <c r="U581" s="50"/>
      <c r="V581" s="50"/>
      <c r="W581" s="50"/>
      <c r="X581" s="50"/>
      <c r="Y581" s="50"/>
      <c r="Z581" s="50"/>
      <c r="AA581" s="50"/>
      <c r="AB581" s="50"/>
    </row>
    <row r="582" customFormat="false" ht="15.75" hidden="false" customHeight="false" outlineLevel="0" collapsed="false">
      <c r="A582" s="50"/>
      <c r="B582" s="50"/>
      <c r="C582" s="5"/>
      <c r="D582" s="48"/>
      <c r="E582" s="50"/>
      <c r="F582" s="5"/>
      <c r="G582" s="5"/>
      <c r="H582" s="5"/>
      <c r="I582" s="5"/>
      <c r="J582" s="5"/>
      <c r="K582" s="50"/>
      <c r="L582" s="50"/>
      <c r="M582" s="50"/>
      <c r="N582" s="50"/>
      <c r="O582" s="50"/>
      <c r="P582" s="50"/>
      <c r="Q582" s="50"/>
      <c r="R582" s="50"/>
      <c r="S582" s="50"/>
      <c r="T582" s="50"/>
      <c r="U582" s="50"/>
      <c r="V582" s="50"/>
      <c r="W582" s="50"/>
      <c r="X582" s="50"/>
      <c r="Y582" s="50"/>
      <c r="Z582" s="50"/>
      <c r="AA582" s="50"/>
      <c r="AB582" s="50"/>
    </row>
    <row r="583" customFormat="false" ht="15.75" hidden="false" customHeight="false" outlineLevel="0" collapsed="false">
      <c r="A583" s="50"/>
      <c r="B583" s="50"/>
      <c r="C583" s="5"/>
      <c r="D583" s="48"/>
      <c r="E583" s="50"/>
      <c r="F583" s="5"/>
      <c r="G583" s="5"/>
      <c r="H583" s="5"/>
      <c r="I583" s="5"/>
      <c r="J583" s="5"/>
      <c r="K583" s="50"/>
      <c r="L583" s="50"/>
      <c r="M583" s="50"/>
      <c r="N583" s="50"/>
      <c r="O583" s="50"/>
      <c r="P583" s="50"/>
      <c r="Q583" s="50"/>
      <c r="R583" s="50"/>
      <c r="S583" s="50"/>
      <c r="T583" s="50"/>
      <c r="U583" s="50"/>
      <c r="V583" s="50"/>
      <c r="W583" s="50"/>
      <c r="X583" s="50"/>
      <c r="Y583" s="50"/>
      <c r="Z583" s="50"/>
      <c r="AA583" s="50"/>
      <c r="AB583" s="50"/>
    </row>
    <row r="584" customFormat="false" ht="15.75" hidden="false" customHeight="false" outlineLevel="0" collapsed="false">
      <c r="A584" s="50"/>
      <c r="B584" s="50"/>
      <c r="C584" s="5"/>
      <c r="D584" s="48"/>
      <c r="E584" s="50"/>
      <c r="F584" s="5"/>
      <c r="G584" s="5"/>
      <c r="H584" s="5"/>
      <c r="I584" s="5"/>
      <c r="J584" s="5"/>
      <c r="K584" s="50"/>
      <c r="L584" s="50"/>
      <c r="M584" s="50"/>
      <c r="N584" s="50"/>
      <c r="O584" s="50"/>
      <c r="P584" s="50"/>
      <c r="Q584" s="50"/>
      <c r="R584" s="50"/>
      <c r="S584" s="50"/>
      <c r="T584" s="50"/>
      <c r="U584" s="50"/>
      <c r="V584" s="50"/>
      <c r="W584" s="50"/>
      <c r="X584" s="50"/>
      <c r="Y584" s="50"/>
      <c r="Z584" s="50"/>
      <c r="AA584" s="50"/>
      <c r="AB584" s="50"/>
    </row>
    <row r="585" customFormat="false" ht="15.75" hidden="false" customHeight="false" outlineLevel="0" collapsed="false">
      <c r="A585" s="50"/>
      <c r="B585" s="50"/>
      <c r="C585" s="5"/>
      <c r="D585" s="48"/>
      <c r="E585" s="50"/>
      <c r="F585" s="5"/>
      <c r="G585" s="5"/>
      <c r="H585" s="5"/>
      <c r="I585" s="5"/>
      <c r="J585" s="5"/>
      <c r="K585" s="50"/>
      <c r="L585" s="50"/>
      <c r="M585" s="50"/>
      <c r="N585" s="50"/>
      <c r="O585" s="50"/>
      <c r="P585" s="50"/>
      <c r="Q585" s="50"/>
      <c r="R585" s="50"/>
      <c r="S585" s="50"/>
      <c r="T585" s="50"/>
      <c r="U585" s="50"/>
      <c r="V585" s="50"/>
      <c r="W585" s="50"/>
      <c r="X585" s="50"/>
      <c r="Y585" s="50"/>
      <c r="Z585" s="50"/>
      <c r="AA585" s="50"/>
      <c r="AB585" s="50"/>
    </row>
    <row r="586" customFormat="false" ht="15.75" hidden="false" customHeight="false" outlineLevel="0" collapsed="false">
      <c r="A586" s="50"/>
      <c r="B586" s="50"/>
      <c r="C586" s="5"/>
      <c r="D586" s="48"/>
      <c r="E586" s="50"/>
      <c r="F586" s="5"/>
      <c r="G586" s="5"/>
      <c r="H586" s="5"/>
      <c r="I586" s="5"/>
      <c r="J586" s="5"/>
      <c r="K586" s="50"/>
      <c r="L586" s="50"/>
      <c r="M586" s="50"/>
      <c r="N586" s="50"/>
      <c r="O586" s="50"/>
      <c r="P586" s="50"/>
      <c r="Q586" s="50"/>
      <c r="R586" s="50"/>
      <c r="S586" s="50"/>
      <c r="T586" s="50"/>
      <c r="U586" s="50"/>
      <c r="V586" s="50"/>
      <c r="W586" s="50"/>
      <c r="X586" s="50"/>
      <c r="Y586" s="50"/>
      <c r="Z586" s="50"/>
      <c r="AA586" s="50"/>
      <c r="AB586" s="50"/>
    </row>
    <row r="587" customFormat="false" ht="15.75" hidden="false" customHeight="false" outlineLevel="0" collapsed="false">
      <c r="A587" s="50"/>
      <c r="B587" s="50"/>
      <c r="C587" s="5"/>
      <c r="D587" s="48"/>
      <c r="E587" s="50"/>
      <c r="F587" s="5"/>
      <c r="G587" s="5"/>
      <c r="H587" s="5"/>
      <c r="I587" s="5"/>
      <c r="J587" s="5"/>
      <c r="K587" s="50"/>
      <c r="L587" s="50"/>
      <c r="M587" s="50"/>
      <c r="N587" s="50"/>
      <c r="O587" s="50"/>
      <c r="P587" s="50"/>
      <c r="Q587" s="50"/>
      <c r="R587" s="50"/>
      <c r="S587" s="50"/>
      <c r="T587" s="50"/>
      <c r="U587" s="50"/>
      <c r="V587" s="50"/>
      <c r="W587" s="50"/>
      <c r="X587" s="50"/>
      <c r="Y587" s="50"/>
      <c r="Z587" s="50"/>
      <c r="AA587" s="50"/>
      <c r="AB587" s="50"/>
    </row>
    <row r="588" customFormat="false" ht="15.75" hidden="false" customHeight="false" outlineLevel="0" collapsed="false">
      <c r="A588" s="50"/>
      <c r="B588" s="50"/>
      <c r="C588" s="5"/>
      <c r="D588" s="48"/>
      <c r="E588" s="50"/>
      <c r="F588" s="5"/>
      <c r="G588" s="5"/>
      <c r="H588" s="5"/>
      <c r="I588" s="5"/>
      <c r="J588" s="5"/>
      <c r="K588" s="50"/>
      <c r="L588" s="50"/>
      <c r="M588" s="50"/>
      <c r="N588" s="50"/>
      <c r="O588" s="50"/>
      <c r="P588" s="50"/>
      <c r="Q588" s="50"/>
      <c r="R588" s="50"/>
      <c r="S588" s="50"/>
      <c r="T588" s="50"/>
      <c r="U588" s="50"/>
      <c r="V588" s="50"/>
      <c r="W588" s="50"/>
      <c r="X588" s="50"/>
      <c r="Y588" s="50"/>
      <c r="Z588" s="50"/>
      <c r="AA588" s="50"/>
      <c r="AB588" s="50"/>
    </row>
    <row r="589" customFormat="false" ht="15.75" hidden="false" customHeight="false" outlineLevel="0" collapsed="false">
      <c r="A589" s="50"/>
      <c r="B589" s="50"/>
      <c r="C589" s="5"/>
      <c r="D589" s="48"/>
      <c r="E589" s="50"/>
      <c r="F589" s="5"/>
      <c r="G589" s="5"/>
      <c r="H589" s="5"/>
      <c r="I589" s="5"/>
      <c r="J589" s="5"/>
      <c r="K589" s="50"/>
      <c r="L589" s="50"/>
      <c r="M589" s="50"/>
      <c r="N589" s="50"/>
      <c r="O589" s="50"/>
      <c r="P589" s="50"/>
      <c r="Q589" s="50"/>
      <c r="R589" s="50"/>
      <c r="S589" s="50"/>
      <c r="T589" s="50"/>
      <c r="U589" s="50"/>
      <c r="V589" s="50"/>
      <c r="W589" s="50"/>
      <c r="X589" s="50"/>
      <c r="Y589" s="50"/>
      <c r="Z589" s="50"/>
      <c r="AA589" s="50"/>
      <c r="AB589" s="50"/>
    </row>
    <row r="590" customFormat="false" ht="15.75" hidden="false" customHeight="false" outlineLevel="0" collapsed="false">
      <c r="A590" s="50"/>
      <c r="B590" s="50"/>
      <c r="C590" s="5"/>
      <c r="D590" s="48"/>
      <c r="E590" s="50"/>
      <c r="F590" s="5"/>
      <c r="G590" s="5"/>
      <c r="H590" s="5"/>
      <c r="I590" s="5"/>
      <c r="J590" s="5"/>
      <c r="K590" s="50"/>
      <c r="L590" s="50"/>
      <c r="M590" s="50"/>
      <c r="N590" s="50"/>
      <c r="O590" s="50"/>
      <c r="P590" s="50"/>
      <c r="Q590" s="50"/>
      <c r="R590" s="50"/>
      <c r="S590" s="50"/>
      <c r="T590" s="50"/>
      <c r="U590" s="50"/>
      <c r="V590" s="50"/>
      <c r="W590" s="50"/>
      <c r="X590" s="50"/>
      <c r="Y590" s="50"/>
      <c r="Z590" s="50"/>
      <c r="AA590" s="50"/>
      <c r="AB590" s="50"/>
    </row>
    <row r="591" customFormat="false" ht="15.75" hidden="false" customHeight="false" outlineLevel="0" collapsed="false">
      <c r="A591" s="50"/>
      <c r="B591" s="50"/>
      <c r="C591" s="5"/>
      <c r="D591" s="48"/>
      <c r="E591" s="50"/>
      <c r="F591" s="5"/>
      <c r="G591" s="5"/>
      <c r="H591" s="5"/>
      <c r="I591" s="5"/>
      <c r="J591" s="5"/>
      <c r="K591" s="50"/>
      <c r="L591" s="50"/>
      <c r="M591" s="50"/>
      <c r="N591" s="50"/>
      <c r="O591" s="50"/>
      <c r="P591" s="50"/>
      <c r="Q591" s="50"/>
      <c r="R591" s="50"/>
      <c r="S591" s="50"/>
      <c r="T591" s="50"/>
      <c r="U591" s="50"/>
      <c r="V591" s="50"/>
      <c r="W591" s="50"/>
      <c r="X591" s="50"/>
      <c r="Y591" s="50"/>
      <c r="Z591" s="50"/>
      <c r="AA591" s="50"/>
      <c r="AB591" s="50"/>
    </row>
    <row r="592" customFormat="false" ht="15.75" hidden="false" customHeight="false" outlineLevel="0" collapsed="false">
      <c r="A592" s="50"/>
      <c r="B592" s="50"/>
      <c r="C592" s="5"/>
      <c r="D592" s="48"/>
      <c r="E592" s="50"/>
      <c r="F592" s="5"/>
      <c r="G592" s="5"/>
      <c r="H592" s="5"/>
      <c r="I592" s="5"/>
      <c r="J592" s="5"/>
      <c r="K592" s="50"/>
      <c r="L592" s="50"/>
      <c r="M592" s="50"/>
      <c r="N592" s="50"/>
      <c r="O592" s="50"/>
      <c r="P592" s="50"/>
      <c r="Q592" s="50"/>
      <c r="R592" s="50"/>
      <c r="S592" s="50"/>
      <c r="T592" s="50"/>
      <c r="U592" s="50"/>
      <c r="V592" s="50"/>
      <c r="W592" s="50"/>
      <c r="X592" s="50"/>
      <c r="Y592" s="50"/>
      <c r="Z592" s="50"/>
      <c r="AA592" s="50"/>
      <c r="AB592" s="50"/>
    </row>
    <row r="593" customFormat="false" ht="15.75" hidden="false" customHeight="false" outlineLevel="0" collapsed="false">
      <c r="A593" s="50"/>
      <c r="B593" s="50"/>
      <c r="C593" s="5"/>
      <c r="D593" s="48"/>
      <c r="E593" s="50"/>
      <c r="F593" s="5"/>
      <c r="G593" s="5"/>
      <c r="H593" s="5"/>
      <c r="I593" s="5"/>
      <c r="J593" s="5"/>
      <c r="K593" s="50"/>
      <c r="L593" s="50"/>
      <c r="M593" s="50"/>
      <c r="N593" s="50"/>
      <c r="O593" s="50"/>
      <c r="P593" s="50"/>
      <c r="Q593" s="50"/>
      <c r="R593" s="50"/>
      <c r="S593" s="50"/>
      <c r="T593" s="50"/>
      <c r="U593" s="50"/>
      <c r="V593" s="50"/>
      <c r="W593" s="50"/>
      <c r="X593" s="50"/>
      <c r="Y593" s="50"/>
      <c r="Z593" s="50"/>
      <c r="AA593" s="50"/>
      <c r="AB593" s="50"/>
    </row>
    <row r="594" customFormat="false" ht="15.75" hidden="false" customHeight="false" outlineLevel="0" collapsed="false">
      <c r="A594" s="50"/>
      <c r="B594" s="50"/>
      <c r="C594" s="5"/>
      <c r="D594" s="48"/>
      <c r="E594" s="50"/>
      <c r="F594" s="5"/>
      <c r="G594" s="5"/>
      <c r="H594" s="5"/>
      <c r="I594" s="5"/>
      <c r="J594" s="5"/>
      <c r="K594" s="50"/>
      <c r="L594" s="50"/>
      <c r="M594" s="50"/>
      <c r="N594" s="50"/>
      <c r="O594" s="50"/>
      <c r="P594" s="50"/>
      <c r="Q594" s="50"/>
      <c r="R594" s="50"/>
      <c r="S594" s="50"/>
      <c r="T594" s="50"/>
      <c r="U594" s="50"/>
      <c r="V594" s="50"/>
      <c r="W594" s="50"/>
      <c r="X594" s="50"/>
      <c r="Y594" s="50"/>
      <c r="Z594" s="50"/>
      <c r="AA594" s="50"/>
      <c r="AB594" s="50"/>
    </row>
    <row r="595" customFormat="false" ht="15.75" hidden="false" customHeight="false" outlineLevel="0" collapsed="false">
      <c r="A595" s="50"/>
      <c r="B595" s="50"/>
      <c r="C595" s="5"/>
      <c r="D595" s="48"/>
      <c r="E595" s="50"/>
      <c r="F595" s="5"/>
      <c r="G595" s="5"/>
      <c r="H595" s="5"/>
      <c r="I595" s="5"/>
      <c r="J595" s="5"/>
      <c r="K595" s="50"/>
      <c r="L595" s="50"/>
      <c r="M595" s="50"/>
      <c r="N595" s="50"/>
      <c r="O595" s="50"/>
      <c r="P595" s="50"/>
      <c r="Q595" s="50"/>
      <c r="R595" s="50"/>
      <c r="S595" s="50"/>
      <c r="T595" s="50"/>
      <c r="U595" s="50"/>
      <c r="V595" s="50"/>
      <c r="W595" s="50"/>
      <c r="X595" s="50"/>
      <c r="Y595" s="50"/>
      <c r="Z595" s="50"/>
      <c r="AA595" s="50"/>
      <c r="AB595" s="50"/>
    </row>
    <row r="596" customFormat="false" ht="15.75" hidden="false" customHeight="false" outlineLevel="0" collapsed="false">
      <c r="A596" s="50"/>
      <c r="B596" s="50"/>
      <c r="C596" s="5"/>
      <c r="D596" s="48"/>
      <c r="E596" s="50"/>
      <c r="F596" s="5"/>
      <c r="G596" s="5"/>
      <c r="H596" s="5"/>
      <c r="I596" s="5"/>
      <c r="J596" s="5"/>
      <c r="K596" s="50"/>
      <c r="L596" s="50"/>
      <c r="M596" s="50"/>
      <c r="N596" s="50"/>
      <c r="O596" s="50"/>
      <c r="P596" s="50"/>
      <c r="Q596" s="50"/>
      <c r="R596" s="50"/>
      <c r="S596" s="50"/>
      <c r="T596" s="50"/>
      <c r="U596" s="50"/>
      <c r="V596" s="50"/>
      <c r="W596" s="50"/>
      <c r="X596" s="50"/>
      <c r="Y596" s="50"/>
      <c r="Z596" s="50"/>
      <c r="AA596" s="50"/>
      <c r="AB596" s="50"/>
    </row>
    <row r="597" customFormat="false" ht="15.75" hidden="false" customHeight="false" outlineLevel="0" collapsed="false">
      <c r="A597" s="50"/>
      <c r="B597" s="50"/>
      <c r="C597" s="5"/>
      <c r="D597" s="48"/>
      <c r="E597" s="50"/>
      <c r="F597" s="5"/>
      <c r="G597" s="5"/>
      <c r="H597" s="5"/>
      <c r="I597" s="5"/>
      <c r="J597" s="5"/>
      <c r="K597" s="50"/>
      <c r="L597" s="50"/>
      <c r="M597" s="50"/>
      <c r="N597" s="50"/>
      <c r="O597" s="50"/>
      <c r="P597" s="50"/>
      <c r="Q597" s="50"/>
      <c r="R597" s="50"/>
      <c r="S597" s="50"/>
      <c r="T597" s="50"/>
      <c r="U597" s="50"/>
      <c r="V597" s="50"/>
      <c r="W597" s="50"/>
      <c r="X597" s="50"/>
      <c r="Y597" s="50"/>
      <c r="Z597" s="50"/>
      <c r="AA597" s="50"/>
      <c r="AB597" s="50"/>
    </row>
    <row r="598" customFormat="false" ht="15.75" hidden="false" customHeight="false" outlineLevel="0" collapsed="false">
      <c r="A598" s="50"/>
      <c r="B598" s="50"/>
      <c r="C598" s="5"/>
      <c r="D598" s="48"/>
      <c r="E598" s="50"/>
      <c r="F598" s="5"/>
      <c r="G598" s="5"/>
      <c r="H598" s="5"/>
      <c r="I598" s="5"/>
      <c r="J598" s="5"/>
      <c r="K598" s="50"/>
      <c r="L598" s="50"/>
      <c r="M598" s="50"/>
      <c r="N598" s="50"/>
      <c r="O598" s="50"/>
      <c r="P598" s="50"/>
      <c r="Q598" s="50"/>
      <c r="R598" s="50"/>
      <c r="S598" s="50"/>
      <c r="T598" s="50"/>
      <c r="U598" s="50"/>
      <c r="V598" s="50"/>
      <c r="W598" s="50"/>
      <c r="X598" s="50"/>
      <c r="Y598" s="50"/>
      <c r="Z598" s="50"/>
      <c r="AA598" s="50"/>
      <c r="AB598" s="50"/>
    </row>
    <row r="599" customFormat="false" ht="15.75" hidden="false" customHeight="false" outlineLevel="0" collapsed="false">
      <c r="A599" s="50"/>
      <c r="B599" s="50"/>
      <c r="C599" s="5"/>
      <c r="D599" s="48"/>
      <c r="E599" s="50"/>
      <c r="F599" s="5"/>
      <c r="G599" s="5"/>
      <c r="H599" s="5"/>
      <c r="I599" s="5"/>
      <c r="J599" s="5"/>
      <c r="K599" s="50"/>
      <c r="L599" s="50"/>
      <c r="M599" s="50"/>
      <c r="N599" s="50"/>
      <c r="O599" s="50"/>
      <c r="P599" s="50"/>
      <c r="Q599" s="50"/>
      <c r="R599" s="50"/>
      <c r="S599" s="50"/>
      <c r="T599" s="50"/>
      <c r="U599" s="50"/>
      <c r="V599" s="50"/>
      <c r="W599" s="50"/>
      <c r="X599" s="50"/>
      <c r="Y599" s="50"/>
      <c r="Z599" s="50"/>
      <c r="AA599" s="50"/>
      <c r="AB599" s="50"/>
    </row>
    <row r="600" customFormat="false" ht="15.75" hidden="false" customHeight="false" outlineLevel="0" collapsed="false">
      <c r="A600" s="50"/>
      <c r="B600" s="50"/>
      <c r="C600" s="5"/>
      <c r="D600" s="48"/>
      <c r="E600" s="50"/>
      <c r="F600" s="5"/>
      <c r="G600" s="5"/>
      <c r="H600" s="5"/>
      <c r="I600" s="5"/>
      <c r="J600" s="5"/>
      <c r="K600" s="50"/>
      <c r="L600" s="50"/>
      <c r="M600" s="50"/>
      <c r="N600" s="50"/>
      <c r="O600" s="50"/>
      <c r="P600" s="50"/>
      <c r="Q600" s="50"/>
      <c r="R600" s="50"/>
      <c r="S600" s="50"/>
      <c r="T600" s="50"/>
      <c r="U600" s="50"/>
      <c r="V600" s="50"/>
      <c r="W600" s="50"/>
      <c r="X600" s="50"/>
      <c r="Y600" s="50"/>
      <c r="Z600" s="50"/>
      <c r="AA600" s="50"/>
      <c r="AB600" s="50"/>
    </row>
    <row r="601" customFormat="false" ht="15.75" hidden="false" customHeight="false" outlineLevel="0" collapsed="false">
      <c r="A601" s="50"/>
      <c r="B601" s="50"/>
      <c r="C601" s="5"/>
      <c r="D601" s="48"/>
      <c r="E601" s="50"/>
      <c r="F601" s="5"/>
      <c r="G601" s="5"/>
      <c r="H601" s="5"/>
      <c r="I601" s="5"/>
      <c r="J601" s="5"/>
      <c r="K601" s="50"/>
      <c r="L601" s="50"/>
      <c r="M601" s="50"/>
      <c r="N601" s="50"/>
      <c r="O601" s="50"/>
      <c r="P601" s="50"/>
      <c r="Q601" s="50"/>
      <c r="R601" s="50"/>
      <c r="S601" s="50"/>
      <c r="T601" s="50"/>
      <c r="U601" s="50"/>
      <c r="V601" s="50"/>
      <c r="W601" s="50"/>
      <c r="X601" s="50"/>
      <c r="Y601" s="50"/>
      <c r="Z601" s="50"/>
      <c r="AA601" s="50"/>
      <c r="AB601" s="50"/>
    </row>
    <row r="602" customFormat="false" ht="15.75" hidden="false" customHeight="false" outlineLevel="0" collapsed="false">
      <c r="A602" s="50"/>
      <c r="B602" s="50"/>
      <c r="C602" s="5"/>
      <c r="D602" s="48"/>
      <c r="E602" s="50"/>
      <c r="F602" s="5"/>
      <c r="G602" s="5"/>
      <c r="H602" s="5"/>
      <c r="I602" s="5"/>
      <c r="J602" s="5"/>
      <c r="K602" s="50"/>
      <c r="L602" s="50"/>
      <c r="M602" s="50"/>
      <c r="N602" s="50"/>
      <c r="O602" s="50"/>
      <c r="P602" s="50"/>
      <c r="Q602" s="50"/>
      <c r="R602" s="50"/>
      <c r="S602" s="50"/>
      <c r="T602" s="50"/>
      <c r="U602" s="50"/>
      <c r="V602" s="50"/>
      <c r="W602" s="50"/>
      <c r="X602" s="50"/>
      <c r="Y602" s="50"/>
      <c r="Z602" s="50"/>
      <c r="AA602" s="50"/>
      <c r="AB602" s="50"/>
    </row>
    <row r="603" customFormat="false" ht="15.75" hidden="false" customHeight="false" outlineLevel="0" collapsed="false">
      <c r="A603" s="50"/>
      <c r="B603" s="50"/>
      <c r="C603" s="5"/>
      <c r="D603" s="48"/>
      <c r="E603" s="50"/>
      <c r="F603" s="5"/>
      <c r="G603" s="5"/>
      <c r="H603" s="5"/>
      <c r="I603" s="5"/>
      <c r="J603" s="5"/>
      <c r="K603" s="50"/>
      <c r="L603" s="50"/>
      <c r="M603" s="50"/>
      <c r="N603" s="50"/>
      <c r="O603" s="50"/>
      <c r="P603" s="50"/>
      <c r="Q603" s="50"/>
      <c r="R603" s="50"/>
      <c r="S603" s="50"/>
      <c r="T603" s="50"/>
      <c r="U603" s="50"/>
      <c r="V603" s="50"/>
      <c r="W603" s="50"/>
      <c r="X603" s="50"/>
      <c r="Y603" s="50"/>
      <c r="Z603" s="50"/>
      <c r="AA603" s="50"/>
      <c r="AB603" s="50"/>
    </row>
    <row r="604" customFormat="false" ht="15.75" hidden="false" customHeight="false" outlineLevel="0" collapsed="false">
      <c r="A604" s="50"/>
      <c r="B604" s="50"/>
      <c r="C604" s="5"/>
      <c r="D604" s="48"/>
      <c r="E604" s="50"/>
      <c r="F604" s="5"/>
      <c r="G604" s="5"/>
      <c r="H604" s="5"/>
      <c r="I604" s="5"/>
      <c r="J604" s="5"/>
      <c r="K604" s="50"/>
      <c r="L604" s="50"/>
      <c r="M604" s="50"/>
      <c r="N604" s="50"/>
      <c r="O604" s="50"/>
      <c r="P604" s="50"/>
      <c r="Q604" s="50"/>
      <c r="R604" s="50"/>
      <c r="S604" s="50"/>
      <c r="T604" s="50"/>
      <c r="U604" s="50"/>
      <c r="V604" s="50"/>
      <c r="W604" s="50"/>
      <c r="X604" s="50"/>
      <c r="Y604" s="50"/>
      <c r="Z604" s="50"/>
      <c r="AA604" s="50"/>
      <c r="AB604" s="50"/>
    </row>
    <row r="605" customFormat="false" ht="15.75" hidden="false" customHeight="false" outlineLevel="0" collapsed="false">
      <c r="A605" s="50"/>
      <c r="B605" s="50"/>
      <c r="C605" s="5"/>
      <c r="D605" s="48"/>
      <c r="E605" s="50"/>
      <c r="F605" s="5"/>
      <c r="G605" s="5"/>
      <c r="H605" s="5"/>
      <c r="I605" s="5"/>
      <c r="J605" s="5"/>
      <c r="K605" s="50"/>
      <c r="L605" s="50"/>
      <c r="M605" s="50"/>
      <c r="N605" s="50"/>
      <c r="O605" s="50"/>
      <c r="P605" s="50"/>
      <c r="Q605" s="50"/>
      <c r="R605" s="50"/>
      <c r="S605" s="50"/>
      <c r="T605" s="50"/>
      <c r="U605" s="50"/>
      <c r="V605" s="50"/>
      <c r="W605" s="50"/>
      <c r="X605" s="50"/>
      <c r="Y605" s="50"/>
      <c r="Z605" s="50"/>
      <c r="AA605" s="50"/>
      <c r="AB605" s="50"/>
    </row>
    <row r="606" customFormat="false" ht="15.75" hidden="false" customHeight="false" outlineLevel="0" collapsed="false">
      <c r="A606" s="50"/>
      <c r="B606" s="50"/>
      <c r="C606" s="5"/>
      <c r="D606" s="48"/>
      <c r="E606" s="50"/>
      <c r="F606" s="5"/>
      <c r="G606" s="5"/>
      <c r="H606" s="5"/>
      <c r="I606" s="5"/>
      <c r="J606" s="5"/>
      <c r="K606" s="50"/>
      <c r="L606" s="50"/>
      <c r="M606" s="50"/>
      <c r="N606" s="50"/>
      <c r="O606" s="50"/>
      <c r="P606" s="50"/>
      <c r="Q606" s="50"/>
      <c r="R606" s="50"/>
      <c r="S606" s="50"/>
      <c r="T606" s="50"/>
      <c r="U606" s="50"/>
      <c r="V606" s="50"/>
      <c r="W606" s="50"/>
      <c r="X606" s="50"/>
      <c r="Y606" s="50"/>
      <c r="Z606" s="50"/>
      <c r="AA606" s="50"/>
      <c r="AB606" s="50"/>
    </row>
    <row r="607" customFormat="false" ht="15.75" hidden="false" customHeight="false" outlineLevel="0" collapsed="false">
      <c r="A607" s="50"/>
      <c r="B607" s="50"/>
      <c r="C607" s="5"/>
      <c r="D607" s="48"/>
      <c r="E607" s="50"/>
      <c r="F607" s="5"/>
      <c r="G607" s="5"/>
      <c r="H607" s="5"/>
      <c r="I607" s="5"/>
      <c r="J607" s="5"/>
      <c r="K607" s="50"/>
      <c r="L607" s="50"/>
      <c r="M607" s="50"/>
      <c r="N607" s="50"/>
      <c r="O607" s="50"/>
      <c r="P607" s="50"/>
      <c r="Q607" s="50"/>
      <c r="R607" s="50"/>
      <c r="S607" s="50"/>
      <c r="T607" s="50"/>
      <c r="U607" s="50"/>
      <c r="V607" s="50"/>
      <c r="W607" s="50"/>
      <c r="X607" s="50"/>
      <c r="Y607" s="50"/>
      <c r="Z607" s="50"/>
      <c r="AA607" s="50"/>
      <c r="AB607" s="50"/>
    </row>
    <row r="608" customFormat="false" ht="15.75" hidden="false" customHeight="false" outlineLevel="0" collapsed="false">
      <c r="A608" s="50"/>
      <c r="B608" s="50"/>
      <c r="C608" s="5"/>
      <c r="D608" s="48"/>
      <c r="E608" s="50"/>
      <c r="F608" s="5"/>
      <c r="G608" s="5"/>
      <c r="H608" s="5"/>
      <c r="I608" s="5"/>
      <c r="J608" s="5"/>
      <c r="K608" s="50"/>
      <c r="L608" s="50"/>
      <c r="M608" s="50"/>
      <c r="N608" s="50"/>
      <c r="O608" s="50"/>
      <c r="P608" s="50"/>
      <c r="Q608" s="50"/>
      <c r="R608" s="50"/>
      <c r="S608" s="50"/>
      <c r="T608" s="50"/>
      <c r="U608" s="50"/>
      <c r="V608" s="50"/>
      <c r="W608" s="50"/>
      <c r="X608" s="50"/>
      <c r="Y608" s="50"/>
      <c r="Z608" s="50"/>
      <c r="AA608" s="50"/>
      <c r="AB608" s="50"/>
    </row>
    <row r="609" customFormat="false" ht="15.75" hidden="false" customHeight="false" outlineLevel="0" collapsed="false">
      <c r="A609" s="50"/>
      <c r="B609" s="50"/>
      <c r="C609" s="5"/>
      <c r="D609" s="48"/>
      <c r="E609" s="50"/>
      <c r="F609" s="5"/>
      <c r="G609" s="5"/>
      <c r="H609" s="5"/>
      <c r="I609" s="5"/>
      <c r="J609" s="5"/>
      <c r="K609" s="50"/>
      <c r="L609" s="50"/>
      <c r="M609" s="50"/>
      <c r="N609" s="50"/>
      <c r="O609" s="50"/>
      <c r="P609" s="50"/>
      <c r="Q609" s="50"/>
      <c r="R609" s="50"/>
      <c r="S609" s="50"/>
      <c r="T609" s="50"/>
      <c r="U609" s="50"/>
      <c r="V609" s="50"/>
      <c r="W609" s="50"/>
      <c r="X609" s="50"/>
      <c r="Y609" s="50"/>
      <c r="Z609" s="50"/>
      <c r="AA609" s="50"/>
      <c r="AB609" s="50"/>
    </row>
    <row r="610" customFormat="false" ht="15.75" hidden="false" customHeight="false" outlineLevel="0" collapsed="false">
      <c r="A610" s="50"/>
      <c r="B610" s="50"/>
      <c r="C610" s="5"/>
      <c r="D610" s="48"/>
      <c r="E610" s="50"/>
      <c r="F610" s="5"/>
      <c r="G610" s="5"/>
      <c r="H610" s="5"/>
      <c r="I610" s="5"/>
      <c r="J610" s="5"/>
      <c r="K610" s="50"/>
      <c r="L610" s="50"/>
      <c r="M610" s="50"/>
      <c r="N610" s="50"/>
      <c r="O610" s="50"/>
      <c r="P610" s="50"/>
      <c r="Q610" s="50"/>
      <c r="R610" s="50"/>
      <c r="S610" s="50"/>
      <c r="T610" s="50"/>
      <c r="U610" s="50"/>
      <c r="V610" s="50"/>
      <c r="W610" s="50"/>
      <c r="X610" s="50"/>
      <c r="Y610" s="50"/>
      <c r="Z610" s="50"/>
      <c r="AA610" s="50"/>
      <c r="AB610" s="50"/>
    </row>
    <row r="611" customFormat="false" ht="15.75" hidden="false" customHeight="false" outlineLevel="0" collapsed="false">
      <c r="A611" s="50"/>
      <c r="B611" s="50"/>
      <c r="C611" s="5"/>
      <c r="D611" s="48"/>
      <c r="E611" s="50"/>
      <c r="F611" s="5"/>
      <c r="G611" s="5"/>
      <c r="H611" s="5"/>
      <c r="I611" s="5"/>
      <c r="J611" s="5"/>
      <c r="K611" s="50"/>
      <c r="L611" s="50"/>
      <c r="M611" s="50"/>
      <c r="N611" s="50"/>
      <c r="O611" s="50"/>
      <c r="P611" s="50"/>
      <c r="Q611" s="50"/>
      <c r="R611" s="50"/>
      <c r="S611" s="50"/>
      <c r="T611" s="50"/>
      <c r="U611" s="50"/>
      <c r="V611" s="50"/>
      <c r="W611" s="50"/>
      <c r="X611" s="50"/>
      <c r="Y611" s="50"/>
      <c r="Z611" s="50"/>
      <c r="AA611" s="50"/>
      <c r="AB611" s="50"/>
    </row>
    <row r="612" customFormat="false" ht="15.75" hidden="false" customHeight="false" outlineLevel="0" collapsed="false">
      <c r="A612" s="50"/>
      <c r="B612" s="50"/>
      <c r="C612" s="5"/>
      <c r="D612" s="48"/>
      <c r="E612" s="50"/>
      <c r="F612" s="5"/>
      <c r="G612" s="5"/>
      <c r="H612" s="5"/>
      <c r="I612" s="5"/>
      <c r="J612" s="5"/>
      <c r="K612" s="50"/>
      <c r="L612" s="50"/>
      <c r="M612" s="50"/>
      <c r="N612" s="50"/>
      <c r="O612" s="50"/>
      <c r="P612" s="50"/>
      <c r="Q612" s="50"/>
      <c r="R612" s="50"/>
      <c r="S612" s="50"/>
      <c r="T612" s="50"/>
      <c r="U612" s="50"/>
      <c r="V612" s="50"/>
      <c r="W612" s="50"/>
      <c r="X612" s="50"/>
      <c r="Y612" s="50"/>
      <c r="Z612" s="50"/>
      <c r="AA612" s="50"/>
      <c r="AB612" s="50"/>
    </row>
    <row r="613" customFormat="false" ht="15.75" hidden="false" customHeight="false" outlineLevel="0" collapsed="false">
      <c r="A613" s="50"/>
      <c r="B613" s="50"/>
      <c r="C613" s="5"/>
      <c r="D613" s="48"/>
      <c r="E613" s="50"/>
      <c r="F613" s="5"/>
      <c r="G613" s="5"/>
      <c r="H613" s="5"/>
      <c r="I613" s="5"/>
      <c r="J613" s="5"/>
      <c r="K613" s="50"/>
      <c r="L613" s="50"/>
      <c r="M613" s="50"/>
      <c r="N613" s="50"/>
      <c r="O613" s="50"/>
      <c r="P613" s="50"/>
      <c r="Q613" s="50"/>
      <c r="R613" s="50"/>
      <c r="S613" s="50"/>
      <c r="T613" s="50"/>
      <c r="U613" s="50"/>
      <c r="V613" s="50"/>
      <c r="W613" s="50"/>
      <c r="X613" s="50"/>
      <c r="Y613" s="50"/>
      <c r="Z613" s="50"/>
      <c r="AA613" s="50"/>
      <c r="AB613" s="50"/>
    </row>
    <row r="614" customFormat="false" ht="15.75" hidden="false" customHeight="false" outlineLevel="0" collapsed="false">
      <c r="A614" s="50"/>
      <c r="B614" s="50"/>
      <c r="C614" s="5"/>
      <c r="D614" s="48"/>
      <c r="E614" s="50"/>
      <c r="F614" s="5"/>
      <c r="G614" s="5"/>
      <c r="H614" s="5"/>
      <c r="I614" s="5"/>
      <c r="J614" s="5"/>
      <c r="K614" s="50"/>
      <c r="L614" s="50"/>
      <c r="M614" s="50"/>
      <c r="N614" s="50"/>
      <c r="O614" s="50"/>
      <c r="P614" s="50"/>
      <c r="Q614" s="50"/>
      <c r="R614" s="50"/>
      <c r="S614" s="50"/>
      <c r="T614" s="50"/>
      <c r="U614" s="50"/>
      <c r="V614" s="50"/>
      <c r="W614" s="50"/>
      <c r="X614" s="50"/>
      <c r="Y614" s="50"/>
      <c r="Z614" s="50"/>
      <c r="AA614" s="50"/>
      <c r="AB614" s="50"/>
    </row>
    <row r="615" customFormat="false" ht="15.75" hidden="false" customHeight="false" outlineLevel="0" collapsed="false">
      <c r="A615" s="50"/>
      <c r="B615" s="50"/>
      <c r="C615" s="5"/>
      <c r="D615" s="48"/>
      <c r="E615" s="50"/>
      <c r="F615" s="5"/>
      <c r="G615" s="5"/>
      <c r="H615" s="5"/>
      <c r="I615" s="5"/>
      <c r="J615" s="5"/>
      <c r="K615" s="50"/>
      <c r="L615" s="50"/>
      <c r="M615" s="50"/>
      <c r="N615" s="50"/>
      <c r="O615" s="50"/>
      <c r="P615" s="50"/>
      <c r="Q615" s="50"/>
      <c r="R615" s="50"/>
      <c r="S615" s="50"/>
      <c r="T615" s="50"/>
      <c r="U615" s="50"/>
      <c r="V615" s="50"/>
      <c r="W615" s="50"/>
      <c r="X615" s="50"/>
      <c r="Y615" s="50"/>
      <c r="Z615" s="50"/>
      <c r="AA615" s="50"/>
      <c r="AB615" s="50"/>
    </row>
    <row r="616" customFormat="false" ht="15.75" hidden="false" customHeight="false" outlineLevel="0" collapsed="false">
      <c r="A616" s="50"/>
      <c r="B616" s="50"/>
      <c r="C616" s="5"/>
      <c r="D616" s="48"/>
      <c r="E616" s="50"/>
      <c r="F616" s="5"/>
      <c r="G616" s="5"/>
      <c r="H616" s="5"/>
      <c r="I616" s="5"/>
      <c r="J616" s="5"/>
      <c r="K616" s="50"/>
      <c r="L616" s="50"/>
      <c r="M616" s="50"/>
      <c r="N616" s="50"/>
      <c r="O616" s="50"/>
      <c r="P616" s="50"/>
      <c r="Q616" s="50"/>
      <c r="R616" s="50"/>
      <c r="S616" s="50"/>
      <c r="T616" s="50"/>
      <c r="U616" s="50"/>
      <c r="V616" s="50"/>
      <c r="W616" s="50"/>
      <c r="X616" s="50"/>
      <c r="Y616" s="50"/>
      <c r="Z616" s="50"/>
      <c r="AA616" s="50"/>
      <c r="AB616" s="50"/>
    </row>
    <row r="617" customFormat="false" ht="15.75" hidden="false" customHeight="false" outlineLevel="0" collapsed="false">
      <c r="A617" s="50"/>
      <c r="B617" s="50"/>
      <c r="C617" s="5"/>
      <c r="D617" s="48"/>
      <c r="E617" s="50"/>
      <c r="F617" s="5"/>
      <c r="G617" s="5"/>
      <c r="H617" s="5"/>
      <c r="I617" s="5"/>
      <c r="J617" s="5"/>
      <c r="K617" s="50"/>
      <c r="L617" s="50"/>
      <c r="M617" s="50"/>
      <c r="N617" s="50"/>
      <c r="O617" s="50"/>
      <c r="P617" s="50"/>
      <c r="Q617" s="50"/>
      <c r="R617" s="50"/>
      <c r="S617" s="50"/>
      <c r="T617" s="50"/>
      <c r="U617" s="50"/>
      <c r="V617" s="50"/>
      <c r="W617" s="50"/>
      <c r="X617" s="50"/>
      <c r="Y617" s="50"/>
      <c r="Z617" s="50"/>
      <c r="AA617" s="50"/>
      <c r="AB617" s="50"/>
    </row>
    <row r="618" customFormat="false" ht="15.75" hidden="false" customHeight="false" outlineLevel="0" collapsed="false">
      <c r="A618" s="50"/>
      <c r="B618" s="50"/>
      <c r="C618" s="5"/>
      <c r="D618" s="48"/>
      <c r="E618" s="50"/>
      <c r="F618" s="5"/>
      <c r="G618" s="5"/>
      <c r="H618" s="5"/>
      <c r="I618" s="5"/>
      <c r="J618" s="5"/>
      <c r="K618" s="50"/>
      <c r="L618" s="50"/>
      <c r="M618" s="50"/>
      <c r="N618" s="50"/>
      <c r="O618" s="50"/>
      <c r="P618" s="50"/>
      <c r="Q618" s="50"/>
      <c r="R618" s="50"/>
      <c r="S618" s="50"/>
      <c r="T618" s="50"/>
      <c r="U618" s="50"/>
      <c r="V618" s="50"/>
      <c r="W618" s="50"/>
      <c r="X618" s="50"/>
      <c r="Y618" s="50"/>
      <c r="Z618" s="50"/>
      <c r="AA618" s="50"/>
      <c r="AB618" s="50"/>
    </row>
    <row r="619" customFormat="false" ht="15.75" hidden="false" customHeight="false" outlineLevel="0" collapsed="false">
      <c r="A619" s="50"/>
      <c r="B619" s="50"/>
      <c r="C619" s="5"/>
      <c r="D619" s="48"/>
      <c r="E619" s="50"/>
      <c r="F619" s="5"/>
      <c r="G619" s="5"/>
      <c r="H619" s="5"/>
      <c r="I619" s="5"/>
      <c r="J619" s="5"/>
      <c r="K619" s="50"/>
      <c r="L619" s="50"/>
      <c r="M619" s="50"/>
      <c r="N619" s="50"/>
      <c r="O619" s="50"/>
      <c r="P619" s="50"/>
      <c r="Q619" s="50"/>
      <c r="R619" s="50"/>
      <c r="S619" s="50"/>
      <c r="T619" s="50"/>
      <c r="U619" s="50"/>
      <c r="V619" s="50"/>
      <c r="W619" s="50"/>
      <c r="X619" s="50"/>
      <c r="Y619" s="50"/>
      <c r="Z619" s="50"/>
      <c r="AA619" s="50"/>
      <c r="AB619" s="50"/>
    </row>
    <row r="620" customFormat="false" ht="15.75" hidden="false" customHeight="false" outlineLevel="0" collapsed="false">
      <c r="A620" s="50"/>
      <c r="B620" s="50"/>
      <c r="C620" s="5"/>
      <c r="D620" s="48"/>
      <c r="E620" s="50"/>
      <c r="F620" s="5"/>
      <c r="G620" s="5"/>
      <c r="H620" s="5"/>
      <c r="I620" s="5"/>
      <c r="J620" s="5"/>
      <c r="K620" s="50"/>
      <c r="L620" s="50"/>
      <c r="M620" s="50"/>
      <c r="N620" s="50"/>
      <c r="O620" s="50"/>
      <c r="P620" s="50"/>
      <c r="Q620" s="50"/>
      <c r="R620" s="50"/>
      <c r="S620" s="50"/>
      <c r="T620" s="50"/>
      <c r="U620" s="50"/>
      <c r="V620" s="50"/>
      <c r="W620" s="50"/>
      <c r="X620" s="50"/>
      <c r="Y620" s="50"/>
      <c r="Z620" s="50"/>
      <c r="AA620" s="50"/>
      <c r="AB620" s="50"/>
    </row>
    <row r="621" customFormat="false" ht="15.75" hidden="false" customHeight="false" outlineLevel="0" collapsed="false">
      <c r="A621" s="50"/>
      <c r="B621" s="50"/>
      <c r="C621" s="5"/>
      <c r="D621" s="48"/>
      <c r="E621" s="50"/>
      <c r="F621" s="5"/>
      <c r="G621" s="5"/>
      <c r="H621" s="5"/>
      <c r="I621" s="5"/>
      <c r="J621" s="5"/>
      <c r="K621" s="50"/>
      <c r="L621" s="50"/>
      <c r="M621" s="50"/>
      <c r="N621" s="50"/>
      <c r="O621" s="50"/>
      <c r="P621" s="50"/>
      <c r="Q621" s="50"/>
      <c r="R621" s="50"/>
      <c r="S621" s="50"/>
      <c r="T621" s="50"/>
      <c r="U621" s="50"/>
      <c r="V621" s="50"/>
      <c r="W621" s="50"/>
      <c r="X621" s="50"/>
      <c r="Y621" s="50"/>
      <c r="Z621" s="50"/>
      <c r="AA621" s="50"/>
      <c r="AB621" s="50"/>
    </row>
    <row r="622" customFormat="false" ht="15.75" hidden="false" customHeight="false" outlineLevel="0" collapsed="false">
      <c r="A622" s="50"/>
      <c r="B622" s="50"/>
      <c r="C622" s="5"/>
      <c r="D622" s="48"/>
      <c r="E622" s="50"/>
      <c r="F622" s="5"/>
      <c r="G622" s="5"/>
      <c r="H622" s="5"/>
      <c r="I622" s="5"/>
      <c r="J622" s="5"/>
      <c r="K622" s="50"/>
      <c r="L622" s="50"/>
      <c r="M622" s="50"/>
      <c r="N622" s="50"/>
      <c r="O622" s="50"/>
      <c r="P622" s="50"/>
      <c r="Q622" s="50"/>
      <c r="R622" s="50"/>
      <c r="S622" s="50"/>
      <c r="T622" s="50"/>
      <c r="U622" s="50"/>
      <c r="V622" s="50"/>
      <c r="W622" s="50"/>
      <c r="X622" s="50"/>
      <c r="Y622" s="50"/>
      <c r="Z622" s="50"/>
      <c r="AA622" s="50"/>
      <c r="AB622" s="50"/>
    </row>
    <row r="623" customFormat="false" ht="15.75" hidden="false" customHeight="false" outlineLevel="0" collapsed="false">
      <c r="A623" s="50"/>
      <c r="B623" s="50"/>
      <c r="C623" s="5"/>
      <c r="D623" s="48"/>
      <c r="E623" s="50"/>
      <c r="F623" s="5"/>
      <c r="G623" s="5"/>
      <c r="H623" s="5"/>
      <c r="I623" s="5"/>
      <c r="J623" s="5"/>
      <c r="K623" s="50"/>
      <c r="L623" s="50"/>
      <c r="M623" s="50"/>
      <c r="N623" s="50"/>
      <c r="O623" s="50"/>
      <c r="P623" s="50"/>
      <c r="Q623" s="50"/>
      <c r="R623" s="50"/>
      <c r="S623" s="50"/>
      <c r="T623" s="50"/>
      <c r="U623" s="50"/>
      <c r="V623" s="50"/>
      <c r="W623" s="50"/>
      <c r="X623" s="50"/>
      <c r="Y623" s="50"/>
      <c r="Z623" s="50"/>
      <c r="AA623" s="50"/>
      <c r="AB623" s="50"/>
    </row>
    <row r="624" customFormat="false" ht="15.75" hidden="false" customHeight="false" outlineLevel="0" collapsed="false">
      <c r="A624" s="50"/>
      <c r="B624" s="50"/>
      <c r="C624" s="5"/>
      <c r="D624" s="48"/>
      <c r="E624" s="50"/>
      <c r="F624" s="5"/>
      <c r="G624" s="5"/>
      <c r="H624" s="5"/>
      <c r="I624" s="5"/>
      <c r="J624" s="5"/>
      <c r="K624" s="50"/>
      <c r="L624" s="50"/>
      <c r="M624" s="50"/>
      <c r="N624" s="50"/>
      <c r="O624" s="50"/>
      <c r="P624" s="50"/>
      <c r="Q624" s="50"/>
      <c r="R624" s="50"/>
      <c r="S624" s="50"/>
      <c r="T624" s="50"/>
      <c r="U624" s="50"/>
      <c r="V624" s="50"/>
      <c r="W624" s="50"/>
      <c r="X624" s="50"/>
      <c r="Y624" s="50"/>
      <c r="Z624" s="50"/>
      <c r="AA624" s="50"/>
      <c r="AB624" s="50"/>
    </row>
    <row r="625" customFormat="false" ht="15.75" hidden="false" customHeight="false" outlineLevel="0" collapsed="false">
      <c r="A625" s="50"/>
      <c r="B625" s="50"/>
      <c r="C625" s="5"/>
      <c r="D625" s="48"/>
      <c r="E625" s="50"/>
      <c r="F625" s="5"/>
      <c r="G625" s="5"/>
      <c r="H625" s="5"/>
      <c r="I625" s="5"/>
      <c r="J625" s="5"/>
      <c r="K625" s="50"/>
      <c r="L625" s="50"/>
      <c r="M625" s="50"/>
      <c r="N625" s="50"/>
      <c r="O625" s="50"/>
      <c r="P625" s="50"/>
      <c r="Q625" s="50"/>
      <c r="R625" s="50"/>
      <c r="S625" s="50"/>
      <c r="T625" s="50"/>
      <c r="U625" s="50"/>
      <c r="V625" s="50"/>
      <c r="W625" s="50"/>
      <c r="X625" s="50"/>
      <c r="Y625" s="50"/>
      <c r="Z625" s="50"/>
      <c r="AA625" s="50"/>
      <c r="AB625" s="50"/>
    </row>
    <row r="626" customFormat="false" ht="15.75" hidden="false" customHeight="false" outlineLevel="0" collapsed="false">
      <c r="A626" s="50"/>
      <c r="B626" s="50"/>
      <c r="C626" s="5"/>
      <c r="D626" s="48"/>
      <c r="E626" s="50"/>
      <c r="F626" s="5"/>
      <c r="G626" s="5"/>
      <c r="H626" s="5"/>
      <c r="I626" s="5"/>
      <c r="J626" s="5"/>
      <c r="K626" s="50"/>
      <c r="L626" s="50"/>
      <c r="M626" s="50"/>
      <c r="N626" s="50"/>
      <c r="O626" s="50"/>
      <c r="P626" s="50"/>
      <c r="Q626" s="50"/>
      <c r="R626" s="50"/>
      <c r="S626" s="50"/>
      <c r="T626" s="50"/>
      <c r="U626" s="50"/>
      <c r="V626" s="50"/>
      <c r="W626" s="50"/>
      <c r="X626" s="50"/>
      <c r="Y626" s="50"/>
      <c r="Z626" s="50"/>
      <c r="AA626" s="50"/>
      <c r="AB626" s="50"/>
    </row>
    <row r="627" customFormat="false" ht="15.75" hidden="false" customHeight="false" outlineLevel="0" collapsed="false">
      <c r="A627" s="50"/>
      <c r="B627" s="50"/>
      <c r="C627" s="5"/>
      <c r="D627" s="48"/>
      <c r="E627" s="50"/>
      <c r="F627" s="5"/>
      <c r="G627" s="5"/>
      <c r="H627" s="5"/>
      <c r="I627" s="5"/>
      <c r="J627" s="5"/>
      <c r="K627" s="50"/>
      <c r="L627" s="50"/>
      <c r="M627" s="50"/>
      <c r="N627" s="50"/>
      <c r="O627" s="50"/>
      <c r="P627" s="50"/>
      <c r="Q627" s="50"/>
      <c r="R627" s="50"/>
      <c r="S627" s="50"/>
      <c r="T627" s="50"/>
      <c r="U627" s="50"/>
      <c r="V627" s="50"/>
      <c r="W627" s="50"/>
      <c r="X627" s="50"/>
      <c r="Y627" s="50"/>
      <c r="Z627" s="50"/>
      <c r="AA627" s="50"/>
      <c r="AB627" s="50"/>
    </row>
    <row r="628" customFormat="false" ht="15.75" hidden="false" customHeight="false" outlineLevel="0" collapsed="false">
      <c r="A628" s="50"/>
      <c r="B628" s="50"/>
      <c r="C628" s="5"/>
      <c r="D628" s="48"/>
      <c r="E628" s="50"/>
      <c r="F628" s="5"/>
      <c r="G628" s="5"/>
      <c r="H628" s="5"/>
      <c r="I628" s="5"/>
      <c r="J628" s="5"/>
      <c r="K628" s="50"/>
      <c r="L628" s="50"/>
      <c r="M628" s="50"/>
      <c r="N628" s="50"/>
      <c r="O628" s="50"/>
      <c r="P628" s="50"/>
      <c r="Q628" s="50"/>
      <c r="R628" s="50"/>
      <c r="S628" s="50"/>
      <c r="T628" s="50"/>
      <c r="U628" s="50"/>
      <c r="V628" s="50"/>
      <c r="W628" s="50"/>
      <c r="X628" s="50"/>
      <c r="Y628" s="50"/>
      <c r="Z628" s="50"/>
      <c r="AA628" s="50"/>
      <c r="AB628" s="50"/>
    </row>
    <row r="629" customFormat="false" ht="15.75" hidden="false" customHeight="false" outlineLevel="0" collapsed="false">
      <c r="A629" s="50"/>
      <c r="B629" s="50"/>
      <c r="C629" s="5"/>
      <c r="D629" s="48"/>
      <c r="E629" s="50"/>
      <c r="F629" s="5"/>
      <c r="G629" s="5"/>
      <c r="H629" s="5"/>
      <c r="I629" s="5"/>
      <c r="J629" s="5"/>
      <c r="K629" s="50"/>
      <c r="L629" s="50"/>
      <c r="M629" s="50"/>
      <c r="N629" s="50"/>
      <c r="O629" s="50"/>
      <c r="P629" s="50"/>
      <c r="Q629" s="50"/>
      <c r="R629" s="50"/>
      <c r="S629" s="50"/>
      <c r="T629" s="50"/>
      <c r="U629" s="50"/>
      <c r="V629" s="50"/>
      <c r="W629" s="50"/>
      <c r="X629" s="50"/>
      <c r="Y629" s="50"/>
      <c r="Z629" s="50"/>
      <c r="AA629" s="50"/>
      <c r="AB629" s="50"/>
    </row>
    <row r="630" customFormat="false" ht="15.75" hidden="false" customHeight="false" outlineLevel="0" collapsed="false">
      <c r="A630" s="50"/>
      <c r="B630" s="50"/>
      <c r="C630" s="5"/>
      <c r="D630" s="48"/>
      <c r="E630" s="50"/>
      <c r="F630" s="5"/>
      <c r="G630" s="5"/>
      <c r="H630" s="5"/>
      <c r="I630" s="5"/>
      <c r="J630" s="5"/>
      <c r="K630" s="50"/>
      <c r="L630" s="50"/>
      <c r="M630" s="50"/>
      <c r="N630" s="50"/>
      <c r="O630" s="50"/>
      <c r="P630" s="50"/>
      <c r="Q630" s="50"/>
      <c r="R630" s="50"/>
      <c r="S630" s="50"/>
      <c r="T630" s="50"/>
      <c r="U630" s="50"/>
      <c r="V630" s="50"/>
      <c r="W630" s="50"/>
      <c r="X630" s="50"/>
      <c r="Y630" s="50"/>
      <c r="Z630" s="50"/>
      <c r="AA630" s="50"/>
      <c r="AB630" s="50"/>
    </row>
    <row r="631" customFormat="false" ht="15.75" hidden="false" customHeight="false" outlineLevel="0" collapsed="false">
      <c r="A631" s="50"/>
      <c r="B631" s="50"/>
      <c r="C631" s="5"/>
      <c r="D631" s="48"/>
      <c r="E631" s="50"/>
      <c r="F631" s="5"/>
      <c r="G631" s="5"/>
      <c r="H631" s="5"/>
      <c r="I631" s="5"/>
      <c r="J631" s="5"/>
      <c r="K631" s="50"/>
      <c r="L631" s="50"/>
      <c r="M631" s="50"/>
      <c r="N631" s="50"/>
      <c r="O631" s="50"/>
      <c r="P631" s="50"/>
      <c r="Q631" s="50"/>
      <c r="R631" s="50"/>
      <c r="S631" s="50"/>
      <c r="T631" s="50"/>
      <c r="U631" s="50"/>
      <c r="V631" s="50"/>
      <c r="W631" s="50"/>
      <c r="X631" s="50"/>
      <c r="Y631" s="50"/>
      <c r="Z631" s="50"/>
      <c r="AA631" s="50"/>
      <c r="AB631" s="50"/>
    </row>
    <row r="632" customFormat="false" ht="15.75" hidden="false" customHeight="false" outlineLevel="0" collapsed="false">
      <c r="A632" s="50"/>
      <c r="B632" s="50"/>
      <c r="C632" s="5"/>
      <c r="D632" s="48"/>
      <c r="E632" s="50"/>
      <c r="F632" s="5"/>
      <c r="G632" s="5"/>
      <c r="H632" s="5"/>
      <c r="I632" s="5"/>
      <c r="J632" s="5"/>
      <c r="K632" s="50"/>
      <c r="L632" s="50"/>
      <c r="M632" s="50"/>
      <c r="N632" s="50"/>
      <c r="O632" s="50"/>
      <c r="P632" s="50"/>
      <c r="Q632" s="50"/>
      <c r="R632" s="50"/>
      <c r="S632" s="50"/>
      <c r="T632" s="50"/>
      <c r="U632" s="50"/>
      <c r="V632" s="50"/>
      <c r="W632" s="50"/>
      <c r="X632" s="50"/>
      <c r="Y632" s="50"/>
      <c r="Z632" s="50"/>
      <c r="AA632" s="50"/>
      <c r="AB632" s="50"/>
    </row>
    <row r="633" customFormat="false" ht="15.75" hidden="false" customHeight="false" outlineLevel="0" collapsed="false">
      <c r="A633" s="50"/>
      <c r="B633" s="50"/>
      <c r="C633" s="5"/>
      <c r="D633" s="48"/>
      <c r="E633" s="50"/>
      <c r="F633" s="5"/>
      <c r="G633" s="5"/>
      <c r="H633" s="5"/>
      <c r="I633" s="5"/>
      <c r="J633" s="5"/>
      <c r="K633" s="50"/>
      <c r="L633" s="50"/>
      <c r="M633" s="50"/>
      <c r="N633" s="50"/>
      <c r="O633" s="50"/>
      <c r="P633" s="50"/>
      <c r="Q633" s="50"/>
      <c r="R633" s="50"/>
      <c r="S633" s="50"/>
      <c r="T633" s="50"/>
      <c r="U633" s="50"/>
      <c r="V633" s="50"/>
      <c r="W633" s="50"/>
      <c r="X633" s="50"/>
      <c r="Y633" s="50"/>
      <c r="Z633" s="50"/>
      <c r="AA633" s="50"/>
      <c r="AB633" s="50"/>
    </row>
    <row r="634" customFormat="false" ht="15.75" hidden="false" customHeight="false" outlineLevel="0" collapsed="false">
      <c r="A634" s="50"/>
      <c r="B634" s="50"/>
      <c r="C634" s="5"/>
      <c r="D634" s="48"/>
      <c r="E634" s="50"/>
      <c r="F634" s="5"/>
      <c r="G634" s="5"/>
      <c r="H634" s="5"/>
      <c r="I634" s="5"/>
      <c r="J634" s="5"/>
      <c r="K634" s="50"/>
      <c r="L634" s="50"/>
      <c r="M634" s="50"/>
      <c r="N634" s="50"/>
      <c r="O634" s="50"/>
      <c r="P634" s="50"/>
      <c r="Q634" s="50"/>
      <c r="R634" s="50"/>
      <c r="S634" s="50"/>
      <c r="T634" s="50"/>
      <c r="U634" s="50"/>
      <c r="V634" s="50"/>
      <c r="W634" s="50"/>
      <c r="X634" s="50"/>
      <c r="Y634" s="50"/>
      <c r="Z634" s="50"/>
      <c r="AA634" s="50"/>
      <c r="AB634" s="50"/>
    </row>
    <row r="635" customFormat="false" ht="15.75" hidden="false" customHeight="false" outlineLevel="0" collapsed="false">
      <c r="A635" s="50"/>
      <c r="B635" s="50"/>
      <c r="C635" s="5"/>
      <c r="D635" s="48"/>
      <c r="E635" s="50"/>
      <c r="F635" s="5"/>
      <c r="G635" s="5"/>
      <c r="H635" s="5"/>
      <c r="I635" s="5"/>
      <c r="J635" s="5"/>
      <c r="K635" s="50"/>
      <c r="L635" s="50"/>
      <c r="M635" s="50"/>
      <c r="N635" s="50"/>
      <c r="O635" s="50"/>
      <c r="P635" s="50"/>
      <c r="Q635" s="50"/>
      <c r="R635" s="50"/>
      <c r="S635" s="50"/>
      <c r="T635" s="50"/>
      <c r="U635" s="50"/>
      <c r="V635" s="50"/>
      <c r="W635" s="50"/>
      <c r="X635" s="50"/>
      <c r="Y635" s="50"/>
      <c r="Z635" s="50"/>
      <c r="AA635" s="50"/>
      <c r="AB635" s="50"/>
    </row>
    <row r="636" customFormat="false" ht="15.75" hidden="false" customHeight="false" outlineLevel="0" collapsed="false">
      <c r="A636" s="50"/>
      <c r="B636" s="50"/>
      <c r="C636" s="5"/>
      <c r="D636" s="48"/>
      <c r="E636" s="50"/>
      <c r="F636" s="5"/>
      <c r="G636" s="5"/>
      <c r="H636" s="5"/>
      <c r="I636" s="5"/>
      <c r="J636" s="5"/>
      <c r="K636" s="50"/>
      <c r="L636" s="50"/>
      <c r="M636" s="50"/>
      <c r="N636" s="50"/>
      <c r="O636" s="50"/>
      <c r="P636" s="50"/>
      <c r="Q636" s="50"/>
      <c r="R636" s="50"/>
      <c r="S636" s="50"/>
      <c r="T636" s="50"/>
      <c r="U636" s="50"/>
      <c r="V636" s="50"/>
      <c r="W636" s="50"/>
      <c r="X636" s="50"/>
      <c r="Y636" s="50"/>
      <c r="Z636" s="50"/>
      <c r="AA636" s="50"/>
      <c r="AB636" s="50"/>
    </row>
    <row r="637" customFormat="false" ht="15.75" hidden="false" customHeight="false" outlineLevel="0" collapsed="false">
      <c r="A637" s="50"/>
      <c r="B637" s="50"/>
      <c r="C637" s="5"/>
      <c r="D637" s="48"/>
      <c r="E637" s="50"/>
      <c r="F637" s="5"/>
      <c r="G637" s="5"/>
      <c r="H637" s="5"/>
      <c r="I637" s="5"/>
      <c r="J637" s="5"/>
      <c r="K637" s="50"/>
      <c r="L637" s="50"/>
      <c r="M637" s="50"/>
      <c r="N637" s="50"/>
      <c r="O637" s="50"/>
      <c r="P637" s="50"/>
      <c r="Q637" s="50"/>
      <c r="R637" s="50"/>
      <c r="S637" s="50"/>
      <c r="T637" s="50"/>
      <c r="U637" s="50"/>
      <c r="V637" s="50"/>
      <c r="W637" s="50"/>
      <c r="X637" s="50"/>
      <c r="Y637" s="50"/>
      <c r="Z637" s="50"/>
      <c r="AA637" s="50"/>
      <c r="AB637" s="50"/>
    </row>
    <row r="638" customFormat="false" ht="15.75" hidden="false" customHeight="false" outlineLevel="0" collapsed="false">
      <c r="A638" s="50"/>
      <c r="B638" s="50"/>
      <c r="C638" s="5"/>
      <c r="D638" s="48"/>
      <c r="E638" s="50"/>
      <c r="F638" s="5"/>
      <c r="G638" s="5"/>
      <c r="H638" s="5"/>
      <c r="I638" s="5"/>
      <c r="J638" s="5"/>
      <c r="K638" s="50"/>
      <c r="L638" s="50"/>
      <c r="M638" s="50"/>
      <c r="N638" s="50"/>
      <c r="O638" s="50"/>
      <c r="P638" s="50"/>
      <c r="Q638" s="50"/>
      <c r="R638" s="50"/>
      <c r="S638" s="50"/>
      <c r="T638" s="50"/>
      <c r="U638" s="50"/>
      <c r="V638" s="50"/>
      <c r="W638" s="50"/>
      <c r="X638" s="50"/>
      <c r="Y638" s="50"/>
      <c r="Z638" s="50"/>
      <c r="AA638" s="50"/>
      <c r="AB638" s="50"/>
    </row>
    <row r="639" customFormat="false" ht="15.75" hidden="false" customHeight="false" outlineLevel="0" collapsed="false">
      <c r="A639" s="50"/>
      <c r="B639" s="50"/>
      <c r="C639" s="5"/>
      <c r="D639" s="48"/>
      <c r="E639" s="50"/>
      <c r="F639" s="5"/>
      <c r="G639" s="5"/>
      <c r="H639" s="5"/>
      <c r="I639" s="5"/>
      <c r="J639" s="5"/>
      <c r="K639" s="50"/>
      <c r="L639" s="50"/>
      <c r="M639" s="50"/>
      <c r="N639" s="50"/>
      <c r="O639" s="50"/>
      <c r="P639" s="50"/>
      <c r="Q639" s="50"/>
      <c r="R639" s="50"/>
      <c r="S639" s="50"/>
      <c r="T639" s="50"/>
      <c r="U639" s="50"/>
      <c r="V639" s="50"/>
      <c r="W639" s="50"/>
      <c r="X639" s="50"/>
      <c r="Y639" s="50"/>
      <c r="Z639" s="50"/>
      <c r="AA639" s="50"/>
      <c r="AB639" s="50"/>
    </row>
    <row r="640" customFormat="false" ht="15.75" hidden="false" customHeight="false" outlineLevel="0" collapsed="false">
      <c r="A640" s="50"/>
      <c r="B640" s="50"/>
      <c r="C640" s="5"/>
      <c r="D640" s="48"/>
      <c r="E640" s="50"/>
      <c r="F640" s="5"/>
      <c r="G640" s="5"/>
      <c r="H640" s="5"/>
      <c r="I640" s="5"/>
      <c r="J640" s="5"/>
      <c r="K640" s="50"/>
      <c r="L640" s="50"/>
      <c r="M640" s="50"/>
      <c r="N640" s="50"/>
      <c r="O640" s="50"/>
      <c r="P640" s="50"/>
      <c r="Q640" s="50"/>
      <c r="R640" s="50"/>
      <c r="S640" s="50"/>
      <c r="T640" s="50"/>
      <c r="U640" s="50"/>
      <c r="V640" s="50"/>
      <c r="W640" s="50"/>
      <c r="X640" s="50"/>
      <c r="Y640" s="50"/>
      <c r="Z640" s="50"/>
      <c r="AA640" s="50"/>
      <c r="AB640" s="50"/>
    </row>
    <row r="641" customFormat="false" ht="15.75" hidden="false" customHeight="false" outlineLevel="0" collapsed="false">
      <c r="A641" s="50"/>
      <c r="B641" s="50"/>
      <c r="C641" s="5"/>
      <c r="D641" s="48"/>
      <c r="E641" s="50"/>
      <c r="F641" s="5"/>
      <c r="G641" s="5"/>
      <c r="H641" s="5"/>
      <c r="I641" s="5"/>
      <c r="J641" s="5"/>
      <c r="K641" s="50"/>
      <c r="L641" s="50"/>
      <c r="M641" s="50"/>
      <c r="N641" s="50"/>
      <c r="O641" s="50"/>
      <c r="P641" s="50"/>
      <c r="Q641" s="50"/>
      <c r="R641" s="50"/>
      <c r="S641" s="50"/>
      <c r="T641" s="50"/>
      <c r="U641" s="50"/>
      <c r="V641" s="50"/>
      <c r="W641" s="50"/>
      <c r="X641" s="50"/>
      <c r="Y641" s="50"/>
      <c r="Z641" s="50"/>
      <c r="AA641" s="50"/>
      <c r="AB641" s="50"/>
    </row>
    <row r="642" customFormat="false" ht="15.75" hidden="false" customHeight="false" outlineLevel="0" collapsed="false">
      <c r="A642" s="50"/>
      <c r="B642" s="50"/>
      <c r="C642" s="5"/>
      <c r="D642" s="48"/>
      <c r="E642" s="50"/>
      <c r="F642" s="5"/>
      <c r="G642" s="5"/>
      <c r="H642" s="5"/>
      <c r="I642" s="5"/>
      <c r="J642" s="5"/>
      <c r="K642" s="50"/>
      <c r="L642" s="50"/>
      <c r="M642" s="50"/>
      <c r="N642" s="50"/>
      <c r="O642" s="50"/>
      <c r="P642" s="50"/>
      <c r="Q642" s="50"/>
      <c r="R642" s="50"/>
      <c r="S642" s="50"/>
      <c r="T642" s="50"/>
      <c r="U642" s="50"/>
      <c r="V642" s="50"/>
      <c r="W642" s="50"/>
      <c r="X642" s="50"/>
      <c r="Y642" s="50"/>
      <c r="Z642" s="50"/>
      <c r="AA642" s="50"/>
      <c r="AB642" s="50"/>
    </row>
    <row r="643" customFormat="false" ht="15.75" hidden="false" customHeight="false" outlineLevel="0" collapsed="false">
      <c r="A643" s="50"/>
      <c r="B643" s="50"/>
      <c r="C643" s="5"/>
      <c r="D643" s="48"/>
      <c r="E643" s="50"/>
      <c r="F643" s="5"/>
      <c r="G643" s="5"/>
      <c r="H643" s="5"/>
      <c r="I643" s="5"/>
      <c r="J643" s="5"/>
      <c r="K643" s="50"/>
      <c r="L643" s="50"/>
      <c r="M643" s="50"/>
      <c r="N643" s="50"/>
      <c r="O643" s="50"/>
      <c r="P643" s="50"/>
      <c r="Q643" s="50"/>
      <c r="R643" s="50"/>
      <c r="S643" s="50"/>
      <c r="T643" s="50"/>
      <c r="U643" s="50"/>
      <c r="V643" s="50"/>
      <c r="W643" s="50"/>
      <c r="X643" s="50"/>
      <c r="Y643" s="50"/>
      <c r="Z643" s="50"/>
      <c r="AA643" s="50"/>
      <c r="AB643" s="50"/>
    </row>
    <row r="644" customFormat="false" ht="15.75" hidden="false" customHeight="false" outlineLevel="0" collapsed="false">
      <c r="A644" s="50"/>
      <c r="B644" s="50"/>
      <c r="C644" s="5"/>
      <c r="D644" s="48"/>
      <c r="E644" s="50"/>
      <c r="F644" s="5"/>
      <c r="G644" s="5"/>
      <c r="H644" s="5"/>
      <c r="I644" s="5"/>
      <c r="J644" s="5"/>
      <c r="K644" s="50"/>
      <c r="L644" s="50"/>
      <c r="M644" s="50"/>
      <c r="N644" s="50"/>
      <c r="O644" s="50"/>
      <c r="P644" s="50"/>
      <c r="Q644" s="50"/>
      <c r="R644" s="50"/>
      <c r="S644" s="50"/>
      <c r="T644" s="50"/>
      <c r="U644" s="50"/>
      <c r="V644" s="50"/>
      <c r="W644" s="50"/>
      <c r="X644" s="50"/>
      <c r="Y644" s="50"/>
      <c r="Z644" s="50"/>
      <c r="AA644" s="50"/>
      <c r="AB644" s="50"/>
    </row>
    <row r="645" customFormat="false" ht="15.75" hidden="false" customHeight="false" outlineLevel="0" collapsed="false">
      <c r="A645" s="50"/>
      <c r="B645" s="50"/>
      <c r="C645" s="5"/>
      <c r="D645" s="48"/>
      <c r="E645" s="50"/>
      <c r="F645" s="5"/>
      <c r="G645" s="5"/>
      <c r="H645" s="5"/>
      <c r="I645" s="5"/>
      <c r="J645" s="5"/>
      <c r="K645" s="50"/>
      <c r="L645" s="50"/>
      <c r="M645" s="50"/>
      <c r="N645" s="50"/>
      <c r="O645" s="50"/>
      <c r="P645" s="50"/>
      <c r="Q645" s="50"/>
      <c r="R645" s="50"/>
      <c r="S645" s="50"/>
      <c r="T645" s="50"/>
      <c r="U645" s="50"/>
      <c r="V645" s="50"/>
      <c r="W645" s="50"/>
      <c r="X645" s="50"/>
      <c r="Y645" s="50"/>
      <c r="Z645" s="50"/>
      <c r="AA645" s="50"/>
      <c r="AB645" s="50"/>
    </row>
    <row r="646" customFormat="false" ht="15.75" hidden="false" customHeight="false" outlineLevel="0" collapsed="false">
      <c r="A646" s="50"/>
      <c r="B646" s="50"/>
      <c r="C646" s="5"/>
      <c r="D646" s="48"/>
      <c r="E646" s="50"/>
      <c r="F646" s="5"/>
      <c r="G646" s="5"/>
      <c r="H646" s="5"/>
      <c r="I646" s="5"/>
      <c r="J646" s="5"/>
      <c r="K646" s="50"/>
      <c r="L646" s="50"/>
      <c r="M646" s="50"/>
      <c r="N646" s="50"/>
      <c r="O646" s="50"/>
      <c r="P646" s="50"/>
      <c r="Q646" s="50"/>
      <c r="R646" s="50"/>
      <c r="S646" s="50"/>
      <c r="T646" s="50"/>
      <c r="U646" s="50"/>
      <c r="V646" s="50"/>
      <c r="W646" s="50"/>
      <c r="X646" s="50"/>
      <c r="Y646" s="50"/>
      <c r="Z646" s="50"/>
      <c r="AA646" s="50"/>
      <c r="AB646" s="50"/>
    </row>
    <row r="647" customFormat="false" ht="15.75" hidden="false" customHeight="false" outlineLevel="0" collapsed="false">
      <c r="A647" s="50"/>
      <c r="B647" s="50"/>
      <c r="C647" s="5"/>
      <c r="D647" s="48"/>
      <c r="E647" s="50"/>
      <c r="F647" s="5"/>
      <c r="G647" s="5"/>
      <c r="H647" s="5"/>
      <c r="I647" s="5"/>
      <c r="J647" s="5"/>
      <c r="K647" s="50"/>
      <c r="L647" s="50"/>
      <c r="M647" s="50"/>
      <c r="N647" s="50"/>
      <c r="O647" s="50"/>
      <c r="P647" s="50"/>
      <c r="Q647" s="50"/>
      <c r="R647" s="50"/>
      <c r="S647" s="50"/>
      <c r="T647" s="50"/>
      <c r="U647" s="50"/>
      <c r="V647" s="50"/>
      <c r="W647" s="50"/>
      <c r="X647" s="50"/>
      <c r="Y647" s="50"/>
      <c r="Z647" s="50"/>
      <c r="AA647" s="50"/>
      <c r="AB647" s="50"/>
    </row>
    <row r="648" customFormat="false" ht="15.75" hidden="false" customHeight="false" outlineLevel="0" collapsed="false">
      <c r="A648" s="50"/>
      <c r="B648" s="50"/>
      <c r="C648" s="5"/>
      <c r="D648" s="48"/>
      <c r="E648" s="50"/>
      <c r="F648" s="5"/>
      <c r="G648" s="5"/>
      <c r="H648" s="5"/>
      <c r="I648" s="5"/>
      <c r="J648" s="5"/>
      <c r="K648" s="50"/>
      <c r="L648" s="50"/>
      <c r="M648" s="50"/>
      <c r="N648" s="50"/>
      <c r="O648" s="50"/>
      <c r="P648" s="50"/>
      <c r="Q648" s="50"/>
      <c r="R648" s="50"/>
      <c r="S648" s="50"/>
      <c r="T648" s="50"/>
      <c r="U648" s="50"/>
      <c r="V648" s="50"/>
      <c r="W648" s="50"/>
      <c r="X648" s="50"/>
      <c r="Y648" s="50"/>
      <c r="Z648" s="50"/>
      <c r="AA648" s="50"/>
      <c r="AB648" s="50"/>
    </row>
    <row r="649" customFormat="false" ht="15.75" hidden="false" customHeight="false" outlineLevel="0" collapsed="false">
      <c r="A649" s="50"/>
      <c r="B649" s="50"/>
      <c r="C649" s="5"/>
      <c r="D649" s="48"/>
      <c r="E649" s="50"/>
      <c r="F649" s="5"/>
      <c r="G649" s="5"/>
      <c r="H649" s="5"/>
      <c r="I649" s="5"/>
      <c r="J649" s="5"/>
      <c r="K649" s="50"/>
      <c r="L649" s="50"/>
      <c r="M649" s="50"/>
      <c r="N649" s="50"/>
      <c r="O649" s="50"/>
      <c r="P649" s="50"/>
      <c r="Q649" s="50"/>
      <c r="R649" s="50"/>
      <c r="S649" s="50"/>
      <c r="T649" s="50"/>
      <c r="U649" s="50"/>
      <c r="V649" s="50"/>
      <c r="W649" s="50"/>
      <c r="X649" s="50"/>
      <c r="Y649" s="50"/>
      <c r="Z649" s="50"/>
      <c r="AA649" s="50"/>
      <c r="AB649" s="50"/>
    </row>
    <row r="650" customFormat="false" ht="15.75" hidden="false" customHeight="false" outlineLevel="0" collapsed="false">
      <c r="A650" s="50"/>
      <c r="B650" s="50"/>
      <c r="C650" s="5"/>
      <c r="D650" s="48"/>
      <c r="E650" s="50"/>
      <c r="F650" s="5"/>
      <c r="G650" s="5"/>
      <c r="H650" s="5"/>
      <c r="I650" s="5"/>
      <c r="J650" s="5"/>
      <c r="K650" s="50"/>
      <c r="L650" s="50"/>
      <c r="M650" s="50"/>
      <c r="N650" s="50"/>
      <c r="O650" s="50"/>
      <c r="P650" s="50"/>
      <c r="Q650" s="50"/>
      <c r="R650" s="50"/>
      <c r="S650" s="50"/>
      <c r="T650" s="50"/>
      <c r="U650" s="50"/>
      <c r="V650" s="50"/>
      <c r="W650" s="50"/>
      <c r="X650" s="50"/>
      <c r="Y650" s="50"/>
      <c r="Z650" s="50"/>
      <c r="AA650" s="50"/>
      <c r="AB650" s="50"/>
    </row>
    <row r="651" customFormat="false" ht="15.75" hidden="false" customHeight="false" outlineLevel="0" collapsed="false">
      <c r="A651" s="50"/>
      <c r="B651" s="50"/>
      <c r="C651" s="5"/>
      <c r="D651" s="48"/>
      <c r="E651" s="50"/>
      <c r="F651" s="5"/>
      <c r="G651" s="5"/>
      <c r="H651" s="5"/>
      <c r="I651" s="5"/>
      <c r="J651" s="5"/>
      <c r="K651" s="50"/>
      <c r="L651" s="50"/>
      <c r="M651" s="50"/>
      <c r="N651" s="50"/>
      <c r="O651" s="50"/>
      <c r="P651" s="50"/>
      <c r="Q651" s="50"/>
      <c r="R651" s="50"/>
      <c r="S651" s="50"/>
      <c r="T651" s="50"/>
      <c r="U651" s="50"/>
      <c r="V651" s="50"/>
      <c r="W651" s="50"/>
      <c r="X651" s="50"/>
      <c r="Y651" s="50"/>
      <c r="Z651" s="50"/>
      <c r="AA651" s="50"/>
      <c r="AB651" s="50"/>
    </row>
    <row r="652" customFormat="false" ht="15.75" hidden="false" customHeight="false" outlineLevel="0" collapsed="false">
      <c r="A652" s="50"/>
      <c r="B652" s="50"/>
      <c r="C652" s="5"/>
      <c r="D652" s="48"/>
      <c r="E652" s="50"/>
      <c r="F652" s="5"/>
      <c r="G652" s="5"/>
      <c r="H652" s="5"/>
      <c r="I652" s="5"/>
      <c r="J652" s="5"/>
      <c r="K652" s="50"/>
      <c r="L652" s="50"/>
      <c r="M652" s="50"/>
      <c r="N652" s="50"/>
      <c r="O652" s="50"/>
      <c r="P652" s="50"/>
      <c r="Q652" s="50"/>
      <c r="R652" s="50"/>
      <c r="S652" s="50"/>
      <c r="T652" s="50"/>
      <c r="U652" s="50"/>
      <c r="V652" s="50"/>
      <c r="W652" s="50"/>
      <c r="X652" s="50"/>
      <c r="Y652" s="50"/>
      <c r="Z652" s="50"/>
      <c r="AA652" s="50"/>
      <c r="AB652" s="50"/>
    </row>
    <row r="653" customFormat="false" ht="15.75" hidden="false" customHeight="false" outlineLevel="0" collapsed="false">
      <c r="A653" s="50"/>
      <c r="B653" s="50"/>
      <c r="C653" s="5"/>
      <c r="D653" s="48"/>
      <c r="E653" s="50"/>
      <c r="F653" s="5"/>
      <c r="G653" s="5"/>
      <c r="H653" s="5"/>
      <c r="I653" s="5"/>
      <c r="J653" s="5"/>
      <c r="K653" s="50"/>
      <c r="L653" s="50"/>
      <c r="M653" s="50"/>
      <c r="N653" s="50"/>
      <c r="O653" s="50"/>
      <c r="P653" s="50"/>
      <c r="Q653" s="50"/>
      <c r="R653" s="50"/>
      <c r="S653" s="50"/>
      <c r="T653" s="50"/>
      <c r="U653" s="50"/>
      <c r="V653" s="50"/>
      <c r="W653" s="50"/>
      <c r="X653" s="50"/>
      <c r="Y653" s="50"/>
      <c r="Z653" s="50"/>
      <c r="AA653" s="50"/>
      <c r="AB653" s="50"/>
    </row>
    <row r="654" customFormat="false" ht="15.75" hidden="false" customHeight="false" outlineLevel="0" collapsed="false">
      <c r="A654" s="50"/>
      <c r="B654" s="50"/>
      <c r="C654" s="5"/>
      <c r="D654" s="48"/>
      <c r="E654" s="50"/>
      <c r="F654" s="5"/>
      <c r="G654" s="5"/>
      <c r="H654" s="5"/>
      <c r="I654" s="5"/>
      <c r="J654" s="5"/>
      <c r="K654" s="50"/>
      <c r="L654" s="50"/>
      <c r="M654" s="50"/>
      <c r="N654" s="50"/>
      <c r="O654" s="50"/>
      <c r="P654" s="50"/>
      <c r="Q654" s="50"/>
      <c r="R654" s="50"/>
      <c r="S654" s="50"/>
      <c r="T654" s="50"/>
      <c r="U654" s="50"/>
      <c r="V654" s="50"/>
      <c r="W654" s="50"/>
      <c r="X654" s="50"/>
      <c r="Y654" s="50"/>
      <c r="Z654" s="50"/>
      <c r="AA654" s="50"/>
      <c r="AB654" s="50"/>
    </row>
    <row r="655" customFormat="false" ht="15.75" hidden="false" customHeight="false" outlineLevel="0" collapsed="false">
      <c r="A655" s="50"/>
      <c r="B655" s="50"/>
      <c r="C655" s="5"/>
      <c r="D655" s="48"/>
      <c r="E655" s="50"/>
      <c r="F655" s="5"/>
      <c r="G655" s="5"/>
      <c r="H655" s="5"/>
      <c r="I655" s="5"/>
      <c r="J655" s="5"/>
      <c r="K655" s="50"/>
      <c r="L655" s="50"/>
      <c r="M655" s="50"/>
      <c r="N655" s="50"/>
      <c r="O655" s="50"/>
      <c r="P655" s="50"/>
      <c r="Q655" s="50"/>
      <c r="R655" s="50"/>
      <c r="S655" s="50"/>
      <c r="T655" s="50"/>
      <c r="U655" s="50"/>
      <c r="V655" s="50"/>
      <c r="W655" s="50"/>
      <c r="X655" s="50"/>
      <c r="Y655" s="50"/>
      <c r="Z655" s="50"/>
      <c r="AA655" s="50"/>
      <c r="AB655" s="50"/>
    </row>
    <row r="656" customFormat="false" ht="15.75" hidden="false" customHeight="false" outlineLevel="0" collapsed="false">
      <c r="A656" s="50"/>
      <c r="B656" s="50"/>
      <c r="C656" s="5"/>
      <c r="D656" s="48"/>
      <c r="E656" s="50"/>
      <c r="F656" s="5"/>
      <c r="G656" s="5"/>
      <c r="H656" s="5"/>
      <c r="I656" s="5"/>
      <c r="J656" s="5"/>
      <c r="K656" s="50"/>
      <c r="L656" s="50"/>
      <c r="M656" s="50"/>
      <c r="N656" s="50"/>
      <c r="O656" s="50"/>
      <c r="P656" s="50"/>
      <c r="Q656" s="50"/>
      <c r="R656" s="50"/>
      <c r="S656" s="50"/>
      <c r="T656" s="50"/>
      <c r="U656" s="50"/>
      <c r="V656" s="50"/>
      <c r="W656" s="50"/>
      <c r="X656" s="50"/>
      <c r="Y656" s="50"/>
      <c r="Z656" s="50"/>
      <c r="AA656" s="50"/>
      <c r="AB656" s="50"/>
    </row>
    <row r="657" customFormat="false" ht="15.75" hidden="false" customHeight="false" outlineLevel="0" collapsed="false">
      <c r="A657" s="50"/>
      <c r="B657" s="50"/>
      <c r="C657" s="5"/>
      <c r="D657" s="48"/>
      <c r="E657" s="50"/>
      <c r="F657" s="5"/>
      <c r="G657" s="5"/>
      <c r="H657" s="5"/>
      <c r="I657" s="5"/>
      <c r="J657" s="5"/>
      <c r="K657" s="50"/>
      <c r="L657" s="50"/>
      <c r="M657" s="50"/>
      <c r="N657" s="50"/>
      <c r="O657" s="50"/>
      <c r="P657" s="50"/>
      <c r="Q657" s="50"/>
      <c r="R657" s="50"/>
      <c r="S657" s="50"/>
      <c r="T657" s="50"/>
      <c r="U657" s="50"/>
      <c r="V657" s="50"/>
      <c r="W657" s="50"/>
      <c r="X657" s="50"/>
      <c r="Y657" s="50"/>
      <c r="Z657" s="50"/>
      <c r="AA657" s="50"/>
      <c r="AB657" s="50"/>
    </row>
    <row r="658" customFormat="false" ht="15.75" hidden="false" customHeight="false" outlineLevel="0" collapsed="false">
      <c r="A658" s="50"/>
      <c r="B658" s="50"/>
      <c r="C658" s="5"/>
      <c r="D658" s="48"/>
      <c r="E658" s="50"/>
      <c r="F658" s="5"/>
      <c r="G658" s="5"/>
      <c r="H658" s="5"/>
      <c r="I658" s="5"/>
      <c r="J658" s="5"/>
      <c r="K658" s="50"/>
      <c r="L658" s="50"/>
      <c r="M658" s="50"/>
      <c r="N658" s="50"/>
      <c r="O658" s="50"/>
      <c r="P658" s="50"/>
      <c r="Q658" s="50"/>
      <c r="R658" s="50"/>
      <c r="S658" s="50"/>
      <c r="T658" s="50"/>
      <c r="U658" s="50"/>
      <c r="V658" s="50"/>
      <c r="W658" s="50"/>
      <c r="X658" s="50"/>
      <c r="Y658" s="50"/>
      <c r="Z658" s="50"/>
      <c r="AA658" s="50"/>
      <c r="AB658" s="50"/>
    </row>
    <row r="659" customFormat="false" ht="15.75" hidden="false" customHeight="false" outlineLevel="0" collapsed="false">
      <c r="A659" s="50"/>
      <c r="B659" s="50"/>
      <c r="C659" s="5"/>
      <c r="D659" s="48"/>
      <c r="E659" s="50"/>
      <c r="F659" s="5"/>
      <c r="G659" s="5"/>
      <c r="H659" s="5"/>
      <c r="I659" s="5"/>
      <c r="J659" s="5"/>
      <c r="K659" s="50"/>
      <c r="L659" s="50"/>
      <c r="M659" s="50"/>
      <c r="N659" s="50"/>
      <c r="O659" s="50"/>
      <c r="P659" s="50"/>
      <c r="Q659" s="50"/>
      <c r="R659" s="50"/>
      <c r="S659" s="50"/>
      <c r="T659" s="50"/>
      <c r="U659" s="50"/>
      <c r="V659" s="50"/>
      <c r="W659" s="50"/>
      <c r="X659" s="50"/>
      <c r="Y659" s="50"/>
      <c r="Z659" s="50"/>
      <c r="AA659" s="50"/>
      <c r="AB659" s="50"/>
    </row>
    <row r="660" customFormat="false" ht="15.75" hidden="false" customHeight="false" outlineLevel="0" collapsed="false">
      <c r="A660" s="50"/>
      <c r="B660" s="50"/>
      <c r="C660" s="5"/>
      <c r="D660" s="48"/>
      <c r="E660" s="50"/>
      <c r="F660" s="5"/>
      <c r="G660" s="5"/>
      <c r="H660" s="5"/>
      <c r="I660" s="5"/>
      <c r="J660" s="5"/>
      <c r="K660" s="50"/>
      <c r="L660" s="50"/>
      <c r="M660" s="50"/>
      <c r="N660" s="50"/>
      <c r="O660" s="50"/>
      <c r="P660" s="50"/>
      <c r="Q660" s="50"/>
      <c r="R660" s="50"/>
      <c r="S660" s="50"/>
      <c r="T660" s="50"/>
      <c r="U660" s="50"/>
      <c r="V660" s="50"/>
      <c r="W660" s="50"/>
      <c r="X660" s="50"/>
      <c r="Y660" s="50"/>
      <c r="Z660" s="50"/>
      <c r="AA660" s="50"/>
      <c r="AB660" s="50"/>
    </row>
    <row r="661" customFormat="false" ht="15.75" hidden="false" customHeight="false" outlineLevel="0" collapsed="false">
      <c r="A661" s="50"/>
      <c r="B661" s="50"/>
      <c r="C661" s="5"/>
      <c r="D661" s="48"/>
      <c r="E661" s="50"/>
      <c r="F661" s="5"/>
      <c r="G661" s="5"/>
      <c r="H661" s="5"/>
      <c r="I661" s="5"/>
      <c r="J661" s="5"/>
      <c r="K661" s="50"/>
      <c r="L661" s="50"/>
      <c r="M661" s="50"/>
      <c r="N661" s="50"/>
      <c r="O661" s="50"/>
      <c r="P661" s="50"/>
      <c r="Q661" s="50"/>
      <c r="R661" s="50"/>
      <c r="S661" s="50"/>
      <c r="T661" s="50"/>
      <c r="U661" s="50"/>
      <c r="V661" s="50"/>
      <c r="W661" s="50"/>
      <c r="X661" s="50"/>
      <c r="Y661" s="50"/>
      <c r="Z661" s="50"/>
      <c r="AA661" s="50"/>
      <c r="AB661" s="50"/>
    </row>
    <row r="662" customFormat="false" ht="15.75" hidden="false" customHeight="false" outlineLevel="0" collapsed="false">
      <c r="A662" s="50"/>
      <c r="B662" s="50"/>
      <c r="C662" s="5"/>
      <c r="D662" s="48"/>
      <c r="E662" s="50"/>
      <c r="F662" s="5"/>
      <c r="G662" s="5"/>
      <c r="H662" s="5"/>
      <c r="I662" s="5"/>
      <c r="J662" s="5"/>
      <c r="K662" s="50"/>
      <c r="L662" s="50"/>
      <c r="M662" s="50"/>
      <c r="N662" s="50"/>
      <c r="O662" s="50"/>
      <c r="P662" s="50"/>
      <c r="Q662" s="50"/>
      <c r="R662" s="50"/>
      <c r="S662" s="50"/>
      <c r="T662" s="50"/>
      <c r="U662" s="50"/>
      <c r="V662" s="50"/>
      <c r="W662" s="50"/>
      <c r="X662" s="50"/>
      <c r="Y662" s="50"/>
      <c r="Z662" s="50"/>
      <c r="AA662" s="50"/>
      <c r="AB662" s="50"/>
    </row>
    <row r="663" customFormat="false" ht="15.75" hidden="false" customHeight="false" outlineLevel="0" collapsed="false">
      <c r="A663" s="50"/>
      <c r="B663" s="50"/>
      <c r="C663" s="5"/>
      <c r="D663" s="48"/>
      <c r="E663" s="50"/>
      <c r="F663" s="5"/>
      <c r="G663" s="5"/>
      <c r="H663" s="5"/>
      <c r="I663" s="5"/>
      <c r="J663" s="5"/>
      <c r="K663" s="50"/>
      <c r="L663" s="50"/>
      <c r="M663" s="50"/>
      <c r="N663" s="50"/>
      <c r="O663" s="50"/>
      <c r="P663" s="50"/>
      <c r="Q663" s="50"/>
      <c r="R663" s="50"/>
      <c r="S663" s="50"/>
      <c r="T663" s="50"/>
      <c r="U663" s="50"/>
      <c r="V663" s="50"/>
      <c r="W663" s="50"/>
      <c r="X663" s="50"/>
      <c r="Y663" s="50"/>
      <c r="Z663" s="50"/>
      <c r="AA663" s="50"/>
      <c r="AB663" s="50"/>
    </row>
    <row r="664" customFormat="false" ht="15.75" hidden="false" customHeight="false" outlineLevel="0" collapsed="false">
      <c r="A664" s="50"/>
      <c r="B664" s="50"/>
      <c r="C664" s="5"/>
      <c r="D664" s="48"/>
      <c r="E664" s="50"/>
      <c r="F664" s="5"/>
      <c r="G664" s="5"/>
      <c r="H664" s="5"/>
      <c r="I664" s="5"/>
      <c r="J664" s="5"/>
      <c r="K664" s="50"/>
      <c r="L664" s="50"/>
      <c r="M664" s="50"/>
      <c r="N664" s="50"/>
      <c r="O664" s="50"/>
      <c r="P664" s="50"/>
      <c r="Q664" s="50"/>
      <c r="R664" s="50"/>
      <c r="S664" s="50"/>
      <c r="T664" s="50"/>
      <c r="U664" s="50"/>
      <c r="V664" s="50"/>
      <c r="W664" s="50"/>
      <c r="X664" s="50"/>
      <c r="Y664" s="50"/>
      <c r="Z664" s="50"/>
      <c r="AA664" s="50"/>
      <c r="AB664" s="50"/>
    </row>
    <row r="665" customFormat="false" ht="15.75" hidden="false" customHeight="false" outlineLevel="0" collapsed="false">
      <c r="A665" s="50"/>
      <c r="B665" s="50"/>
      <c r="C665" s="5"/>
      <c r="D665" s="48"/>
      <c r="E665" s="50"/>
      <c r="F665" s="5"/>
      <c r="G665" s="5"/>
      <c r="H665" s="5"/>
      <c r="I665" s="5"/>
      <c r="J665" s="5"/>
      <c r="K665" s="50"/>
      <c r="L665" s="50"/>
      <c r="M665" s="50"/>
      <c r="N665" s="50"/>
      <c r="O665" s="50"/>
      <c r="P665" s="50"/>
      <c r="Q665" s="50"/>
      <c r="R665" s="50"/>
      <c r="S665" s="50"/>
      <c r="T665" s="50"/>
      <c r="U665" s="50"/>
      <c r="V665" s="50"/>
      <c r="W665" s="50"/>
      <c r="X665" s="50"/>
      <c r="Y665" s="50"/>
      <c r="Z665" s="50"/>
      <c r="AA665" s="50"/>
      <c r="AB665" s="50"/>
    </row>
    <row r="666" customFormat="false" ht="15.75" hidden="false" customHeight="false" outlineLevel="0" collapsed="false">
      <c r="A666" s="50"/>
      <c r="B666" s="50"/>
      <c r="C666" s="5"/>
      <c r="D666" s="48"/>
      <c r="E666" s="50"/>
      <c r="F666" s="5"/>
      <c r="G666" s="5"/>
      <c r="H666" s="5"/>
      <c r="I666" s="5"/>
      <c r="J666" s="5"/>
      <c r="K666" s="50"/>
      <c r="L666" s="50"/>
      <c r="M666" s="50"/>
      <c r="N666" s="50"/>
      <c r="O666" s="50"/>
      <c r="P666" s="50"/>
      <c r="Q666" s="50"/>
      <c r="R666" s="50"/>
      <c r="S666" s="50"/>
      <c r="T666" s="50"/>
      <c r="U666" s="50"/>
      <c r="V666" s="50"/>
      <c r="W666" s="50"/>
      <c r="X666" s="50"/>
      <c r="Y666" s="50"/>
      <c r="Z666" s="50"/>
      <c r="AA666" s="50"/>
      <c r="AB666" s="50"/>
    </row>
    <row r="667" customFormat="false" ht="15.75" hidden="false" customHeight="false" outlineLevel="0" collapsed="false">
      <c r="A667" s="50"/>
      <c r="B667" s="50"/>
      <c r="C667" s="5"/>
      <c r="D667" s="48"/>
      <c r="E667" s="50"/>
      <c r="F667" s="5"/>
      <c r="G667" s="5"/>
      <c r="H667" s="5"/>
      <c r="I667" s="5"/>
      <c r="J667" s="5"/>
      <c r="K667" s="50"/>
      <c r="L667" s="50"/>
      <c r="M667" s="50"/>
      <c r="N667" s="50"/>
      <c r="O667" s="50"/>
      <c r="P667" s="50"/>
      <c r="Q667" s="50"/>
      <c r="R667" s="50"/>
      <c r="S667" s="50"/>
      <c r="T667" s="50"/>
      <c r="U667" s="50"/>
      <c r="V667" s="50"/>
      <c r="W667" s="50"/>
      <c r="X667" s="50"/>
      <c r="Y667" s="50"/>
      <c r="Z667" s="50"/>
      <c r="AA667" s="50"/>
      <c r="AB667" s="50"/>
    </row>
    <row r="668" customFormat="false" ht="15.75" hidden="false" customHeight="false" outlineLevel="0" collapsed="false">
      <c r="A668" s="50"/>
      <c r="B668" s="50"/>
      <c r="C668" s="5"/>
      <c r="D668" s="48"/>
      <c r="E668" s="50"/>
      <c r="F668" s="5"/>
      <c r="G668" s="5"/>
      <c r="H668" s="5"/>
      <c r="I668" s="5"/>
      <c r="J668" s="5"/>
      <c r="K668" s="50"/>
      <c r="L668" s="50"/>
      <c r="M668" s="50"/>
      <c r="N668" s="50"/>
      <c r="O668" s="50"/>
      <c r="P668" s="50"/>
      <c r="Q668" s="50"/>
      <c r="R668" s="50"/>
      <c r="S668" s="50"/>
      <c r="T668" s="50"/>
      <c r="U668" s="50"/>
      <c r="V668" s="50"/>
      <c r="W668" s="50"/>
      <c r="X668" s="50"/>
      <c r="Y668" s="50"/>
      <c r="Z668" s="50"/>
      <c r="AA668" s="50"/>
      <c r="AB668" s="50"/>
    </row>
    <row r="669" customFormat="false" ht="15.75" hidden="false" customHeight="false" outlineLevel="0" collapsed="false">
      <c r="A669" s="50"/>
      <c r="B669" s="50"/>
      <c r="C669" s="5"/>
      <c r="D669" s="48"/>
      <c r="E669" s="50"/>
      <c r="F669" s="5"/>
      <c r="G669" s="5"/>
      <c r="H669" s="5"/>
      <c r="I669" s="5"/>
      <c r="J669" s="5"/>
      <c r="K669" s="50"/>
      <c r="L669" s="50"/>
      <c r="M669" s="50"/>
      <c r="N669" s="50"/>
      <c r="O669" s="50"/>
      <c r="P669" s="50"/>
      <c r="Q669" s="50"/>
      <c r="R669" s="50"/>
      <c r="S669" s="50"/>
      <c r="T669" s="50"/>
      <c r="U669" s="50"/>
      <c r="V669" s="50"/>
      <c r="W669" s="50"/>
      <c r="X669" s="50"/>
      <c r="Y669" s="50"/>
      <c r="Z669" s="50"/>
      <c r="AA669" s="50"/>
      <c r="AB669" s="50"/>
    </row>
    <row r="670" customFormat="false" ht="15.75" hidden="false" customHeight="false" outlineLevel="0" collapsed="false">
      <c r="A670" s="50"/>
      <c r="B670" s="50"/>
      <c r="C670" s="5"/>
      <c r="D670" s="48"/>
      <c r="E670" s="50"/>
      <c r="F670" s="5"/>
      <c r="G670" s="5"/>
      <c r="H670" s="5"/>
      <c r="I670" s="5"/>
      <c r="J670" s="5"/>
      <c r="K670" s="50"/>
      <c r="L670" s="50"/>
      <c r="M670" s="50"/>
      <c r="N670" s="50"/>
      <c r="O670" s="50"/>
      <c r="P670" s="50"/>
      <c r="Q670" s="50"/>
      <c r="R670" s="50"/>
      <c r="S670" s="50"/>
      <c r="T670" s="50"/>
      <c r="U670" s="50"/>
      <c r="V670" s="50"/>
      <c r="W670" s="50"/>
      <c r="X670" s="50"/>
      <c r="Y670" s="50"/>
      <c r="Z670" s="50"/>
      <c r="AA670" s="50"/>
      <c r="AB670" s="50"/>
    </row>
    <row r="671" customFormat="false" ht="15.75" hidden="false" customHeight="false" outlineLevel="0" collapsed="false">
      <c r="A671" s="50"/>
      <c r="B671" s="50"/>
      <c r="C671" s="5"/>
      <c r="D671" s="48"/>
      <c r="E671" s="50"/>
      <c r="F671" s="5"/>
      <c r="G671" s="5"/>
      <c r="H671" s="5"/>
      <c r="I671" s="5"/>
      <c r="J671" s="5"/>
      <c r="K671" s="50"/>
      <c r="L671" s="50"/>
      <c r="M671" s="50"/>
      <c r="N671" s="50"/>
      <c r="O671" s="50"/>
      <c r="P671" s="50"/>
      <c r="Q671" s="50"/>
      <c r="R671" s="50"/>
      <c r="S671" s="50"/>
      <c r="T671" s="50"/>
      <c r="U671" s="50"/>
      <c r="V671" s="50"/>
      <c r="W671" s="50"/>
      <c r="X671" s="50"/>
      <c r="Y671" s="50"/>
      <c r="Z671" s="50"/>
      <c r="AA671" s="50"/>
      <c r="AB671" s="50"/>
    </row>
    <row r="672" customFormat="false" ht="15.75" hidden="false" customHeight="false" outlineLevel="0" collapsed="false">
      <c r="A672" s="50"/>
      <c r="B672" s="50"/>
      <c r="C672" s="5"/>
      <c r="D672" s="48"/>
      <c r="E672" s="50"/>
      <c r="F672" s="5"/>
      <c r="G672" s="5"/>
      <c r="H672" s="5"/>
      <c r="I672" s="5"/>
      <c r="J672" s="5"/>
      <c r="K672" s="50"/>
      <c r="L672" s="50"/>
      <c r="M672" s="50"/>
      <c r="N672" s="50"/>
      <c r="O672" s="50"/>
      <c r="P672" s="50"/>
      <c r="Q672" s="50"/>
      <c r="R672" s="50"/>
      <c r="S672" s="50"/>
      <c r="T672" s="50"/>
      <c r="U672" s="50"/>
      <c r="V672" s="50"/>
      <c r="W672" s="50"/>
      <c r="X672" s="50"/>
      <c r="Y672" s="50"/>
      <c r="Z672" s="50"/>
      <c r="AA672" s="50"/>
      <c r="AB672" s="50"/>
    </row>
    <row r="673" customFormat="false" ht="15.75" hidden="false" customHeight="false" outlineLevel="0" collapsed="false">
      <c r="A673" s="50"/>
      <c r="B673" s="50"/>
      <c r="C673" s="5"/>
      <c r="D673" s="48"/>
      <c r="E673" s="50"/>
      <c r="F673" s="5"/>
      <c r="G673" s="5"/>
      <c r="H673" s="5"/>
      <c r="I673" s="5"/>
      <c r="J673" s="5"/>
      <c r="K673" s="50"/>
      <c r="L673" s="50"/>
      <c r="M673" s="50"/>
      <c r="N673" s="50"/>
      <c r="O673" s="50"/>
      <c r="P673" s="50"/>
      <c r="Q673" s="50"/>
      <c r="R673" s="50"/>
      <c r="S673" s="50"/>
      <c r="T673" s="50"/>
      <c r="U673" s="50"/>
      <c r="V673" s="50"/>
      <c r="W673" s="50"/>
      <c r="X673" s="50"/>
      <c r="Y673" s="50"/>
      <c r="Z673" s="50"/>
      <c r="AA673" s="50"/>
      <c r="AB673" s="50"/>
    </row>
    <row r="674" customFormat="false" ht="15.75" hidden="false" customHeight="false" outlineLevel="0" collapsed="false">
      <c r="A674" s="50"/>
      <c r="B674" s="50"/>
      <c r="C674" s="5"/>
      <c r="D674" s="48"/>
      <c r="E674" s="50"/>
      <c r="F674" s="5"/>
      <c r="G674" s="5"/>
      <c r="H674" s="5"/>
      <c r="I674" s="5"/>
      <c r="J674" s="5"/>
      <c r="K674" s="50"/>
      <c r="L674" s="50"/>
      <c r="M674" s="50"/>
      <c r="N674" s="50"/>
      <c r="O674" s="50"/>
      <c r="P674" s="50"/>
      <c r="Q674" s="50"/>
      <c r="R674" s="50"/>
      <c r="S674" s="50"/>
      <c r="T674" s="50"/>
      <c r="U674" s="50"/>
      <c r="V674" s="50"/>
      <c r="W674" s="50"/>
      <c r="X674" s="50"/>
      <c r="Y674" s="50"/>
      <c r="Z674" s="50"/>
      <c r="AA674" s="50"/>
      <c r="AB674" s="50"/>
    </row>
    <row r="675" customFormat="false" ht="15.75" hidden="false" customHeight="false" outlineLevel="0" collapsed="false">
      <c r="A675" s="50"/>
      <c r="B675" s="50"/>
      <c r="C675" s="5"/>
      <c r="D675" s="48"/>
      <c r="E675" s="50"/>
      <c r="F675" s="5"/>
      <c r="G675" s="5"/>
      <c r="H675" s="5"/>
      <c r="I675" s="5"/>
      <c r="J675" s="5"/>
      <c r="K675" s="50"/>
      <c r="L675" s="50"/>
      <c r="M675" s="50"/>
      <c r="N675" s="50"/>
      <c r="O675" s="50"/>
      <c r="P675" s="50"/>
      <c r="Q675" s="50"/>
      <c r="R675" s="50"/>
      <c r="S675" s="50"/>
      <c r="T675" s="50"/>
      <c r="U675" s="50"/>
      <c r="V675" s="50"/>
      <c r="W675" s="50"/>
      <c r="X675" s="50"/>
      <c r="Y675" s="50"/>
      <c r="Z675" s="50"/>
      <c r="AA675" s="50"/>
      <c r="AB675" s="50"/>
    </row>
    <row r="676" customFormat="false" ht="15.75" hidden="false" customHeight="false" outlineLevel="0" collapsed="false">
      <c r="A676" s="50"/>
      <c r="B676" s="50"/>
      <c r="C676" s="5"/>
      <c r="D676" s="48"/>
      <c r="E676" s="50"/>
      <c r="F676" s="5"/>
      <c r="G676" s="5"/>
      <c r="H676" s="5"/>
      <c r="I676" s="5"/>
      <c r="J676" s="5"/>
      <c r="K676" s="50"/>
      <c r="L676" s="50"/>
      <c r="M676" s="50"/>
      <c r="N676" s="50"/>
      <c r="O676" s="50"/>
      <c r="P676" s="50"/>
      <c r="Q676" s="50"/>
      <c r="R676" s="50"/>
      <c r="S676" s="50"/>
      <c r="T676" s="50"/>
      <c r="U676" s="50"/>
      <c r="V676" s="50"/>
      <c r="W676" s="50"/>
      <c r="X676" s="50"/>
      <c r="Y676" s="50"/>
      <c r="Z676" s="50"/>
      <c r="AA676" s="50"/>
      <c r="AB676" s="50"/>
    </row>
    <row r="677" customFormat="false" ht="15.75" hidden="false" customHeight="false" outlineLevel="0" collapsed="false">
      <c r="A677" s="50"/>
      <c r="B677" s="50"/>
      <c r="C677" s="5"/>
      <c r="D677" s="48"/>
      <c r="E677" s="50"/>
      <c r="F677" s="5"/>
      <c r="G677" s="5"/>
      <c r="H677" s="5"/>
      <c r="I677" s="5"/>
      <c r="J677" s="5"/>
      <c r="K677" s="50"/>
      <c r="L677" s="50"/>
      <c r="M677" s="50"/>
      <c r="N677" s="50"/>
      <c r="O677" s="50"/>
      <c r="P677" s="50"/>
      <c r="Q677" s="50"/>
      <c r="R677" s="50"/>
      <c r="S677" s="50"/>
      <c r="T677" s="50"/>
      <c r="U677" s="50"/>
      <c r="V677" s="50"/>
      <c r="W677" s="50"/>
      <c r="X677" s="50"/>
      <c r="Y677" s="50"/>
      <c r="Z677" s="50"/>
      <c r="AA677" s="50"/>
      <c r="AB677" s="50"/>
    </row>
    <row r="678" customFormat="false" ht="15.75" hidden="false" customHeight="false" outlineLevel="0" collapsed="false">
      <c r="A678" s="50"/>
      <c r="B678" s="50"/>
      <c r="C678" s="5"/>
      <c r="D678" s="48"/>
      <c r="E678" s="50"/>
      <c r="F678" s="5"/>
      <c r="G678" s="5"/>
      <c r="H678" s="5"/>
      <c r="I678" s="5"/>
      <c r="J678" s="5"/>
      <c r="K678" s="50"/>
      <c r="L678" s="50"/>
      <c r="M678" s="50"/>
      <c r="N678" s="50"/>
      <c r="O678" s="50"/>
      <c r="P678" s="50"/>
      <c r="Q678" s="50"/>
      <c r="R678" s="50"/>
      <c r="S678" s="50"/>
      <c r="T678" s="50"/>
      <c r="U678" s="50"/>
      <c r="V678" s="50"/>
      <c r="W678" s="50"/>
      <c r="X678" s="50"/>
      <c r="Y678" s="50"/>
      <c r="Z678" s="50"/>
      <c r="AA678" s="50"/>
      <c r="AB678" s="50"/>
    </row>
    <row r="679" customFormat="false" ht="15.75" hidden="false" customHeight="false" outlineLevel="0" collapsed="false">
      <c r="A679" s="50"/>
      <c r="B679" s="50"/>
      <c r="C679" s="5"/>
      <c r="D679" s="48"/>
      <c r="E679" s="50"/>
      <c r="F679" s="5"/>
      <c r="G679" s="5"/>
      <c r="H679" s="5"/>
      <c r="I679" s="5"/>
      <c r="J679" s="5"/>
      <c r="K679" s="50"/>
      <c r="L679" s="50"/>
      <c r="M679" s="50"/>
      <c r="N679" s="50"/>
      <c r="O679" s="50"/>
      <c r="P679" s="50"/>
      <c r="Q679" s="50"/>
      <c r="R679" s="50"/>
      <c r="S679" s="50"/>
      <c r="T679" s="50"/>
      <c r="U679" s="50"/>
      <c r="V679" s="50"/>
      <c r="W679" s="50"/>
      <c r="X679" s="50"/>
      <c r="Y679" s="50"/>
      <c r="Z679" s="50"/>
      <c r="AA679" s="50"/>
      <c r="AB679" s="50"/>
    </row>
    <row r="680" customFormat="false" ht="15.75" hidden="false" customHeight="false" outlineLevel="0" collapsed="false">
      <c r="A680" s="50"/>
      <c r="B680" s="50"/>
      <c r="C680" s="5"/>
      <c r="D680" s="48"/>
      <c r="E680" s="50"/>
      <c r="F680" s="5"/>
      <c r="G680" s="5"/>
      <c r="H680" s="5"/>
      <c r="I680" s="5"/>
      <c r="J680" s="5"/>
      <c r="K680" s="50"/>
      <c r="L680" s="50"/>
      <c r="M680" s="50"/>
      <c r="N680" s="50"/>
      <c r="O680" s="50"/>
      <c r="P680" s="50"/>
      <c r="Q680" s="50"/>
      <c r="R680" s="50"/>
      <c r="S680" s="50"/>
      <c r="T680" s="50"/>
      <c r="U680" s="50"/>
      <c r="V680" s="50"/>
      <c r="W680" s="50"/>
      <c r="X680" s="50"/>
      <c r="Y680" s="50"/>
      <c r="Z680" s="50"/>
      <c r="AA680" s="50"/>
      <c r="AB680" s="50"/>
    </row>
    <row r="681" customFormat="false" ht="15.75" hidden="false" customHeight="false" outlineLevel="0" collapsed="false">
      <c r="A681" s="50"/>
      <c r="B681" s="50"/>
      <c r="C681" s="5"/>
      <c r="D681" s="48"/>
      <c r="E681" s="50"/>
      <c r="F681" s="5"/>
      <c r="G681" s="5"/>
      <c r="H681" s="5"/>
      <c r="I681" s="5"/>
      <c r="J681" s="5"/>
      <c r="K681" s="50"/>
      <c r="L681" s="50"/>
      <c r="M681" s="50"/>
      <c r="N681" s="50"/>
      <c r="O681" s="50"/>
      <c r="P681" s="50"/>
      <c r="Q681" s="50"/>
      <c r="R681" s="50"/>
      <c r="S681" s="50"/>
      <c r="T681" s="50"/>
      <c r="U681" s="50"/>
      <c r="V681" s="50"/>
      <c r="W681" s="50"/>
      <c r="X681" s="50"/>
      <c r="Y681" s="50"/>
      <c r="Z681" s="50"/>
      <c r="AA681" s="50"/>
      <c r="AB681" s="50"/>
    </row>
    <row r="682" customFormat="false" ht="15.75" hidden="false" customHeight="false" outlineLevel="0" collapsed="false">
      <c r="A682" s="50"/>
      <c r="B682" s="50"/>
      <c r="C682" s="5"/>
      <c r="D682" s="48"/>
      <c r="E682" s="50"/>
      <c r="F682" s="5"/>
      <c r="G682" s="5"/>
      <c r="H682" s="5"/>
      <c r="I682" s="5"/>
      <c r="J682" s="5"/>
      <c r="K682" s="50"/>
      <c r="L682" s="50"/>
      <c r="M682" s="50"/>
      <c r="N682" s="50"/>
      <c r="O682" s="50"/>
      <c r="P682" s="50"/>
      <c r="Q682" s="50"/>
      <c r="R682" s="50"/>
      <c r="S682" s="50"/>
      <c r="T682" s="50"/>
      <c r="U682" s="50"/>
      <c r="V682" s="50"/>
      <c r="W682" s="50"/>
      <c r="X682" s="50"/>
      <c r="Y682" s="50"/>
      <c r="Z682" s="50"/>
      <c r="AA682" s="50"/>
      <c r="AB682" s="50"/>
    </row>
    <row r="683" customFormat="false" ht="15.75" hidden="false" customHeight="false" outlineLevel="0" collapsed="false">
      <c r="A683" s="50"/>
      <c r="B683" s="50"/>
      <c r="C683" s="5"/>
      <c r="D683" s="48"/>
      <c r="E683" s="50"/>
      <c r="F683" s="5"/>
      <c r="G683" s="5"/>
      <c r="H683" s="5"/>
      <c r="I683" s="5"/>
      <c r="J683" s="5"/>
      <c r="K683" s="50"/>
      <c r="L683" s="50"/>
      <c r="M683" s="50"/>
      <c r="N683" s="50"/>
      <c r="O683" s="50"/>
      <c r="P683" s="50"/>
      <c r="Q683" s="50"/>
      <c r="R683" s="50"/>
      <c r="S683" s="50"/>
      <c r="T683" s="50"/>
      <c r="U683" s="50"/>
      <c r="V683" s="50"/>
      <c r="W683" s="50"/>
      <c r="X683" s="50"/>
      <c r="Y683" s="50"/>
      <c r="Z683" s="50"/>
      <c r="AA683" s="50"/>
      <c r="AB683" s="50"/>
    </row>
    <row r="684" customFormat="false" ht="15.75" hidden="false" customHeight="false" outlineLevel="0" collapsed="false">
      <c r="A684" s="50"/>
      <c r="B684" s="50"/>
      <c r="C684" s="5"/>
      <c r="D684" s="48"/>
      <c r="E684" s="50"/>
      <c r="F684" s="5"/>
      <c r="G684" s="5"/>
      <c r="H684" s="5"/>
      <c r="I684" s="5"/>
      <c r="J684" s="5"/>
      <c r="K684" s="50"/>
      <c r="L684" s="50"/>
      <c r="M684" s="50"/>
      <c r="N684" s="50"/>
      <c r="O684" s="50"/>
      <c r="P684" s="50"/>
      <c r="Q684" s="50"/>
      <c r="R684" s="50"/>
      <c r="S684" s="50"/>
      <c r="T684" s="50"/>
      <c r="U684" s="50"/>
      <c r="V684" s="50"/>
      <c r="W684" s="50"/>
      <c r="X684" s="50"/>
      <c r="Y684" s="50"/>
      <c r="Z684" s="50"/>
      <c r="AA684" s="50"/>
      <c r="AB684" s="50"/>
    </row>
    <row r="685" customFormat="false" ht="15.75" hidden="false" customHeight="false" outlineLevel="0" collapsed="false">
      <c r="A685" s="50"/>
      <c r="B685" s="50"/>
      <c r="C685" s="5"/>
      <c r="D685" s="48"/>
      <c r="E685" s="50"/>
      <c r="F685" s="5"/>
      <c r="G685" s="5"/>
      <c r="H685" s="5"/>
      <c r="I685" s="5"/>
      <c r="J685" s="5"/>
      <c r="K685" s="50"/>
      <c r="L685" s="50"/>
      <c r="M685" s="50"/>
      <c r="N685" s="50"/>
      <c r="O685" s="50"/>
      <c r="P685" s="50"/>
      <c r="Q685" s="50"/>
      <c r="R685" s="50"/>
      <c r="S685" s="50"/>
      <c r="T685" s="50"/>
      <c r="U685" s="50"/>
      <c r="V685" s="50"/>
      <c r="W685" s="50"/>
      <c r="X685" s="50"/>
      <c r="Y685" s="50"/>
      <c r="Z685" s="50"/>
      <c r="AA685" s="50"/>
      <c r="AB685" s="50"/>
    </row>
    <row r="686" customFormat="false" ht="15.75" hidden="false" customHeight="false" outlineLevel="0" collapsed="false">
      <c r="A686" s="50"/>
      <c r="B686" s="50"/>
      <c r="C686" s="5"/>
      <c r="D686" s="48"/>
      <c r="E686" s="50"/>
      <c r="F686" s="5"/>
      <c r="G686" s="5"/>
      <c r="H686" s="5"/>
      <c r="I686" s="5"/>
      <c r="J686" s="5"/>
      <c r="K686" s="50"/>
      <c r="L686" s="50"/>
      <c r="M686" s="50"/>
      <c r="N686" s="50"/>
      <c r="O686" s="50"/>
      <c r="P686" s="50"/>
      <c r="Q686" s="50"/>
      <c r="R686" s="50"/>
      <c r="S686" s="50"/>
      <c r="T686" s="50"/>
      <c r="U686" s="50"/>
      <c r="V686" s="50"/>
      <c r="W686" s="50"/>
      <c r="X686" s="50"/>
      <c r="Y686" s="50"/>
      <c r="Z686" s="50"/>
      <c r="AA686" s="50"/>
      <c r="AB686" s="50"/>
    </row>
    <row r="687" customFormat="false" ht="15.75" hidden="false" customHeight="false" outlineLevel="0" collapsed="false">
      <c r="A687" s="50"/>
      <c r="B687" s="50"/>
      <c r="C687" s="5"/>
      <c r="D687" s="48"/>
      <c r="E687" s="50"/>
      <c r="F687" s="5"/>
      <c r="G687" s="5"/>
      <c r="H687" s="5"/>
      <c r="I687" s="5"/>
      <c r="J687" s="5"/>
      <c r="K687" s="50"/>
      <c r="L687" s="50"/>
      <c r="M687" s="50"/>
      <c r="N687" s="50"/>
      <c r="O687" s="50"/>
      <c r="P687" s="50"/>
      <c r="Q687" s="50"/>
      <c r="R687" s="50"/>
      <c r="S687" s="50"/>
      <c r="T687" s="50"/>
      <c r="U687" s="50"/>
      <c r="V687" s="50"/>
      <c r="W687" s="50"/>
      <c r="X687" s="50"/>
      <c r="Y687" s="50"/>
      <c r="Z687" s="50"/>
      <c r="AA687" s="50"/>
      <c r="AB687" s="50"/>
    </row>
    <row r="688" customFormat="false" ht="15.75" hidden="false" customHeight="false" outlineLevel="0" collapsed="false">
      <c r="A688" s="50"/>
      <c r="B688" s="50"/>
      <c r="C688" s="5"/>
      <c r="D688" s="48"/>
      <c r="E688" s="50"/>
      <c r="F688" s="5"/>
      <c r="G688" s="5"/>
      <c r="H688" s="5"/>
      <c r="I688" s="5"/>
      <c r="J688" s="5"/>
      <c r="K688" s="50"/>
      <c r="L688" s="50"/>
      <c r="M688" s="50"/>
      <c r="N688" s="50"/>
      <c r="O688" s="50"/>
      <c r="P688" s="50"/>
      <c r="Q688" s="50"/>
      <c r="R688" s="50"/>
      <c r="S688" s="50"/>
      <c r="T688" s="50"/>
      <c r="U688" s="50"/>
      <c r="V688" s="50"/>
      <c r="W688" s="50"/>
      <c r="X688" s="50"/>
      <c r="Y688" s="50"/>
      <c r="Z688" s="50"/>
      <c r="AA688" s="50"/>
      <c r="AB688" s="50"/>
    </row>
    <row r="689" customFormat="false" ht="15.75" hidden="false" customHeight="false" outlineLevel="0" collapsed="false">
      <c r="A689" s="50"/>
      <c r="B689" s="50"/>
      <c r="C689" s="5"/>
      <c r="D689" s="48"/>
      <c r="E689" s="50"/>
      <c r="F689" s="5"/>
      <c r="G689" s="5"/>
      <c r="H689" s="5"/>
      <c r="I689" s="5"/>
      <c r="J689" s="5"/>
      <c r="K689" s="50"/>
      <c r="L689" s="50"/>
      <c r="M689" s="50"/>
      <c r="N689" s="50"/>
      <c r="O689" s="50"/>
      <c r="P689" s="50"/>
      <c r="Q689" s="50"/>
      <c r="R689" s="50"/>
      <c r="S689" s="50"/>
      <c r="T689" s="50"/>
      <c r="U689" s="50"/>
      <c r="V689" s="50"/>
      <c r="W689" s="50"/>
      <c r="X689" s="50"/>
      <c r="Y689" s="50"/>
      <c r="Z689" s="50"/>
      <c r="AA689" s="50"/>
      <c r="AB689" s="50"/>
    </row>
    <row r="690" customFormat="false" ht="15.75" hidden="false" customHeight="false" outlineLevel="0" collapsed="false">
      <c r="A690" s="50"/>
      <c r="B690" s="50"/>
      <c r="C690" s="5"/>
      <c r="D690" s="48"/>
      <c r="E690" s="50"/>
      <c r="F690" s="5"/>
      <c r="G690" s="5"/>
      <c r="H690" s="5"/>
      <c r="I690" s="5"/>
      <c r="J690" s="5"/>
      <c r="K690" s="50"/>
      <c r="L690" s="50"/>
      <c r="M690" s="50"/>
      <c r="N690" s="50"/>
      <c r="O690" s="50"/>
      <c r="P690" s="50"/>
      <c r="Q690" s="50"/>
      <c r="R690" s="50"/>
      <c r="S690" s="50"/>
      <c r="T690" s="50"/>
      <c r="U690" s="50"/>
      <c r="V690" s="50"/>
      <c r="W690" s="50"/>
      <c r="X690" s="50"/>
      <c r="Y690" s="50"/>
      <c r="Z690" s="50"/>
      <c r="AA690" s="50"/>
      <c r="AB690" s="50"/>
    </row>
    <row r="691" customFormat="false" ht="15.75" hidden="false" customHeight="false" outlineLevel="0" collapsed="false">
      <c r="A691" s="50"/>
      <c r="B691" s="50"/>
      <c r="C691" s="5"/>
      <c r="D691" s="48"/>
      <c r="E691" s="50"/>
      <c r="F691" s="5"/>
      <c r="G691" s="5"/>
      <c r="H691" s="5"/>
      <c r="I691" s="5"/>
      <c r="J691" s="5"/>
      <c r="K691" s="50"/>
      <c r="L691" s="50"/>
      <c r="M691" s="50"/>
      <c r="N691" s="50"/>
      <c r="O691" s="50"/>
      <c r="P691" s="50"/>
      <c r="Q691" s="50"/>
      <c r="R691" s="50"/>
      <c r="S691" s="50"/>
      <c r="T691" s="50"/>
      <c r="U691" s="50"/>
      <c r="V691" s="50"/>
      <c r="W691" s="50"/>
      <c r="X691" s="50"/>
      <c r="Y691" s="50"/>
      <c r="Z691" s="50"/>
      <c r="AA691" s="50"/>
      <c r="AB691" s="50"/>
    </row>
    <row r="692" customFormat="false" ht="15.75" hidden="false" customHeight="false" outlineLevel="0" collapsed="false">
      <c r="A692" s="50"/>
      <c r="B692" s="50"/>
      <c r="C692" s="5"/>
      <c r="D692" s="48"/>
      <c r="E692" s="50"/>
      <c r="F692" s="5"/>
      <c r="G692" s="5"/>
      <c r="H692" s="5"/>
      <c r="I692" s="5"/>
      <c r="J692" s="5"/>
      <c r="K692" s="50"/>
      <c r="L692" s="50"/>
      <c r="M692" s="50"/>
      <c r="N692" s="50"/>
      <c r="O692" s="50"/>
      <c r="P692" s="50"/>
      <c r="Q692" s="50"/>
      <c r="R692" s="50"/>
      <c r="S692" s="50"/>
      <c r="T692" s="50"/>
      <c r="U692" s="50"/>
      <c r="V692" s="50"/>
      <c r="W692" s="50"/>
      <c r="X692" s="50"/>
      <c r="Y692" s="50"/>
      <c r="Z692" s="50"/>
      <c r="AA692" s="50"/>
      <c r="AB692" s="50"/>
    </row>
    <row r="693" customFormat="false" ht="15.75" hidden="false" customHeight="false" outlineLevel="0" collapsed="false">
      <c r="A693" s="50"/>
      <c r="B693" s="50"/>
      <c r="C693" s="5"/>
      <c r="D693" s="48"/>
      <c r="E693" s="50"/>
      <c r="F693" s="5"/>
      <c r="G693" s="5"/>
      <c r="H693" s="5"/>
      <c r="I693" s="5"/>
      <c r="J693" s="5"/>
      <c r="K693" s="50"/>
      <c r="L693" s="50"/>
      <c r="M693" s="50"/>
      <c r="N693" s="50"/>
      <c r="O693" s="50"/>
      <c r="P693" s="50"/>
      <c r="Q693" s="50"/>
      <c r="R693" s="50"/>
      <c r="S693" s="50"/>
      <c r="T693" s="50"/>
      <c r="U693" s="50"/>
      <c r="V693" s="50"/>
      <c r="W693" s="50"/>
      <c r="X693" s="50"/>
      <c r="Y693" s="50"/>
      <c r="Z693" s="50"/>
      <c r="AA693" s="50"/>
      <c r="AB693" s="50"/>
    </row>
    <row r="694" customFormat="false" ht="15.75" hidden="false" customHeight="false" outlineLevel="0" collapsed="false">
      <c r="A694" s="50"/>
      <c r="B694" s="50"/>
      <c r="C694" s="5"/>
      <c r="D694" s="48"/>
      <c r="E694" s="50"/>
      <c r="F694" s="5"/>
      <c r="G694" s="5"/>
      <c r="H694" s="5"/>
      <c r="I694" s="5"/>
      <c r="J694" s="5"/>
      <c r="K694" s="50"/>
      <c r="L694" s="50"/>
      <c r="M694" s="50"/>
      <c r="N694" s="50"/>
      <c r="O694" s="50"/>
      <c r="P694" s="50"/>
      <c r="Q694" s="50"/>
      <c r="R694" s="50"/>
      <c r="S694" s="50"/>
      <c r="T694" s="50"/>
      <c r="U694" s="50"/>
      <c r="V694" s="50"/>
      <c r="W694" s="50"/>
      <c r="X694" s="50"/>
      <c r="Y694" s="50"/>
      <c r="Z694" s="50"/>
      <c r="AA694" s="50"/>
      <c r="AB694" s="50"/>
    </row>
    <row r="695" customFormat="false" ht="15.75" hidden="false" customHeight="false" outlineLevel="0" collapsed="false">
      <c r="A695" s="50"/>
      <c r="B695" s="50"/>
      <c r="C695" s="5"/>
      <c r="D695" s="48"/>
      <c r="E695" s="50"/>
      <c r="F695" s="5"/>
      <c r="G695" s="5"/>
      <c r="H695" s="5"/>
      <c r="I695" s="5"/>
      <c r="J695" s="5"/>
      <c r="K695" s="50"/>
      <c r="L695" s="50"/>
      <c r="M695" s="50"/>
      <c r="N695" s="50"/>
      <c r="O695" s="50"/>
      <c r="P695" s="50"/>
      <c r="Q695" s="50"/>
      <c r="R695" s="50"/>
      <c r="S695" s="50"/>
      <c r="T695" s="50"/>
      <c r="U695" s="50"/>
      <c r="V695" s="50"/>
      <c r="W695" s="50"/>
      <c r="X695" s="50"/>
      <c r="Y695" s="50"/>
      <c r="Z695" s="50"/>
      <c r="AA695" s="50"/>
      <c r="AB695" s="50"/>
    </row>
    <row r="696" customFormat="false" ht="15.75" hidden="false" customHeight="false" outlineLevel="0" collapsed="false">
      <c r="A696" s="50"/>
      <c r="B696" s="50"/>
      <c r="C696" s="5"/>
      <c r="D696" s="48"/>
      <c r="E696" s="50"/>
      <c r="F696" s="5"/>
      <c r="G696" s="5"/>
      <c r="H696" s="5"/>
      <c r="I696" s="5"/>
      <c r="J696" s="5"/>
      <c r="K696" s="50"/>
      <c r="L696" s="50"/>
      <c r="M696" s="50"/>
      <c r="N696" s="50"/>
      <c r="O696" s="50"/>
      <c r="P696" s="50"/>
      <c r="Q696" s="50"/>
      <c r="R696" s="50"/>
      <c r="S696" s="50"/>
      <c r="T696" s="50"/>
      <c r="U696" s="50"/>
      <c r="V696" s="50"/>
      <c r="W696" s="50"/>
      <c r="X696" s="50"/>
      <c r="Y696" s="50"/>
      <c r="Z696" s="50"/>
      <c r="AA696" s="50"/>
      <c r="AB696" s="50"/>
    </row>
    <row r="697" customFormat="false" ht="15.75" hidden="false" customHeight="false" outlineLevel="0" collapsed="false">
      <c r="A697" s="50"/>
      <c r="B697" s="50"/>
      <c r="C697" s="5"/>
      <c r="D697" s="48"/>
      <c r="E697" s="50"/>
      <c r="F697" s="5"/>
      <c r="G697" s="5"/>
      <c r="H697" s="5"/>
      <c r="I697" s="5"/>
      <c r="J697" s="5"/>
      <c r="K697" s="50"/>
      <c r="L697" s="50"/>
      <c r="M697" s="50"/>
      <c r="N697" s="50"/>
      <c r="O697" s="50"/>
      <c r="P697" s="50"/>
      <c r="Q697" s="50"/>
      <c r="R697" s="50"/>
      <c r="S697" s="50"/>
      <c r="T697" s="50"/>
      <c r="U697" s="50"/>
      <c r="V697" s="50"/>
      <c r="W697" s="50"/>
      <c r="X697" s="50"/>
      <c r="Y697" s="50"/>
      <c r="Z697" s="50"/>
      <c r="AA697" s="50"/>
      <c r="AB697" s="50"/>
    </row>
    <row r="698" customFormat="false" ht="15.75" hidden="false" customHeight="false" outlineLevel="0" collapsed="false">
      <c r="A698" s="50"/>
      <c r="B698" s="50"/>
      <c r="C698" s="5"/>
      <c r="D698" s="48"/>
      <c r="E698" s="50"/>
      <c r="F698" s="5"/>
      <c r="G698" s="5"/>
      <c r="H698" s="5"/>
      <c r="I698" s="5"/>
      <c r="J698" s="5"/>
      <c r="K698" s="50"/>
      <c r="L698" s="50"/>
      <c r="M698" s="50"/>
      <c r="N698" s="50"/>
      <c r="O698" s="50"/>
      <c r="P698" s="50"/>
      <c r="Q698" s="50"/>
      <c r="R698" s="50"/>
      <c r="S698" s="50"/>
      <c r="T698" s="50"/>
      <c r="U698" s="50"/>
      <c r="V698" s="50"/>
      <c r="W698" s="50"/>
      <c r="X698" s="50"/>
      <c r="Y698" s="50"/>
      <c r="Z698" s="50"/>
      <c r="AA698" s="50"/>
      <c r="AB698" s="50"/>
    </row>
    <row r="699" customFormat="false" ht="15.75" hidden="false" customHeight="false" outlineLevel="0" collapsed="false">
      <c r="A699" s="50"/>
      <c r="B699" s="50"/>
      <c r="C699" s="5"/>
      <c r="D699" s="48"/>
      <c r="E699" s="50"/>
      <c r="F699" s="5"/>
      <c r="G699" s="5"/>
      <c r="H699" s="5"/>
      <c r="I699" s="5"/>
      <c r="J699" s="5"/>
      <c r="K699" s="50"/>
      <c r="L699" s="50"/>
      <c r="M699" s="50"/>
      <c r="N699" s="50"/>
      <c r="O699" s="50"/>
      <c r="P699" s="50"/>
      <c r="Q699" s="50"/>
      <c r="R699" s="50"/>
      <c r="S699" s="50"/>
      <c r="T699" s="50"/>
      <c r="U699" s="50"/>
      <c r="V699" s="50"/>
      <c r="W699" s="50"/>
      <c r="X699" s="50"/>
      <c r="Y699" s="50"/>
      <c r="Z699" s="50"/>
      <c r="AA699" s="50"/>
      <c r="AB699" s="50"/>
    </row>
    <row r="700" customFormat="false" ht="15.75" hidden="false" customHeight="false" outlineLevel="0" collapsed="false">
      <c r="A700" s="50"/>
      <c r="B700" s="50"/>
      <c r="C700" s="5"/>
      <c r="D700" s="48"/>
      <c r="E700" s="50"/>
      <c r="F700" s="5"/>
      <c r="G700" s="5"/>
      <c r="H700" s="5"/>
      <c r="I700" s="5"/>
      <c r="J700" s="5"/>
      <c r="K700" s="50"/>
      <c r="L700" s="50"/>
      <c r="M700" s="50"/>
      <c r="N700" s="50"/>
      <c r="O700" s="50"/>
      <c r="P700" s="50"/>
      <c r="Q700" s="50"/>
      <c r="R700" s="50"/>
      <c r="S700" s="50"/>
      <c r="T700" s="50"/>
      <c r="U700" s="50"/>
      <c r="V700" s="50"/>
      <c r="W700" s="50"/>
      <c r="X700" s="50"/>
      <c r="Y700" s="50"/>
      <c r="Z700" s="50"/>
      <c r="AA700" s="50"/>
      <c r="AB700" s="50"/>
    </row>
    <row r="701" customFormat="false" ht="15.75" hidden="false" customHeight="false" outlineLevel="0" collapsed="false">
      <c r="A701" s="50"/>
      <c r="B701" s="50"/>
      <c r="C701" s="5"/>
      <c r="D701" s="48"/>
      <c r="E701" s="50"/>
      <c r="F701" s="5"/>
      <c r="G701" s="5"/>
      <c r="H701" s="5"/>
      <c r="I701" s="5"/>
      <c r="J701" s="5"/>
      <c r="K701" s="50"/>
      <c r="L701" s="50"/>
      <c r="M701" s="50"/>
      <c r="N701" s="50"/>
      <c r="O701" s="50"/>
      <c r="P701" s="50"/>
      <c r="Q701" s="50"/>
      <c r="R701" s="50"/>
      <c r="S701" s="50"/>
      <c r="T701" s="50"/>
      <c r="U701" s="50"/>
      <c r="V701" s="50"/>
      <c r="W701" s="50"/>
      <c r="X701" s="50"/>
      <c r="Y701" s="50"/>
      <c r="Z701" s="50"/>
      <c r="AA701" s="50"/>
      <c r="AB701" s="50"/>
    </row>
    <row r="702" customFormat="false" ht="15.75" hidden="false" customHeight="false" outlineLevel="0" collapsed="false">
      <c r="A702" s="50"/>
      <c r="B702" s="50"/>
      <c r="C702" s="5"/>
      <c r="D702" s="48"/>
      <c r="E702" s="50"/>
      <c r="F702" s="5"/>
      <c r="G702" s="5"/>
      <c r="H702" s="5"/>
      <c r="I702" s="5"/>
      <c r="J702" s="5"/>
      <c r="K702" s="50"/>
      <c r="L702" s="50"/>
      <c r="M702" s="50"/>
      <c r="N702" s="50"/>
      <c r="O702" s="50"/>
      <c r="P702" s="50"/>
      <c r="Q702" s="50"/>
      <c r="R702" s="50"/>
      <c r="S702" s="50"/>
      <c r="T702" s="50"/>
      <c r="U702" s="50"/>
      <c r="V702" s="50"/>
      <c r="W702" s="50"/>
      <c r="X702" s="50"/>
      <c r="Y702" s="50"/>
      <c r="Z702" s="50"/>
      <c r="AA702" s="50"/>
      <c r="AB702" s="50"/>
    </row>
    <row r="703" customFormat="false" ht="15.75" hidden="false" customHeight="false" outlineLevel="0" collapsed="false">
      <c r="A703" s="50"/>
      <c r="B703" s="50"/>
      <c r="C703" s="5"/>
      <c r="D703" s="48"/>
      <c r="E703" s="50"/>
      <c r="F703" s="5"/>
      <c r="G703" s="5"/>
      <c r="H703" s="5"/>
      <c r="I703" s="5"/>
      <c r="J703" s="5"/>
      <c r="K703" s="50"/>
      <c r="L703" s="50"/>
      <c r="M703" s="50"/>
      <c r="N703" s="50"/>
      <c r="O703" s="50"/>
      <c r="P703" s="50"/>
      <c r="Q703" s="50"/>
      <c r="R703" s="50"/>
      <c r="S703" s="50"/>
      <c r="T703" s="50"/>
      <c r="U703" s="50"/>
      <c r="V703" s="50"/>
      <c r="W703" s="50"/>
      <c r="X703" s="50"/>
      <c r="Y703" s="50"/>
      <c r="Z703" s="50"/>
      <c r="AA703" s="50"/>
      <c r="AB703" s="50"/>
    </row>
    <row r="704" customFormat="false" ht="15.75" hidden="false" customHeight="false" outlineLevel="0" collapsed="false">
      <c r="A704" s="50"/>
      <c r="B704" s="50"/>
      <c r="C704" s="5"/>
      <c r="D704" s="48"/>
      <c r="E704" s="50"/>
      <c r="F704" s="5"/>
      <c r="G704" s="5"/>
      <c r="H704" s="5"/>
      <c r="I704" s="5"/>
      <c r="J704" s="5"/>
      <c r="K704" s="50"/>
      <c r="L704" s="50"/>
      <c r="M704" s="50"/>
      <c r="N704" s="50"/>
      <c r="O704" s="50"/>
      <c r="P704" s="50"/>
      <c r="Q704" s="50"/>
      <c r="R704" s="50"/>
      <c r="S704" s="50"/>
      <c r="T704" s="50"/>
      <c r="U704" s="50"/>
      <c r="V704" s="50"/>
      <c r="W704" s="50"/>
      <c r="X704" s="50"/>
      <c r="Y704" s="50"/>
      <c r="Z704" s="50"/>
      <c r="AA704" s="50"/>
      <c r="AB704" s="50"/>
    </row>
    <row r="705" customFormat="false" ht="15.75" hidden="false" customHeight="false" outlineLevel="0" collapsed="false">
      <c r="A705" s="50"/>
      <c r="B705" s="50"/>
      <c r="C705" s="5"/>
      <c r="D705" s="48"/>
      <c r="E705" s="50"/>
      <c r="F705" s="5"/>
      <c r="G705" s="5"/>
      <c r="H705" s="5"/>
      <c r="I705" s="5"/>
      <c r="J705" s="5"/>
      <c r="K705" s="50"/>
      <c r="L705" s="50"/>
      <c r="M705" s="50"/>
      <c r="N705" s="50"/>
      <c r="O705" s="50"/>
      <c r="P705" s="50"/>
      <c r="Q705" s="50"/>
      <c r="R705" s="50"/>
      <c r="S705" s="50"/>
      <c r="T705" s="50"/>
      <c r="U705" s="50"/>
      <c r="V705" s="50"/>
      <c r="W705" s="50"/>
      <c r="X705" s="50"/>
      <c r="Y705" s="50"/>
      <c r="Z705" s="50"/>
      <c r="AA705" s="50"/>
      <c r="AB705" s="50"/>
    </row>
    <row r="706" customFormat="false" ht="15.75" hidden="false" customHeight="false" outlineLevel="0" collapsed="false">
      <c r="A706" s="50"/>
      <c r="B706" s="50"/>
      <c r="C706" s="5"/>
      <c r="D706" s="48"/>
      <c r="E706" s="50"/>
      <c r="F706" s="5"/>
      <c r="G706" s="5"/>
      <c r="H706" s="5"/>
      <c r="I706" s="5"/>
      <c r="J706" s="5"/>
      <c r="K706" s="50"/>
      <c r="L706" s="50"/>
      <c r="M706" s="50"/>
      <c r="N706" s="50"/>
      <c r="O706" s="50"/>
      <c r="P706" s="50"/>
      <c r="Q706" s="50"/>
      <c r="R706" s="50"/>
      <c r="S706" s="50"/>
      <c r="T706" s="50"/>
      <c r="U706" s="50"/>
      <c r="V706" s="50"/>
      <c r="W706" s="50"/>
      <c r="X706" s="50"/>
      <c r="Y706" s="50"/>
      <c r="Z706" s="50"/>
      <c r="AA706" s="50"/>
      <c r="AB706" s="50"/>
    </row>
    <row r="707" customFormat="false" ht="15.75" hidden="false" customHeight="false" outlineLevel="0" collapsed="false">
      <c r="A707" s="50"/>
      <c r="B707" s="50"/>
      <c r="C707" s="5"/>
      <c r="D707" s="48"/>
      <c r="E707" s="50"/>
      <c r="F707" s="5"/>
      <c r="G707" s="5"/>
      <c r="H707" s="5"/>
      <c r="I707" s="5"/>
      <c r="J707" s="5"/>
      <c r="K707" s="50"/>
      <c r="L707" s="50"/>
      <c r="M707" s="50"/>
      <c r="N707" s="50"/>
      <c r="O707" s="50"/>
      <c r="P707" s="50"/>
      <c r="Q707" s="50"/>
      <c r="R707" s="50"/>
      <c r="S707" s="50"/>
      <c r="T707" s="50"/>
      <c r="U707" s="50"/>
      <c r="V707" s="50"/>
      <c r="W707" s="50"/>
      <c r="X707" s="50"/>
      <c r="Y707" s="50"/>
      <c r="Z707" s="50"/>
      <c r="AA707" s="50"/>
      <c r="AB707" s="50"/>
    </row>
    <row r="708" customFormat="false" ht="15.75" hidden="false" customHeight="false" outlineLevel="0" collapsed="false">
      <c r="A708" s="50"/>
      <c r="B708" s="50"/>
      <c r="C708" s="5"/>
      <c r="D708" s="48"/>
      <c r="E708" s="50"/>
      <c r="F708" s="5"/>
      <c r="G708" s="5"/>
      <c r="H708" s="5"/>
      <c r="I708" s="5"/>
      <c r="J708" s="5"/>
      <c r="K708" s="50"/>
      <c r="L708" s="50"/>
      <c r="M708" s="50"/>
      <c r="N708" s="50"/>
      <c r="O708" s="50"/>
      <c r="P708" s="50"/>
      <c r="Q708" s="50"/>
      <c r="R708" s="50"/>
      <c r="S708" s="50"/>
      <c r="T708" s="50"/>
      <c r="U708" s="50"/>
      <c r="V708" s="50"/>
      <c r="W708" s="50"/>
      <c r="X708" s="50"/>
      <c r="Y708" s="50"/>
      <c r="Z708" s="50"/>
      <c r="AA708" s="50"/>
      <c r="AB708" s="50"/>
    </row>
    <row r="709" customFormat="false" ht="15.75" hidden="false" customHeight="false" outlineLevel="0" collapsed="false">
      <c r="A709" s="50"/>
      <c r="B709" s="50"/>
      <c r="C709" s="5"/>
      <c r="D709" s="48"/>
      <c r="E709" s="50"/>
      <c r="F709" s="5"/>
      <c r="G709" s="5"/>
      <c r="H709" s="5"/>
      <c r="I709" s="5"/>
      <c r="J709" s="5"/>
      <c r="K709" s="50"/>
      <c r="L709" s="50"/>
      <c r="M709" s="50"/>
      <c r="N709" s="50"/>
      <c r="O709" s="50"/>
      <c r="P709" s="50"/>
      <c r="Q709" s="50"/>
      <c r="R709" s="50"/>
      <c r="S709" s="50"/>
      <c r="T709" s="50"/>
      <c r="U709" s="50"/>
      <c r="V709" s="50"/>
      <c r="W709" s="50"/>
      <c r="X709" s="50"/>
      <c r="Y709" s="50"/>
      <c r="Z709" s="50"/>
      <c r="AA709" s="50"/>
      <c r="AB709" s="50"/>
    </row>
    <row r="710" customFormat="false" ht="15.75" hidden="false" customHeight="false" outlineLevel="0" collapsed="false">
      <c r="A710" s="50"/>
      <c r="B710" s="50"/>
      <c r="C710" s="5"/>
      <c r="D710" s="48"/>
      <c r="E710" s="50"/>
      <c r="F710" s="5"/>
      <c r="G710" s="5"/>
      <c r="H710" s="5"/>
      <c r="I710" s="5"/>
      <c r="J710" s="5"/>
      <c r="K710" s="50"/>
      <c r="L710" s="50"/>
      <c r="M710" s="50"/>
      <c r="N710" s="50"/>
      <c r="O710" s="50"/>
      <c r="P710" s="50"/>
      <c r="Q710" s="50"/>
      <c r="R710" s="50"/>
      <c r="S710" s="50"/>
      <c r="T710" s="50"/>
      <c r="U710" s="50"/>
      <c r="V710" s="50"/>
      <c r="W710" s="50"/>
      <c r="X710" s="50"/>
      <c r="Y710" s="50"/>
      <c r="Z710" s="50"/>
      <c r="AA710" s="50"/>
      <c r="AB710" s="50"/>
    </row>
    <row r="711" customFormat="false" ht="15.75" hidden="false" customHeight="false" outlineLevel="0" collapsed="false">
      <c r="A711" s="50"/>
      <c r="B711" s="50"/>
      <c r="C711" s="5"/>
      <c r="D711" s="48"/>
      <c r="E711" s="50"/>
      <c r="F711" s="5"/>
      <c r="G711" s="5"/>
      <c r="H711" s="5"/>
      <c r="I711" s="5"/>
      <c r="J711" s="5"/>
      <c r="K711" s="50"/>
      <c r="L711" s="50"/>
      <c r="M711" s="50"/>
      <c r="N711" s="50"/>
      <c r="O711" s="50"/>
      <c r="P711" s="50"/>
      <c r="Q711" s="50"/>
      <c r="R711" s="50"/>
      <c r="S711" s="50"/>
      <c r="T711" s="50"/>
      <c r="U711" s="50"/>
      <c r="V711" s="50"/>
      <c r="W711" s="50"/>
      <c r="X711" s="50"/>
      <c r="Y711" s="50"/>
      <c r="Z711" s="50"/>
      <c r="AA711" s="50"/>
      <c r="AB711" s="50"/>
    </row>
    <row r="712" customFormat="false" ht="15.75" hidden="false" customHeight="false" outlineLevel="0" collapsed="false">
      <c r="A712" s="50"/>
      <c r="B712" s="50"/>
      <c r="C712" s="5"/>
      <c r="D712" s="48"/>
      <c r="E712" s="50"/>
      <c r="F712" s="5"/>
      <c r="G712" s="5"/>
      <c r="H712" s="5"/>
      <c r="I712" s="5"/>
      <c r="J712" s="5"/>
      <c r="K712" s="50"/>
      <c r="L712" s="50"/>
      <c r="M712" s="50"/>
      <c r="N712" s="50"/>
      <c r="O712" s="50"/>
      <c r="P712" s="50"/>
      <c r="Q712" s="50"/>
      <c r="R712" s="50"/>
      <c r="S712" s="50"/>
      <c r="T712" s="50"/>
      <c r="U712" s="50"/>
      <c r="V712" s="50"/>
      <c r="W712" s="50"/>
      <c r="X712" s="50"/>
      <c r="Y712" s="50"/>
      <c r="Z712" s="50"/>
      <c r="AA712" s="50"/>
      <c r="AB712" s="50"/>
    </row>
    <row r="713" customFormat="false" ht="15.75" hidden="false" customHeight="false" outlineLevel="0" collapsed="false">
      <c r="A713" s="50"/>
      <c r="B713" s="50"/>
      <c r="C713" s="5"/>
      <c r="D713" s="48"/>
      <c r="E713" s="50"/>
      <c r="F713" s="5"/>
      <c r="G713" s="5"/>
      <c r="H713" s="5"/>
      <c r="I713" s="5"/>
      <c r="J713" s="5"/>
      <c r="K713" s="50"/>
      <c r="L713" s="50"/>
      <c r="M713" s="50"/>
      <c r="N713" s="50"/>
      <c r="O713" s="50"/>
      <c r="P713" s="50"/>
      <c r="Q713" s="50"/>
      <c r="R713" s="50"/>
      <c r="S713" s="50"/>
      <c r="T713" s="50"/>
      <c r="U713" s="50"/>
      <c r="V713" s="50"/>
      <c r="W713" s="50"/>
      <c r="X713" s="50"/>
      <c r="Y713" s="50"/>
      <c r="Z713" s="50"/>
      <c r="AA713" s="50"/>
      <c r="AB713" s="50"/>
    </row>
    <row r="714" customFormat="false" ht="15.75" hidden="false" customHeight="false" outlineLevel="0" collapsed="false">
      <c r="A714" s="50"/>
      <c r="B714" s="50"/>
      <c r="C714" s="5"/>
      <c r="D714" s="48"/>
      <c r="E714" s="50"/>
      <c r="F714" s="5"/>
      <c r="G714" s="5"/>
      <c r="H714" s="5"/>
      <c r="I714" s="5"/>
      <c r="J714" s="5"/>
      <c r="K714" s="50"/>
      <c r="L714" s="50"/>
      <c r="M714" s="50"/>
      <c r="N714" s="50"/>
      <c r="O714" s="50"/>
      <c r="P714" s="50"/>
      <c r="Q714" s="50"/>
      <c r="R714" s="50"/>
      <c r="S714" s="50"/>
      <c r="T714" s="50"/>
      <c r="U714" s="50"/>
      <c r="V714" s="50"/>
      <c r="W714" s="50"/>
      <c r="X714" s="50"/>
      <c r="Y714" s="50"/>
      <c r="Z714" s="50"/>
      <c r="AA714" s="50"/>
      <c r="AB714" s="50"/>
    </row>
    <row r="715" customFormat="false" ht="15.75" hidden="false" customHeight="false" outlineLevel="0" collapsed="false">
      <c r="A715" s="50"/>
      <c r="B715" s="50"/>
      <c r="C715" s="5"/>
      <c r="D715" s="48"/>
      <c r="E715" s="50"/>
      <c r="F715" s="5"/>
      <c r="G715" s="5"/>
      <c r="H715" s="5"/>
      <c r="I715" s="5"/>
      <c r="J715" s="5"/>
      <c r="K715" s="50"/>
      <c r="L715" s="50"/>
      <c r="M715" s="50"/>
      <c r="N715" s="50"/>
      <c r="O715" s="50"/>
      <c r="P715" s="50"/>
      <c r="Q715" s="50"/>
      <c r="R715" s="50"/>
      <c r="S715" s="50"/>
      <c r="T715" s="50"/>
      <c r="U715" s="50"/>
      <c r="V715" s="50"/>
      <c r="W715" s="50"/>
      <c r="X715" s="50"/>
      <c r="Y715" s="50"/>
      <c r="Z715" s="50"/>
      <c r="AA715" s="50"/>
      <c r="AB715" s="50"/>
    </row>
    <row r="716" customFormat="false" ht="15.75" hidden="false" customHeight="false" outlineLevel="0" collapsed="false">
      <c r="A716" s="50"/>
      <c r="B716" s="50"/>
      <c r="C716" s="5"/>
      <c r="D716" s="48"/>
      <c r="E716" s="50"/>
      <c r="F716" s="5"/>
      <c r="G716" s="5"/>
      <c r="H716" s="5"/>
      <c r="I716" s="5"/>
      <c r="J716" s="5"/>
      <c r="K716" s="50"/>
      <c r="L716" s="50"/>
      <c r="M716" s="50"/>
      <c r="N716" s="50"/>
      <c r="O716" s="50"/>
      <c r="P716" s="50"/>
      <c r="Q716" s="50"/>
      <c r="R716" s="50"/>
      <c r="S716" s="50"/>
      <c r="T716" s="50"/>
      <c r="U716" s="50"/>
      <c r="V716" s="50"/>
      <c r="W716" s="50"/>
      <c r="X716" s="50"/>
      <c r="Y716" s="50"/>
      <c r="Z716" s="50"/>
      <c r="AA716" s="50"/>
      <c r="AB716" s="50"/>
    </row>
    <row r="717" customFormat="false" ht="15.75" hidden="false" customHeight="false" outlineLevel="0" collapsed="false">
      <c r="A717" s="50"/>
      <c r="B717" s="50"/>
      <c r="C717" s="5"/>
      <c r="D717" s="48"/>
      <c r="E717" s="50"/>
      <c r="F717" s="5"/>
      <c r="G717" s="5"/>
      <c r="H717" s="5"/>
      <c r="I717" s="5"/>
      <c r="J717" s="5"/>
      <c r="K717" s="50"/>
      <c r="L717" s="50"/>
      <c r="M717" s="50"/>
      <c r="N717" s="50"/>
      <c r="O717" s="50"/>
      <c r="P717" s="50"/>
      <c r="Q717" s="50"/>
      <c r="R717" s="50"/>
      <c r="S717" s="50"/>
      <c r="T717" s="50"/>
      <c r="U717" s="50"/>
      <c r="V717" s="50"/>
      <c r="W717" s="50"/>
      <c r="X717" s="50"/>
      <c r="Y717" s="50"/>
      <c r="Z717" s="50"/>
      <c r="AA717" s="50"/>
      <c r="AB717" s="50"/>
    </row>
    <row r="718" customFormat="false" ht="15.75" hidden="false" customHeight="false" outlineLevel="0" collapsed="false">
      <c r="A718" s="50"/>
      <c r="B718" s="50"/>
      <c r="C718" s="5"/>
      <c r="D718" s="48"/>
      <c r="E718" s="50"/>
      <c r="F718" s="5"/>
      <c r="G718" s="5"/>
      <c r="H718" s="5"/>
      <c r="I718" s="5"/>
      <c r="J718" s="5"/>
      <c r="K718" s="50"/>
      <c r="L718" s="50"/>
      <c r="M718" s="50"/>
      <c r="N718" s="50"/>
      <c r="O718" s="50"/>
      <c r="P718" s="50"/>
      <c r="Q718" s="50"/>
      <c r="R718" s="50"/>
      <c r="S718" s="50"/>
      <c r="T718" s="50"/>
      <c r="U718" s="50"/>
      <c r="V718" s="50"/>
      <c r="W718" s="50"/>
      <c r="X718" s="50"/>
      <c r="Y718" s="50"/>
      <c r="Z718" s="50"/>
      <c r="AA718" s="50"/>
      <c r="AB718" s="50"/>
    </row>
    <row r="719" customFormat="false" ht="15.75" hidden="false" customHeight="false" outlineLevel="0" collapsed="false">
      <c r="A719" s="50"/>
      <c r="B719" s="50"/>
      <c r="C719" s="5"/>
      <c r="D719" s="48"/>
      <c r="E719" s="50"/>
      <c r="F719" s="5"/>
      <c r="G719" s="5"/>
      <c r="H719" s="5"/>
      <c r="I719" s="5"/>
      <c r="J719" s="5"/>
      <c r="K719" s="50"/>
      <c r="L719" s="50"/>
      <c r="M719" s="50"/>
      <c r="N719" s="50"/>
      <c r="O719" s="50"/>
      <c r="P719" s="50"/>
      <c r="Q719" s="50"/>
      <c r="R719" s="50"/>
      <c r="S719" s="50"/>
      <c r="T719" s="50"/>
      <c r="U719" s="50"/>
      <c r="V719" s="50"/>
      <c r="W719" s="50"/>
      <c r="X719" s="50"/>
      <c r="Y719" s="50"/>
      <c r="Z719" s="50"/>
      <c r="AA719" s="50"/>
      <c r="AB719" s="50"/>
    </row>
    <row r="720" customFormat="false" ht="15.75" hidden="false" customHeight="false" outlineLevel="0" collapsed="false">
      <c r="A720" s="50"/>
      <c r="B720" s="50"/>
      <c r="C720" s="5"/>
      <c r="D720" s="48"/>
      <c r="E720" s="50"/>
      <c r="F720" s="5"/>
      <c r="G720" s="5"/>
      <c r="H720" s="5"/>
      <c r="I720" s="5"/>
      <c r="J720" s="5"/>
      <c r="K720" s="50"/>
      <c r="L720" s="50"/>
      <c r="M720" s="50"/>
      <c r="N720" s="50"/>
      <c r="O720" s="50"/>
      <c r="P720" s="50"/>
      <c r="Q720" s="50"/>
      <c r="R720" s="50"/>
      <c r="S720" s="50"/>
      <c r="T720" s="50"/>
      <c r="U720" s="50"/>
      <c r="V720" s="50"/>
      <c r="W720" s="50"/>
      <c r="X720" s="50"/>
      <c r="Y720" s="50"/>
      <c r="Z720" s="50"/>
      <c r="AA720" s="50"/>
      <c r="AB720" s="50"/>
    </row>
    <row r="721" customFormat="false" ht="15.75" hidden="false" customHeight="false" outlineLevel="0" collapsed="false">
      <c r="A721" s="50"/>
      <c r="B721" s="50"/>
      <c r="C721" s="5"/>
      <c r="D721" s="48"/>
      <c r="E721" s="50"/>
      <c r="F721" s="5"/>
      <c r="G721" s="5"/>
      <c r="H721" s="5"/>
      <c r="I721" s="5"/>
      <c r="J721" s="5"/>
      <c r="K721" s="50"/>
      <c r="L721" s="50"/>
      <c r="M721" s="50"/>
      <c r="N721" s="50"/>
      <c r="O721" s="50"/>
      <c r="P721" s="50"/>
      <c r="Q721" s="50"/>
      <c r="R721" s="50"/>
      <c r="S721" s="50"/>
      <c r="T721" s="50"/>
      <c r="U721" s="50"/>
      <c r="V721" s="50"/>
      <c r="W721" s="50"/>
      <c r="X721" s="50"/>
      <c r="Y721" s="50"/>
      <c r="Z721" s="50"/>
      <c r="AA721" s="50"/>
      <c r="AB721" s="50"/>
    </row>
    <row r="722" customFormat="false" ht="15.75" hidden="false" customHeight="false" outlineLevel="0" collapsed="false">
      <c r="A722" s="50"/>
      <c r="B722" s="50"/>
      <c r="C722" s="5"/>
      <c r="D722" s="48"/>
      <c r="E722" s="50"/>
      <c r="F722" s="5"/>
      <c r="G722" s="5"/>
      <c r="H722" s="5"/>
      <c r="I722" s="5"/>
      <c r="J722" s="5"/>
      <c r="K722" s="50"/>
      <c r="L722" s="50"/>
      <c r="M722" s="50"/>
      <c r="N722" s="50"/>
      <c r="O722" s="50"/>
      <c r="P722" s="50"/>
      <c r="Q722" s="50"/>
      <c r="R722" s="50"/>
      <c r="S722" s="50"/>
      <c r="T722" s="50"/>
      <c r="U722" s="50"/>
      <c r="V722" s="50"/>
      <c r="W722" s="50"/>
      <c r="X722" s="50"/>
      <c r="Y722" s="50"/>
      <c r="Z722" s="50"/>
      <c r="AA722" s="50"/>
      <c r="AB722" s="50"/>
    </row>
    <row r="723" customFormat="false" ht="15.75" hidden="false" customHeight="false" outlineLevel="0" collapsed="false">
      <c r="A723" s="50"/>
      <c r="B723" s="50"/>
      <c r="C723" s="5"/>
      <c r="D723" s="48"/>
      <c r="E723" s="50"/>
      <c r="F723" s="5"/>
      <c r="G723" s="5"/>
      <c r="H723" s="5"/>
      <c r="I723" s="5"/>
      <c r="J723" s="5"/>
      <c r="K723" s="50"/>
      <c r="L723" s="50"/>
      <c r="M723" s="50"/>
      <c r="N723" s="50"/>
      <c r="O723" s="50"/>
      <c r="P723" s="50"/>
      <c r="Q723" s="50"/>
      <c r="R723" s="50"/>
      <c r="S723" s="50"/>
      <c r="T723" s="50"/>
      <c r="U723" s="50"/>
      <c r="V723" s="50"/>
      <c r="W723" s="50"/>
      <c r="X723" s="50"/>
      <c r="Y723" s="50"/>
      <c r="Z723" s="50"/>
      <c r="AA723" s="50"/>
      <c r="AB723" s="50"/>
    </row>
    <row r="724" customFormat="false" ht="15.75" hidden="false" customHeight="false" outlineLevel="0" collapsed="false">
      <c r="A724" s="50"/>
      <c r="B724" s="50"/>
      <c r="C724" s="5"/>
      <c r="D724" s="48"/>
      <c r="E724" s="50"/>
      <c r="F724" s="5"/>
      <c r="G724" s="5"/>
      <c r="H724" s="5"/>
      <c r="I724" s="5"/>
      <c r="J724" s="5"/>
      <c r="K724" s="50"/>
      <c r="L724" s="50"/>
      <c r="M724" s="50"/>
      <c r="N724" s="50"/>
      <c r="O724" s="50"/>
      <c r="P724" s="50"/>
      <c r="Q724" s="50"/>
      <c r="R724" s="50"/>
      <c r="S724" s="50"/>
      <c r="T724" s="50"/>
      <c r="U724" s="50"/>
      <c r="V724" s="50"/>
      <c r="W724" s="50"/>
      <c r="X724" s="50"/>
      <c r="Y724" s="50"/>
      <c r="Z724" s="50"/>
      <c r="AA724" s="50"/>
      <c r="AB724" s="50"/>
    </row>
    <row r="725" customFormat="false" ht="15.75" hidden="false" customHeight="false" outlineLevel="0" collapsed="false">
      <c r="A725" s="50"/>
      <c r="B725" s="50"/>
      <c r="C725" s="5"/>
      <c r="D725" s="48"/>
      <c r="E725" s="50"/>
      <c r="F725" s="5"/>
      <c r="G725" s="5"/>
      <c r="H725" s="5"/>
      <c r="I725" s="5"/>
      <c r="J725" s="5"/>
      <c r="K725" s="50"/>
      <c r="L725" s="50"/>
      <c r="M725" s="50"/>
      <c r="N725" s="50"/>
      <c r="O725" s="50"/>
      <c r="P725" s="50"/>
      <c r="Q725" s="50"/>
      <c r="R725" s="50"/>
      <c r="S725" s="50"/>
      <c r="T725" s="50"/>
      <c r="U725" s="50"/>
      <c r="V725" s="50"/>
      <c r="W725" s="50"/>
      <c r="X725" s="50"/>
      <c r="Y725" s="50"/>
      <c r="Z725" s="50"/>
      <c r="AA725" s="50"/>
      <c r="AB725" s="50"/>
    </row>
    <row r="726" customFormat="false" ht="15.75" hidden="false" customHeight="false" outlineLevel="0" collapsed="false">
      <c r="A726" s="50"/>
      <c r="B726" s="50"/>
      <c r="C726" s="5"/>
      <c r="D726" s="48"/>
      <c r="E726" s="50"/>
      <c r="F726" s="5"/>
      <c r="G726" s="5"/>
      <c r="H726" s="5"/>
      <c r="I726" s="5"/>
      <c r="J726" s="5"/>
      <c r="K726" s="50"/>
      <c r="L726" s="50"/>
      <c r="M726" s="50"/>
      <c r="N726" s="50"/>
      <c r="O726" s="50"/>
      <c r="P726" s="50"/>
      <c r="Q726" s="50"/>
      <c r="R726" s="50"/>
      <c r="S726" s="50"/>
      <c r="T726" s="50"/>
      <c r="U726" s="50"/>
      <c r="V726" s="50"/>
      <c r="W726" s="50"/>
      <c r="X726" s="50"/>
      <c r="Y726" s="50"/>
      <c r="Z726" s="50"/>
      <c r="AA726" s="50"/>
      <c r="AB726" s="50"/>
    </row>
    <row r="727" customFormat="false" ht="15.75" hidden="false" customHeight="false" outlineLevel="0" collapsed="false">
      <c r="A727" s="50"/>
      <c r="B727" s="50"/>
      <c r="C727" s="5"/>
      <c r="D727" s="48"/>
      <c r="E727" s="50"/>
      <c r="F727" s="5"/>
      <c r="G727" s="5"/>
      <c r="H727" s="5"/>
      <c r="I727" s="5"/>
      <c r="J727" s="5"/>
      <c r="K727" s="50"/>
      <c r="L727" s="50"/>
      <c r="M727" s="50"/>
      <c r="N727" s="50"/>
      <c r="O727" s="50"/>
      <c r="P727" s="50"/>
      <c r="Q727" s="50"/>
      <c r="R727" s="50"/>
      <c r="S727" s="50"/>
      <c r="T727" s="50"/>
      <c r="U727" s="50"/>
      <c r="V727" s="50"/>
      <c r="W727" s="50"/>
      <c r="X727" s="50"/>
      <c r="Y727" s="50"/>
      <c r="Z727" s="50"/>
      <c r="AA727" s="50"/>
      <c r="AB727" s="50"/>
    </row>
    <row r="728" customFormat="false" ht="15.75" hidden="false" customHeight="false" outlineLevel="0" collapsed="false">
      <c r="A728" s="50"/>
      <c r="B728" s="50"/>
      <c r="C728" s="5"/>
      <c r="D728" s="48"/>
      <c r="E728" s="50"/>
      <c r="F728" s="5"/>
      <c r="G728" s="5"/>
      <c r="H728" s="5"/>
      <c r="I728" s="5"/>
      <c r="J728" s="5"/>
      <c r="K728" s="50"/>
      <c r="L728" s="50"/>
      <c r="M728" s="50"/>
      <c r="N728" s="50"/>
      <c r="O728" s="50"/>
      <c r="P728" s="50"/>
      <c r="Q728" s="50"/>
      <c r="R728" s="50"/>
      <c r="S728" s="50"/>
      <c r="T728" s="50"/>
      <c r="U728" s="50"/>
      <c r="V728" s="50"/>
      <c r="W728" s="50"/>
      <c r="X728" s="50"/>
      <c r="Y728" s="50"/>
      <c r="Z728" s="50"/>
      <c r="AA728" s="50"/>
      <c r="AB728" s="50"/>
    </row>
    <row r="729" customFormat="false" ht="15.75" hidden="false" customHeight="false" outlineLevel="0" collapsed="false">
      <c r="A729" s="50"/>
      <c r="B729" s="50"/>
      <c r="C729" s="5"/>
      <c r="D729" s="48"/>
      <c r="E729" s="50"/>
      <c r="F729" s="5"/>
      <c r="G729" s="5"/>
      <c r="H729" s="5"/>
      <c r="I729" s="5"/>
      <c r="J729" s="5"/>
      <c r="K729" s="50"/>
      <c r="L729" s="50"/>
      <c r="M729" s="50"/>
      <c r="N729" s="50"/>
      <c r="O729" s="50"/>
      <c r="P729" s="50"/>
      <c r="Q729" s="50"/>
      <c r="R729" s="50"/>
      <c r="S729" s="50"/>
      <c r="T729" s="50"/>
      <c r="U729" s="50"/>
      <c r="V729" s="50"/>
      <c r="W729" s="50"/>
      <c r="X729" s="50"/>
      <c r="Y729" s="50"/>
      <c r="Z729" s="50"/>
      <c r="AA729" s="50"/>
      <c r="AB729" s="50"/>
    </row>
    <row r="730" customFormat="false" ht="15.75" hidden="false" customHeight="false" outlineLevel="0" collapsed="false">
      <c r="A730" s="50"/>
      <c r="B730" s="50"/>
      <c r="C730" s="5"/>
      <c r="D730" s="48"/>
      <c r="E730" s="50"/>
      <c r="F730" s="5"/>
      <c r="G730" s="5"/>
      <c r="H730" s="5"/>
      <c r="I730" s="5"/>
      <c r="J730" s="5"/>
      <c r="K730" s="50"/>
      <c r="L730" s="50"/>
      <c r="M730" s="50"/>
      <c r="N730" s="50"/>
      <c r="O730" s="50"/>
      <c r="P730" s="50"/>
      <c r="Q730" s="50"/>
      <c r="R730" s="50"/>
      <c r="S730" s="50"/>
      <c r="T730" s="50"/>
      <c r="U730" s="50"/>
      <c r="V730" s="50"/>
      <c r="W730" s="50"/>
      <c r="X730" s="50"/>
      <c r="Y730" s="50"/>
      <c r="Z730" s="50"/>
      <c r="AA730" s="50"/>
      <c r="AB730" s="50"/>
    </row>
    <row r="731" customFormat="false" ht="15.75" hidden="false" customHeight="false" outlineLevel="0" collapsed="false">
      <c r="A731" s="50"/>
      <c r="B731" s="50"/>
      <c r="C731" s="5"/>
      <c r="D731" s="48"/>
      <c r="E731" s="50"/>
      <c r="F731" s="5"/>
      <c r="G731" s="5"/>
      <c r="H731" s="5"/>
      <c r="I731" s="5"/>
      <c r="J731" s="5"/>
      <c r="K731" s="50"/>
      <c r="L731" s="50"/>
      <c r="M731" s="50"/>
      <c r="N731" s="50"/>
      <c r="O731" s="50"/>
      <c r="P731" s="50"/>
      <c r="Q731" s="50"/>
      <c r="R731" s="50"/>
      <c r="S731" s="50"/>
      <c r="T731" s="50"/>
      <c r="U731" s="50"/>
      <c r="V731" s="50"/>
      <c r="W731" s="50"/>
      <c r="X731" s="50"/>
      <c r="Y731" s="50"/>
      <c r="Z731" s="50"/>
      <c r="AA731" s="50"/>
      <c r="AB731" s="50"/>
    </row>
    <row r="732" customFormat="false" ht="15.75" hidden="false" customHeight="false" outlineLevel="0" collapsed="false">
      <c r="A732" s="50"/>
      <c r="B732" s="50"/>
      <c r="C732" s="5"/>
      <c r="D732" s="48"/>
      <c r="E732" s="50"/>
      <c r="F732" s="5"/>
      <c r="G732" s="5"/>
      <c r="H732" s="5"/>
      <c r="I732" s="5"/>
      <c r="J732" s="5"/>
      <c r="K732" s="50"/>
      <c r="L732" s="50"/>
      <c r="M732" s="50"/>
      <c r="N732" s="50"/>
      <c r="O732" s="50"/>
      <c r="P732" s="50"/>
      <c r="Q732" s="50"/>
      <c r="R732" s="50"/>
      <c r="S732" s="50"/>
      <c r="T732" s="50"/>
      <c r="U732" s="50"/>
      <c r="V732" s="50"/>
      <c r="W732" s="50"/>
      <c r="X732" s="50"/>
      <c r="Y732" s="50"/>
      <c r="Z732" s="50"/>
      <c r="AA732" s="50"/>
      <c r="AB732" s="50"/>
    </row>
    <row r="733" customFormat="false" ht="15.75" hidden="false" customHeight="false" outlineLevel="0" collapsed="false">
      <c r="A733" s="50"/>
      <c r="B733" s="50"/>
      <c r="C733" s="5"/>
      <c r="D733" s="48"/>
      <c r="E733" s="50"/>
      <c r="F733" s="5"/>
      <c r="G733" s="5"/>
      <c r="H733" s="5"/>
      <c r="I733" s="5"/>
      <c r="J733" s="5"/>
      <c r="K733" s="50"/>
      <c r="L733" s="50"/>
      <c r="M733" s="50"/>
      <c r="N733" s="50"/>
      <c r="O733" s="50"/>
      <c r="P733" s="50"/>
      <c r="Q733" s="50"/>
      <c r="R733" s="50"/>
      <c r="S733" s="50"/>
      <c r="T733" s="50"/>
      <c r="U733" s="50"/>
      <c r="V733" s="50"/>
      <c r="W733" s="50"/>
      <c r="X733" s="50"/>
      <c r="Y733" s="50"/>
      <c r="Z733" s="50"/>
      <c r="AA733" s="50"/>
      <c r="AB733" s="50"/>
    </row>
    <row r="734" customFormat="false" ht="15.75" hidden="false" customHeight="false" outlineLevel="0" collapsed="false">
      <c r="A734" s="50"/>
      <c r="B734" s="50"/>
      <c r="C734" s="5"/>
      <c r="D734" s="48"/>
      <c r="E734" s="50"/>
      <c r="F734" s="5"/>
      <c r="G734" s="5"/>
      <c r="H734" s="5"/>
      <c r="I734" s="5"/>
      <c r="J734" s="5"/>
      <c r="K734" s="50"/>
      <c r="L734" s="50"/>
      <c r="M734" s="50"/>
      <c r="N734" s="50"/>
      <c r="O734" s="50"/>
      <c r="P734" s="50"/>
      <c r="Q734" s="50"/>
      <c r="R734" s="50"/>
      <c r="S734" s="50"/>
      <c r="T734" s="50"/>
      <c r="U734" s="50"/>
      <c r="V734" s="50"/>
      <c r="W734" s="50"/>
      <c r="X734" s="50"/>
      <c r="Y734" s="50"/>
      <c r="Z734" s="50"/>
      <c r="AA734" s="50"/>
      <c r="AB734" s="50"/>
    </row>
    <row r="735" customFormat="false" ht="15.75" hidden="false" customHeight="false" outlineLevel="0" collapsed="false">
      <c r="A735" s="50"/>
      <c r="B735" s="50"/>
      <c r="C735" s="5"/>
      <c r="D735" s="48"/>
      <c r="E735" s="50"/>
      <c r="F735" s="5"/>
      <c r="G735" s="5"/>
      <c r="H735" s="5"/>
      <c r="I735" s="5"/>
      <c r="J735" s="5"/>
      <c r="K735" s="50"/>
      <c r="L735" s="50"/>
      <c r="M735" s="50"/>
      <c r="N735" s="50"/>
      <c r="O735" s="50"/>
      <c r="P735" s="50"/>
      <c r="Q735" s="50"/>
      <c r="R735" s="50"/>
      <c r="S735" s="50"/>
      <c r="T735" s="50"/>
      <c r="U735" s="50"/>
      <c r="V735" s="50"/>
      <c r="W735" s="50"/>
      <c r="X735" s="50"/>
      <c r="Y735" s="50"/>
      <c r="Z735" s="50"/>
      <c r="AA735" s="50"/>
      <c r="AB735" s="50"/>
    </row>
    <row r="736" customFormat="false" ht="15.75" hidden="false" customHeight="false" outlineLevel="0" collapsed="false">
      <c r="A736" s="50"/>
      <c r="B736" s="50"/>
      <c r="C736" s="5"/>
      <c r="D736" s="48"/>
      <c r="E736" s="50"/>
      <c r="F736" s="5"/>
      <c r="G736" s="5"/>
      <c r="H736" s="5"/>
      <c r="I736" s="5"/>
      <c r="J736" s="5"/>
      <c r="K736" s="50"/>
      <c r="L736" s="50"/>
      <c r="M736" s="50"/>
      <c r="N736" s="50"/>
      <c r="O736" s="50"/>
      <c r="P736" s="50"/>
      <c r="Q736" s="50"/>
      <c r="R736" s="50"/>
      <c r="S736" s="50"/>
      <c r="T736" s="50"/>
      <c r="U736" s="50"/>
      <c r="V736" s="50"/>
      <c r="W736" s="50"/>
      <c r="X736" s="50"/>
      <c r="Y736" s="50"/>
      <c r="Z736" s="50"/>
      <c r="AA736" s="50"/>
      <c r="AB736" s="50"/>
    </row>
    <row r="737" customFormat="false" ht="15.75" hidden="false" customHeight="false" outlineLevel="0" collapsed="false">
      <c r="A737" s="50"/>
      <c r="B737" s="50"/>
      <c r="C737" s="5"/>
      <c r="D737" s="48"/>
      <c r="E737" s="50"/>
      <c r="F737" s="5"/>
      <c r="G737" s="5"/>
      <c r="H737" s="5"/>
      <c r="I737" s="5"/>
      <c r="J737" s="5"/>
      <c r="K737" s="50"/>
      <c r="L737" s="50"/>
      <c r="M737" s="50"/>
      <c r="N737" s="50"/>
      <c r="O737" s="50"/>
      <c r="P737" s="50"/>
      <c r="Q737" s="50"/>
      <c r="R737" s="50"/>
      <c r="S737" s="50"/>
      <c r="T737" s="50"/>
      <c r="U737" s="50"/>
      <c r="V737" s="50"/>
      <c r="W737" s="50"/>
      <c r="X737" s="50"/>
      <c r="Y737" s="50"/>
      <c r="Z737" s="50"/>
      <c r="AA737" s="50"/>
      <c r="AB737" s="50"/>
    </row>
    <row r="738" customFormat="false" ht="15.75" hidden="false" customHeight="false" outlineLevel="0" collapsed="false">
      <c r="A738" s="50"/>
      <c r="B738" s="50"/>
      <c r="C738" s="5"/>
      <c r="D738" s="48"/>
      <c r="E738" s="50"/>
      <c r="F738" s="5"/>
      <c r="G738" s="5"/>
      <c r="H738" s="5"/>
      <c r="I738" s="5"/>
      <c r="J738" s="5"/>
      <c r="K738" s="50"/>
      <c r="L738" s="50"/>
      <c r="M738" s="50"/>
      <c r="N738" s="50"/>
      <c r="O738" s="50"/>
      <c r="P738" s="50"/>
      <c r="Q738" s="50"/>
      <c r="R738" s="50"/>
      <c r="S738" s="50"/>
      <c r="T738" s="50"/>
      <c r="U738" s="50"/>
      <c r="V738" s="50"/>
      <c r="W738" s="50"/>
      <c r="X738" s="50"/>
      <c r="Y738" s="50"/>
      <c r="Z738" s="50"/>
      <c r="AA738" s="50"/>
      <c r="AB738" s="50"/>
    </row>
    <row r="739" customFormat="false" ht="15.75" hidden="false" customHeight="false" outlineLevel="0" collapsed="false">
      <c r="A739" s="50"/>
      <c r="B739" s="50"/>
      <c r="C739" s="5"/>
      <c r="D739" s="48"/>
      <c r="E739" s="50"/>
      <c r="F739" s="5"/>
      <c r="G739" s="5"/>
      <c r="H739" s="5"/>
      <c r="I739" s="5"/>
      <c r="J739" s="5"/>
      <c r="K739" s="50"/>
      <c r="L739" s="50"/>
      <c r="M739" s="50"/>
      <c r="N739" s="50"/>
      <c r="O739" s="50"/>
      <c r="P739" s="50"/>
      <c r="Q739" s="50"/>
      <c r="R739" s="50"/>
      <c r="S739" s="50"/>
      <c r="T739" s="50"/>
      <c r="U739" s="50"/>
      <c r="V739" s="50"/>
      <c r="W739" s="50"/>
      <c r="X739" s="50"/>
      <c r="Y739" s="50"/>
      <c r="Z739" s="50"/>
      <c r="AA739" s="50"/>
      <c r="AB739" s="50"/>
    </row>
    <row r="740" customFormat="false" ht="15.75" hidden="false" customHeight="false" outlineLevel="0" collapsed="false">
      <c r="A740" s="50"/>
      <c r="B740" s="50"/>
      <c r="C740" s="5"/>
      <c r="D740" s="48"/>
      <c r="E740" s="50"/>
      <c r="F740" s="5"/>
      <c r="G740" s="5"/>
      <c r="H740" s="5"/>
      <c r="I740" s="5"/>
      <c r="J740" s="5"/>
      <c r="K740" s="50"/>
      <c r="L740" s="50"/>
      <c r="M740" s="50"/>
      <c r="N740" s="50"/>
      <c r="O740" s="50"/>
      <c r="P740" s="50"/>
      <c r="Q740" s="50"/>
      <c r="R740" s="50"/>
      <c r="S740" s="50"/>
      <c r="T740" s="50"/>
      <c r="U740" s="50"/>
      <c r="V740" s="50"/>
      <c r="W740" s="50"/>
      <c r="X740" s="50"/>
      <c r="Y740" s="50"/>
      <c r="Z740" s="50"/>
      <c r="AA740" s="50"/>
      <c r="AB740" s="50"/>
    </row>
    <row r="741" customFormat="false" ht="15.75" hidden="false" customHeight="false" outlineLevel="0" collapsed="false">
      <c r="A741" s="50"/>
      <c r="B741" s="50"/>
      <c r="C741" s="5"/>
      <c r="D741" s="48"/>
      <c r="E741" s="50"/>
      <c r="F741" s="5"/>
      <c r="G741" s="5"/>
      <c r="H741" s="5"/>
      <c r="I741" s="5"/>
      <c r="J741" s="5"/>
      <c r="K741" s="50"/>
      <c r="L741" s="50"/>
      <c r="M741" s="50"/>
      <c r="N741" s="50"/>
      <c r="O741" s="50"/>
      <c r="P741" s="50"/>
      <c r="Q741" s="50"/>
      <c r="R741" s="50"/>
      <c r="S741" s="50"/>
      <c r="T741" s="50"/>
      <c r="U741" s="50"/>
      <c r="V741" s="50"/>
      <c r="W741" s="50"/>
      <c r="X741" s="50"/>
      <c r="Y741" s="50"/>
      <c r="Z741" s="50"/>
      <c r="AA741" s="50"/>
      <c r="AB741" s="50"/>
    </row>
    <row r="742" customFormat="false" ht="15.75" hidden="false" customHeight="false" outlineLevel="0" collapsed="false">
      <c r="A742" s="50"/>
      <c r="B742" s="50"/>
      <c r="C742" s="5"/>
      <c r="D742" s="48"/>
      <c r="E742" s="50"/>
      <c r="F742" s="5"/>
      <c r="G742" s="5"/>
      <c r="H742" s="5"/>
      <c r="I742" s="5"/>
      <c r="J742" s="5"/>
      <c r="K742" s="50"/>
      <c r="L742" s="50"/>
      <c r="M742" s="50"/>
      <c r="N742" s="50"/>
      <c r="O742" s="50"/>
      <c r="P742" s="50"/>
      <c r="Q742" s="50"/>
      <c r="R742" s="50"/>
      <c r="S742" s="50"/>
      <c r="T742" s="50"/>
      <c r="U742" s="50"/>
      <c r="V742" s="50"/>
      <c r="W742" s="50"/>
      <c r="X742" s="50"/>
      <c r="Y742" s="50"/>
      <c r="Z742" s="50"/>
      <c r="AA742" s="50"/>
      <c r="AB742" s="50"/>
    </row>
    <row r="743" customFormat="false" ht="15.75" hidden="false" customHeight="false" outlineLevel="0" collapsed="false">
      <c r="A743" s="50"/>
      <c r="B743" s="50"/>
      <c r="C743" s="5"/>
      <c r="D743" s="48"/>
      <c r="E743" s="50"/>
      <c r="F743" s="5"/>
      <c r="G743" s="5"/>
      <c r="H743" s="5"/>
      <c r="I743" s="5"/>
      <c r="J743" s="5"/>
      <c r="K743" s="50"/>
      <c r="L743" s="50"/>
      <c r="M743" s="50"/>
      <c r="N743" s="50"/>
      <c r="O743" s="50"/>
      <c r="P743" s="50"/>
      <c r="Q743" s="50"/>
      <c r="R743" s="50"/>
      <c r="S743" s="50"/>
      <c r="T743" s="50"/>
      <c r="U743" s="50"/>
      <c r="V743" s="50"/>
      <c r="W743" s="50"/>
      <c r="X743" s="50"/>
      <c r="Y743" s="50"/>
      <c r="Z743" s="50"/>
      <c r="AA743" s="50"/>
      <c r="AB743" s="50"/>
    </row>
    <row r="744" customFormat="false" ht="15.75" hidden="false" customHeight="false" outlineLevel="0" collapsed="false">
      <c r="A744" s="50"/>
      <c r="B744" s="50"/>
      <c r="C744" s="5"/>
      <c r="D744" s="48"/>
      <c r="E744" s="50"/>
      <c r="F744" s="5"/>
      <c r="G744" s="5"/>
      <c r="H744" s="5"/>
      <c r="I744" s="5"/>
      <c r="J744" s="5"/>
      <c r="K744" s="50"/>
      <c r="L744" s="50"/>
      <c r="M744" s="50"/>
      <c r="N744" s="50"/>
      <c r="O744" s="50"/>
      <c r="P744" s="50"/>
      <c r="Q744" s="50"/>
      <c r="R744" s="50"/>
      <c r="S744" s="50"/>
      <c r="T744" s="50"/>
      <c r="U744" s="50"/>
      <c r="V744" s="50"/>
      <c r="W744" s="50"/>
      <c r="X744" s="50"/>
      <c r="Y744" s="50"/>
      <c r="Z744" s="50"/>
      <c r="AA744" s="50"/>
      <c r="AB744" s="50"/>
    </row>
    <row r="745" customFormat="false" ht="15.75" hidden="false" customHeight="false" outlineLevel="0" collapsed="false">
      <c r="A745" s="50"/>
      <c r="B745" s="50"/>
      <c r="C745" s="5"/>
      <c r="D745" s="48"/>
      <c r="E745" s="50"/>
      <c r="F745" s="5"/>
      <c r="G745" s="5"/>
      <c r="H745" s="5"/>
      <c r="I745" s="5"/>
      <c r="J745" s="5"/>
      <c r="K745" s="50"/>
      <c r="L745" s="50"/>
      <c r="M745" s="50"/>
      <c r="N745" s="50"/>
      <c r="O745" s="50"/>
      <c r="P745" s="50"/>
      <c r="Q745" s="50"/>
      <c r="R745" s="50"/>
      <c r="S745" s="50"/>
      <c r="T745" s="50"/>
      <c r="U745" s="50"/>
      <c r="V745" s="50"/>
      <c r="W745" s="50"/>
      <c r="X745" s="50"/>
      <c r="Y745" s="50"/>
      <c r="Z745" s="50"/>
      <c r="AA745" s="50"/>
      <c r="AB745" s="50"/>
    </row>
    <row r="746" customFormat="false" ht="15.75" hidden="false" customHeight="false" outlineLevel="0" collapsed="false">
      <c r="A746" s="50"/>
      <c r="B746" s="50"/>
      <c r="C746" s="5"/>
      <c r="D746" s="48"/>
      <c r="E746" s="50"/>
      <c r="F746" s="5"/>
      <c r="G746" s="5"/>
      <c r="H746" s="5"/>
      <c r="I746" s="5"/>
      <c r="J746" s="5"/>
      <c r="K746" s="50"/>
      <c r="L746" s="50"/>
      <c r="M746" s="50"/>
      <c r="N746" s="50"/>
      <c r="O746" s="50"/>
      <c r="P746" s="50"/>
      <c r="Q746" s="50"/>
      <c r="R746" s="50"/>
      <c r="S746" s="50"/>
      <c r="T746" s="50"/>
      <c r="U746" s="50"/>
      <c r="V746" s="50"/>
      <c r="W746" s="50"/>
      <c r="X746" s="50"/>
      <c r="Y746" s="50"/>
      <c r="Z746" s="50"/>
      <c r="AA746" s="50"/>
      <c r="AB746" s="50"/>
    </row>
    <row r="747" customFormat="false" ht="15.75" hidden="false" customHeight="false" outlineLevel="0" collapsed="false">
      <c r="A747" s="50"/>
      <c r="B747" s="50"/>
      <c r="C747" s="5"/>
      <c r="D747" s="48"/>
      <c r="E747" s="50"/>
      <c r="F747" s="5"/>
      <c r="G747" s="5"/>
      <c r="H747" s="5"/>
      <c r="I747" s="5"/>
      <c r="J747" s="5"/>
      <c r="K747" s="50"/>
      <c r="L747" s="50"/>
      <c r="M747" s="50"/>
      <c r="N747" s="50"/>
      <c r="O747" s="50"/>
      <c r="P747" s="50"/>
      <c r="Q747" s="50"/>
      <c r="R747" s="50"/>
      <c r="S747" s="50"/>
      <c r="T747" s="50"/>
      <c r="U747" s="50"/>
      <c r="V747" s="50"/>
      <c r="W747" s="50"/>
      <c r="X747" s="50"/>
      <c r="Y747" s="50"/>
      <c r="Z747" s="50"/>
      <c r="AA747" s="50"/>
      <c r="AB747" s="50"/>
    </row>
    <row r="748" customFormat="false" ht="15.75" hidden="false" customHeight="false" outlineLevel="0" collapsed="false">
      <c r="A748" s="50"/>
      <c r="B748" s="50"/>
      <c r="C748" s="5"/>
      <c r="D748" s="48"/>
      <c r="E748" s="50"/>
      <c r="F748" s="5"/>
      <c r="G748" s="5"/>
      <c r="H748" s="5"/>
      <c r="I748" s="5"/>
      <c r="J748" s="5"/>
      <c r="K748" s="50"/>
      <c r="L748" s="50"/>
      <c r="M748" s="50"/>
      <c r="N748" s="50"/>
      <c r="O748" s="50"/>
      <c r="P748" s="50"/>
      <c r="Q748" s="50"/>
      <c r="R748" s="50"/>
      <c r="S748" s="50"/>
      <c r="T748" s="50"/>
      <c r="U748" s="50"/>
      <c r="V748" s="50"/>
      <c r="W748" s="50"/>
      <c r="X748" s="50"/>
      <c r="Y748" s="50"/>
      <c r="Z748" s="50"/>
      <c r="AA748" s="50"/>
      <c r="AB748" s="50"/>
    </row>
    <row r="749" customFormat="false" ht="15.75" hidden="false" customHeight="false" outlineLevel="0" collapsed="false">
      <c r="A749" s="50"/>
      <c r="B749" s="50"/>
      <c r="C749" s="5"/>
      <c r="D749" s="48"/>
      <c r="E749" s="50"/>
      <c r="F749" s="5"/>
      <c r="G749" s="5"/>
      <c r="H749" s="5"/>
      <c r="I749" s="5"/>
      <c r="J749" s="5"/>
      <c r="K749" s="50"/>
      <c r="L749" s="50"/>
      <c r="M749" s="50"/>
      <c r="N749" s="50"/>
      <c r="O749" s="50"/>
      <c r="P749" s="50"/>
      <c r="Q749" s="50"/>
      <c r="R749" s="50"/>
      <c r="S749" s="50"/>
      <c r="T749" s="50"/>
      <c r="U749" s="50"/>
      <c r="V749" s="50"/>
      <c r="W749" s="50"/>
      <c r="X749" s="50"/>
      <c r="Y749" s="50"/>
      <c r="Z749" s="50"/>
      <c r="AA749" s="50"/>
      <c r="AB749" s="50"/>
    </row>
    <row r="750" customFormat="false" ht="15.75" hidden="false" customHeight="false" outlineLevel="0" collapsed="false">
      <c r="A750" s="50"/>
      <c r="B750" s="50"/>
      <c r="C750" s="5"/>
      <c r="D750" s="48"/>
      <c r="E750" s="50"/>
      <c r="F750" s="5"/>
      <c r="G750" s="5"/>
      <c r="H750" s="5"/>
      <c r="I750" s="5"/>
      <c r="J750" s="5"/>
      <c r="K750" s="50"/>
      <c r="L750" s="50"/>
      <c r="M750" s="50"/>
      <c r="N750" s="50"/>
      <c r="O750" s="50"/>
      <c r="P750" s="50"/>
      <c r="Q750" s="50"/>
      <c r="R750" s="50"/>
      <c r="S750" s="50"/>
      <c r="T750" s="50"/>
      <c r="U750" s="50"/>
      <c r="V750" s="50"/>
      <c r="W750" s="50"/>
      <c r="X750" s="50"/>
      <c r="Y750" s="50"/>
      <c r="Z750" s="50"/>
      <c r="AA750" s="50"/>
      <c r="AB750" s="50"/>
    </row>
    <row r="751" customFormat="false" ht="15.75" hidden="false" customHeight="false" outlineLevel="0" collapsed="false">
      <c r="A751" s="50"/>
      <c r="B751" s="50"/>
      <c r="C751" s="5"/>
      <c r="D751" s="48"/>
      <c r="E751" s="50"/>
      <c r="F751" s="5"/>
      <c r="G751" s="5"/>
      <c r="H751" s="5"/>
      <c r="I751" s="5"/>
      <c r="J751" s="5"/>
      <c r="K751" s="50"/>
      <c r="L751" s="50"/>
      <c r="M751" s="50"/>
      <c r="N751" s="50"/>
      <c r="O751" s="50"/>
      <c r="P751" s="50"/>
      <c r="Q751" s="50"/>
      <c r="R751" s="50"/>
      <c r="S751" s="50"/>
      <c r="T751" s="50"/>
      <c r="U751" s="50"/>
      <c r="V751" s="50"/>
      <c r="W751" s="50"/>
      <c r="X751" s="50"/>
      <c r="Y751" s="50"/>
      <c r="Z751" s="50"/>
      <c r="AA751" s="50"/>
      <c r="AB751" s="50"/>
    </row>
    <row r="752" customFormat="false" ht="15.75" hidden="false" customHeight="false" outlineLevel="0" collapsed="false">
      <c r="A752" s="50"/>
      <c r="B752" s="50"/>
      <c r="C752" s="5"/>
      <c r="D752" s="48"/>
      <c r="E752" s="50"/>
      <c r="F752" s="5"/>
      <c r="G752" s="5"/>
      <c r="H752" s="5"/>
      <c r="I752" s="5"/>
      <c r="J752" s="5"/>
      <c r="K752" s="50"/>
      <c r="L752" s="50"/>
      <c r="M752" s="50"/>
      <c r="N752" s="50"/>
      <c r="O752" s="50"/>
      <c r="P752" s="50"/>
      <c r="Q752" s="50"/>
      <c r="R752" s="50"/>
      <c r="S752" s="50"/>
      <c r="T752" s="50"/>
      <c r="U752" s="50"/>
      <c r="V752" s="50"/>
      <c r="W752" s="50"/>
      <c r="X752" s="50"/>
      <c r="Y752" s="50"/>
      <c r="Z752" s="50"/>
      <c r="AA752" s="50"/>
      <c r="AB752" s="50"/>
    </row>
    <row r="753" customFormat="false" ht="15.75" hidden="false" customHeight="false" outlineLevel="0" collapsed="false">
      <c r="A753" s="50"/>
      <c r="B753" s="50"/>
      <c r="C753" s="5"/>
      <c r="D753" s="48"/>
      <c r="E753" s="50"/>
      <c r="F753" s="5"/>
      <c r="G753" s="5"/>
      <c r="H753" s="5"/>
      <c r="I753" s="5"/>
      <c r="J753" s="5"/>
      <c r="K753" s="50"/>
      <c r="L753" s="50"/>
      <c r="M753" s="50"/>
      <c r="N753" s="50"/>
      <c r="O753" s="50"/>
      <c r="P753" s="50"/>
      <c r="Q753" s="50"/>
      <c r="R753" s="50"/>
      <c r="S753" s="50"/>
      <c r="T753" s="50"/>
      <c r="U753" s="50"/>
      <c r="V753" s="50"/>
      <c r="W753" s="50"/>
      <c r="X753" s="50"/>
      <c r="Y753" s="50"/>
      <c r="Z753" s="50"/>
      <c r="AA753" s="50"/>
      <c r="AB753" s="50"/>
    </row>
    <row r="754" customFormat="false" ht="15.75" hidden="false" customHeight="false" outlineLevel="0" collapsed="false">
      <c r="A754" s="50"/>
      <c r="B754" s="50"/>
      <c r="C754" s="5"/>
      <c r="D754" s="48"/>
      <c r="E754" s="50"/>
      <c r="F754" s="5"/>
      <c r="G754" s="5"/>
      <c r="H754" s="5"/>
      <c r="I754" s="5"/>
      <c r="J754" s="5"/>
      <c r="K754" s="50"/>
      <c r="L754" s="50"/>
      <c r="M754" s="50"/>
      <c r="N754" s="50"/>
      <c r="O754" s="50"/>
      <c r="P754" s="50"/>
      <c r="Q754" s="50"/>
      <c r="R754" s="50"/>
      <c r="S754" s="50"/>
      <c r="T754" s="50"/>
      <c r="U754" s="50"/>
      <c r="V754" s="50"/>
      <c r="W754" s="50"/>
      <c r="X754" s="50"/>
      <c r="Y754" s="50"/>
      <c r="Z754" s="50"/>
      <c r="AA754" s="50"/>
      <c r="AB754" s="50"/>
    </row>
    <row r="755" customFormat="false" ht="15.75" hidden="false" customHeight="false" outlineLevel="0" collapsed="false">
      <c r="A755" s="50"/>
      <c r="B755" s="50"/>
      <c r="C755" s="5"/>
      <c r="D755" s="48"/>
      <c r="E755" s="50"/>
      <c r="F755" s="5"/>
      <c r="G755" s="5"/>
      <c r="H755" s="5"/>
      <c r="I755" s="5"/>
      <c r="J755" s="5"/>
      <c r="K755" s="50"/>
      <c r="L755" s="50"/>
      <c r="M755" s="50"/>
      <c r="N755" s="50"/>
      <c r="O755" s="50"/>
      <c r="P755" s="50"/>
      <c r="Q755" s="50"/>
      <c r="R755" s="50"/>
      <c r="S755" s="50"/>
      <c r="T755" s="50"/>
      <c r="U755" s="50"/>
      <c r="V755" s="50"/>
      <c r="W755" s="50"/>
      <c r="X755" s="50"/>
      <c r="Y755" s="50"/>
      <c r="Z755" s="50"/>
      <c r="AA755" s="50"/>
      <c r="AB755" s="50"/>
    </row>
    <row r="756" customFormat="false" ht="15.75" hidden="false" customHeight="false" outlineLevel="0" collapsed="false">
      <c r="A756" s="50"/>
      <c r="B756" s="50"/>
      <c r="C756" s="5"/>
      <c r="D756" s="48"/>
      <c r="E756" s="50"/>
      <c r="F756" s="5"/>
      <c r="G756" s="5"/>
      <c r="H756" s="5"/>
      <c r="I756" s="5"/>
      <c r="J756" s="5"/>
      <c r="K756" s="50"/>
      <c r="L756" s="50"/>
      <c r="M756" s="50"/>
      <c r="N756" s="50"/>
      <c r="O756" s="50"/>
      <c r="P756" s="50"/>
      <c r="Q756" s="50"/>
      <c r="R756" s="50"/>
      <c r="S756" s="50"/>
      <c r="T756" s="50"/>
      <c r="U756" s="50"/>
      <c r="V756" s="50"/>
      <c r="W756" s="50"/>
      <c r="X756" s="50"/>
      <c r="Y756" s="50"/>
      <c r="Z756" s="50"/>
      <c r="AA756" s="50"/>
      <c r="AB756" s="50"/>
    </row>
    <row r="757" customFormat="false" ht="15.75" hidden="false" customHeight="false" outlineLevel="0" collapsed="false">
      <c r="A757" s="50"/>
      <c r="B757" s="50"/>
      <c r="C757" s="5"/>
      <c r="D757" s="48"/>
      <c r="E757" s="50"/>
      <c r="F757" s="5"/>
      <c r="G757" s="5"/>
      <c r="H757" s="5"/>
      <c r="I757" s="5"/>
      <c r="J757" s="5"/>
      <c r="K757" s="50"/>
      <c r="L757" s="50"/>
      <c r="M757" s="50"/>
      <c r="N757" s="50"/>
      <c r="O757" s="50"/>
      <c r="P757" s="50"/>
      <c r="Q757" s="50"/>
      <c r="R757" s="50"/>
      <c r="S757" s="50"/>
      <c r="T757" s="50"/>
      <c r="U757" s="50"/>
      <c r="V757" s="50"/>
      <c r="W757" s="50"/>
      <c r="X757" s="50"/>
      <c r="Y757" s="50"/>
      <c r="Z757" s="50"/>
      <c r="AA757" s="50"/>
      <c r="AB757" s="50"/>
    </row>
    <row r="758" customFormat="false" ht="15.75" hidden="false" customHeight="false" outlineLevel="0" collapsed="false">
      <c r="A758" s="50"/>
      <c r="B758" s="50"/>
      <c r="C758" s="5"/>
      <c r="D758" s="48"/>
      <c r="E758" s="50"/>
      <c r="F758" s="5"/>
      <c r="G758" s="5"/>
      <c r="H758" s="5"/>
      <c r="I758" s="5"/>
      <c r="J758" s="5"/>
      <c r="K758" s="50"/>
      <c r="L758" s="50"/>
      <c r="M758" s="50"/>
      <c r="N758" s="50"/>
      <c r="O758" s="50"/>
      <c r="P758" s="50"/>
      <c r="Q758" s="50"/>
      <c r="R758" s="50"/>
      <c r="S758" s="50"/>
      <c r="T758" s="50"/>
      <c r="U758" s="50"/>
      <c r="V758" s="50"/>
      <c r="W758" s="50"/>
      <c r="X758" s="50"/>
      <c r="Y758" s="50"/>
      <c r="Z758" s="50"/>
      <c r="AA758" s="50"/>
      <c r="AB758" s="50"/>
    </row>
    <row r="759" customFormat="false" ht="15.75" hidden="false" customHeight="false" outlineLevel="0" collapsed="false">
      <c r="A759" s="50"/>
      <c r="B759" s="50"/>
      <c r="C759" s="5"/>
      <c r="D759" s="48"/>
      <c r="E759" s="50"/>
      <c r="F759" s="5"/>
      <c r="G759" s="5"/>
      <c r="H759" s="5"/>
      <c r="I759" s="5"/>
      <c r="J759" s="5"/>
      <c r="K759" s="50"/>
      <c r="L759" s="50"/>
      <c r="M759" s="50"/>
      <c r="N759" s="50"/>
      <c r="O759" s="50"/>
      <c r="P759" s="50"/>
      <c r="Q759" s="50"/>
      <c r="R759" s="50"/>
      <c r="S759" s="50"/>
      <c r="T759" s="50"/>
      <c r="U759" s="50"/>
      <c r="V759" s="50"/>
      <c r="W759" s="50"/>
      <c r="X759" s="50"/>
      <c r="Y759" s="50"/>
      <c r="Z759" s="50"/>
      <c r="AA759" s="50"/>
      <c r="AB759" s="50"/>
    </row>
    <row r="760" customFormat="false" ht="15.75" hidden="false" customHeight="false" outlineLevel="0" collapsed="false">
      <c r="A760" s="50"/>
      <c r="B760" s="50"/>
      <c r="C760" s="5"/>
      <c r="D760" s="48"/>
      <c r="E760" s="50"/>
      <c r="F760" s="5"/>
      <c r="G760" s="5"/>
      <c r="H760" s="5"/>
      <c r="I760" s="5"/>
      <c r="J760" s="5"/>
      <c r="K760" s="50"/>
      <c r="L760" s="50"/>
      <c r="M760" s="50"/>
      <c r="N760" s="50"/>
      <c r="O760" s="50"/>
      <c r="P760" s="50"/>
      <c r="Q760" s="50"/>
      <c r="R760" s="50"/>
      <c r="S760" s="50"/>
      <c r="T760" s="50"/>
      <c r="U760" s="50"/>
      <c r="V760" s="50"/>
      <c r="W760" s="50"/>
      <c r="X760" s="50"/>
      <c r="Y760" s="50"/>
      <c r="Z760" s="50"/>
      <c r="AA760" s="50"/>
      <c r="AB760" s="50"/>
    </row>
    <row r="761" customFormat="false" ht="15.75" hidden="false" customHeight="false" outlineLevel="0" collapsed="false">
      <c r="A761" s="50"/>
      <c r="B761" s="50"/>
      <c r="C761" s="5"/>
      <c r="D761" s="48"/>
      <c r="E761" s="50"/>
      <c r="F761" s="5"/>
      <c r="G761" s="5"/>
      <c r="H761" s="5"/>
      <c r="I761" s="5"/>
      <c r="J761" s="5"/>
      <c r="K761" s="50"/>
      <c r="L761" s="50"/>
      <c r="M761" s="50"/>
      <c r="N761" s="50"/>
      <c r="O761" s="50"/>
      <c r="P761" s="50"/>
      <c r="Q761" s="50"/>
      <c r="R761" s="50"/>
      <c r="S761" s="50"/>
      <c r="T761" s="50"/>
      <c r="U761" s="50"/>
      <c r="V761" s="50"/>
      <c r="W761" s="50"/>
      <c r="X761" s="50"/>
      <c r="Y761" s="50"/>
      <c r="Z761" s="50"/>
      <c r="AA761" s="50"/>
      <c r="AB761" s="50"/>
    </row>
    <row r="762" customFormat="false" ht="15.75" hidden="false" customHeight="false" outlineLevel="0" collapsed="false">
      <c r="A762" s="50"/>
      <c r="B762" s="50"/>
      <c r="C762" s="5"/>
      <c r="D762" s="48"/>
      <c r="E762" s="50"/>
      <c r="F762" s="5"/>
      <c r="G762" s="5"/>
      <c r="H762" s="5"/>
      <c r="I762" s="5"/>
      <c r="J762" s="5"/>
      <c r="K762" s="50"/>
      <c r="L762" s="50"/>
      <c r="M762" s="50"/>
      <c r="N762" s="50"/>
      <c r="O762" s="50"/>
      <c r="P762" s="50"/>
      <c r="Q762" s="50"/>
      <c r="R762" s="50"/>
      <c r="S762" s="50"/>
      <c r="T762" s="50"/>
      <c r="U762" s="50"/>
      <c r="V762" s="50"/>
      <c r="W762" s="50"/>
      <c r="X762" s="50"/>
      <c r="Y762" s="50"/>
      <c r="Z762" s="50"/>
      <c r="AA762" s="50"/>
      <c r="AB762" s="50"/>
    </row>
    <row r="763" customFormat="false" ht="15.75" hidden="false" customHeight="false" outlineLevel="0" collapsed="false">
      <c r="A763" s="50"/>
      <c r="B763" s="50"/>
      <c r="C763" s="5"/>
      <c r="D763" s="48"/>
      <c r="E763" s="50"/>
      <c r="F763" s="5"/>
      <c r="G763" s="5"/>
      <c r="H763" s="5"/>
      <c r="I763" s="5"/>
      <c r="J763" s="5"/>
      <c r="K763" s="50"/>
      <c r="L763" s="50"/>
      <c r="M763" s="50"/>
      <c r="N763" s="50"/>
      <c r="O763" s="50"/>
      <c r="P763" s="50"/>
      <c r="Q763" s="50"/>
      <c r="R763" s="50"/>
      <c r="S763" s="50"/>
      <c r="T763" s="50"/>
      <c r="U763" s="50"/>
      <c r="V763" s="50"/>
      <c r="W763" s="50"/>
      <c r="X763" s="50"/>
      <c r="Y763" s="50"/>
      <c r="Z763" s="50"/>
      <c r="AA763" s="50"/>
      <c r="AB763" s="50"/>
    </row>
    <row r="764" customFormat="false" ht="15.75" hidden="false" customHeight="false" outlineLevel="0" collapsed="false">
      <c r="A764" s="50"/>
      <c r="B764" s="50"/>
      <c r="C764" s="5"/>
      <c r="D764" s="48"/>
      <c r="E764" s="50"/>
      <c r="F764" s="5"/>
      <c r="G764" s="5"/>
      <c r="H764" s="5"/>
      <c r="I764" s="5"/>
      <c r="J764" s="5"/>
      <c r="K764" s="50"/>
      <c r="L764" s="50"/>
      <c r="M764" s="50"/>
      <c r="N764" s="50"/>
      <c r="O764" s="50"/>
      <c r="P764" s="50"/>
      <c r="Q764" s="50"/>
      <c r="R764" s="50"/>
      <c r="S764" s="50"/>
      <c r="T764" s="50"/>
      <c r="U764" s="50"/>
      <c r="V764" s="50"/>
      <c r="W764" s="50"/>
      <c r="X764" s="50"/>
      <c r="Y764" s="50"/>
      <c r="Z764" s="50"/>
      <c r="AA764" s="50"/>
      <c r="AB764" s="50"/>
    </row>
    <row r="765" customFormat="false" ht="15.75" hidden="false" customHeight="false" outlineLevel="0" collapsed="false">
      <c r="A765" s="50"/>
      <c r="B765" s="50"/>
      <c r="C765" s="5"/>
      <c r="D765" s="48"/>
      <c r="E765" s="50"/>
      <c r="F765" s="5"/>
      <c r="G765" s="5"/>
      <c r="H765" s="5"/>
      <c r="I765" s="5"/>
      <c r="J765" s="5"/>
      <c r="K765" s="50"/>
      <c r="L765" s="50"/>
      <c r="M765" s="50"/>
      <c r="N765" s="50"/>
      <c r="O765" s="50"/>
      <c r="P765" s="50"/>
      <c r="Q765" s="50"/>
      <c r="R765" s="50"/>
      <c r="S765" s="50"/>
      <c r="T765" s="50"/>
      <c r="U765" s="50"/>
      <c r="V765" s="50"/>
      <c r="W765" s="50"/>
      <c r="X765" s="50"/>
      <c r="Y765" s="50"/>
      <c r="Z765" s="50"/>
      <c r="AA765" s="50"/>
      <c r="AB765" s="50"/>
    </row>
    <row r="766" customFormat="false" ht="15.75" hidden="false" customHeight="false" outlineLevel="0" collapsed="false">
      <c r="A766" s="50"/>
      <c r="B766" s="50"/>
      <c r="C766" s="5"/>
      <c r="D766" s="48"/>
      <c r="E766" s="50"/>
      <c r="F766" s="5"/>
      <c r="G766" s="5"/>
      <c r="H766" s="5"/>
      <c r="I766" s="5"/>
      <c r="J766" s="5"/>
      <c r="K766" s="50"/>
      <c r="L766" s="50"/>
      <c r="M766" s="50"/>
      <c r="N766" s="50"/>
      <c r="O766" s="50"/>
      <c r="P766" s="50"/>
      <c r="Q766" s="50"/>
      <c r="R766" s="50"/>
      <c r="S766" s="50"/>
      <c r="T766" s="50"/>
      <c r="U766" s="50"/>
      <c r="V766" s="50"/>
      <c r="W766" s="50"/>
      <c r="X766" s="50"/>
      <c r="Y766" s="50"/>
      <c r="Z766" s="50"/>
      <c r="AA766" s="50"/>
      <c r="AB766" s="50"/>
    </row>
    <row r="767" customFormat="false" ht="15.75" hidden="false" customHeight="false" outlineLevel="0" collapsed="false">
      <c r="A767" s="50"/>
      <c r="B767" s="50"/>
      <c r="C767" s="5"/>
      <c r="D767" s="48"/>
      <c r="E767" s="50"/>
      <c r="F767" s="5"/>
      <c r="G767" s="5"/>
      <c r="H767" s="5"/>
      <c r="I767" s="5"/>
      <c r="J767" s="5"/>
      <c r="K767" s="50"/>
      <c r="L767" s="50"/>
      <c r="M767" s="50"/>
      <c r="N767" s="50"/>
      <c r="O767" s="50"/>
      <c r="P767" s="50"/>
      <c r="Q767" s="50"/>
      <c r="R767" s="50"/>
      <c r="S767" s="50"/>
      <c r="T767" s="50"/>
      <c r="U767" s="50"/>
      <c r="V767" s="50"/>
      <c r="W767" s="50"/>
      <c r="X767" s="50"/>
      <c r="Y767" s="50"/>
      <c r="Z767" s="50"/>
      <c r="AA767" s="50"/>
      <c r="AB767" s="50"/>
    </row>
    <row r="768" customFormat="false" ht="15.75" hidden="false" customHeight="false" outlineLevel="0" collapsed="false">
      <c r="A768" s="50"/>
      <c r="B768" s="50"/>
      <c r="C768" s="5"/>
      <c r="D768" s="48"/>
      <c r="E768" s="50"/>
      <c r="F768" s="5"/>
      <c r="G768" s="5"/>
      <c r="H768" s="5"/>
      <c r="I768" s="5"/>
      <c r="J768" s="5"/>
      <c r="K768" s="50"/>
      <c r="L768" s="50"/>
      <c r="M768" s="50"/>
      <c r="N768" s="50"/>
      <c r="O768" s="50"/>
      <c r="P768" s="50"/>
      <c r="Q768" s="50"/>
      <c r="R768" s="50"/>
      <c r="S768" s="50"/>
      <c r="T768" s="50"/>
      <c r="U768" s="50"/>
      <c r="V768" s="50"/>
      <c r="W768" s="50"/>
      <c r="X768" s="50"/>
      <c r="Y768" s="50"/>
      <c r="Z768" s="50"/>
      <c r="AA768" s="50"/>
      <c r="AB768" s="50"/>
    </row>
    <row r="769" customFormat="false" ht="15.75" hidden="false" customHeight="false" outlineLevel="0" collapsed="false">
      <c r="A769" s="50"/>
      <c r="B769" s="50"/>
      <c r="C769" s="5"/>
      <c r="D769" s="48"/>
      <c r="E769" s="50"/>
      <c r="F769" s="5"/>
      <c r="G769" s="5"/>
      <c r="H769" s="5"/>
      <c r="I769" s="5"/>
      <c r="J769" s="5"/>
      <c r="K769" s="50"/>
      <c r="L769" s="50"/>
      <c r="M769" s="50"/>
      <c r="N769" s="50"/>
      <c r="O769" s="50"/>
      <c r="P769" s="50"/>
      <c r="Q769" s="50"/>
      <c r="R769" s="50"/>
      <c r="S769" s="50"/>
      <c r="T769" s="50"/>
      <c r="U769" s="50"/>
      <c r="V769" s="50"/>
      <c r="W769" s="50"/>
      <c r="X769" s="50"/>
      <c r="Y769" s="50"/>
      <c r="Z769" s="50"/>
      <c r="AA769" s="50"/>
      <c r="AB769" s="50"/>
    </row>
    <row r="770" customFormat="false" ht="15.75" hidden="false" customHeight="false" outlineLevel="0" collapsed="false">
      <c r="A770" s="50"/>
      <c r="B770" s="50"/>
      <c r="C770" s="5"/>
      <c r="D770" s="48"/>
      <c r="E770" s="50"/>
      <c r="F770" s="5"/>
      <c r="G770" s="5"/>
      <c r="H770" s="5"/>
      <c r="I770" s="5"/>
      <c r="J770" s="5"/>
      <c r="K770" s="50"/>
      <c r="L770" s="50"/>
      <c r="M770" s="50"/>
      <c r="N770" s="50"/>
      <c r="O770" s="50"/>
      <c r="P770" s="50"/>
      <c r="Q770" s="50"/>
      <c r="R770" s="50"/>
      <c r="S770" s="50"/>
      <c r="T770" s="50"/>
      <c r="U770" s="50"/>
      <c r="V770" s="50"/>
      <c r="W770" s="50"/>
      <c r="X770" s="50"/>
      <c r="Y770" s="50"/>
      <c r="Z770" s="50"/>
      <c r="AA770" s="50"/>
      <c r="AB770" s="50"/>
    </row>
    <row r="771" customFormat="false" ht="15.75" hidden="false" customHeight="false" outlineLevel="0" collapsed="false">
      <c r="A771" s="50"/>
      <c r="B771" s="50"/>
      <c r="C771" s="5"/>
      <c r="D771" s="48"/>
      <c r="E771" s="50"/>
      <c r="F771" s="5"/>
      <c r="G771" s="5"/>
      <c r="H771" s="5"/>
      <c r="I771" s="5"/>
      <c r="J771" s="5"/>
      <c r="K771" s="50"/>
      <c r="L771" s="50"/>
      <c r="M771" s="50"/>
      <c r="N771" s="50"/>
      <c r="O771" s="50"/>
      <c r="P771" s="50"/>
      <c r="Q771" s="50"/>
      <c r="R771" s="50"/>
      <c r="S771" s="50"/>
      <c r="T771" s="50"/>
      <c r="U771" s="50"/>
      <c r="V771" s="50"/>
      <c r="W771" s="50"/>
      <c r="X771" s="50"/>
      <c r="Y771" s="50"/>
      <c r="Z771" s="50"/>
      <c r="AA771" s="50"/>
      <c r="AB771" s="50"/>
    </row>
    <row r="772" customFormat="false" ht="15.75" hidden="false" customHeight="false" outlineLevel="0" collapsed="false">
      <c r="A772" s="50"/>
      <c r="B772" s="50"/>
      <c r="C772" s="5"/>
      <c r="D772" s="48"/>
      <c r="E772" s="50"/>
      <c r="F772" s="5"/>
      <c r="G772" s="5"/>
      <c r="H772" s="5"/>
      <c r="I772" s="5"/>
      <c r="J772" s="5"/>
      <c r="K772" s="50"/>
      <c r="L772" s="50"/>
      <c r="M772" s="50"/>
      <c r="N772" s="50"/>
      <c r="O772" s="50"/>
      <c r="P772" s="50"/>
      <c r="Q772" s="50"/>
      <c r="R772" s="50"/>
      <c r="S772" s="50"/>
      <c r="T772" s="50"/>
      <c r="U772" s="50"/>
      <c r="V772" s="50"/>
      <c r="W772" s="50"/>
      <c r="X772" s="50"/>
      <c r="Y772" s="50"/>
      <c r="Z772" s="50"/>
      <c r="AA772" s="50"/>
      <c r="AB772" s="50"/>
    </row>
    <row r="773" customFormat="false" ht="15.75" hidden="false" customHeight="false" outlineLevel="0" collapsed="false">
      <c r="A773" s="50"/>
      <c r="B773" s="50"/>
      <c r="C773" s="5"/>
      <c r="D773" s="48"/>
      <c r="E773" s="50"/>
      <c r="F773" s="5"/>
      <c r="G773" s="5"/>
      <c r="H773" s="5"/>
      <c r="I773" s="5"/>
      <c r="J773" s="5"/>
      <c r="K773" s="50"/>
      <c r="L773" s="50"/>
      <c r="M773" s="50"/>
      <c r="N773" s="50"/>
      <c r="O773" s="50"/>
      <c r="P773" s="50"/>
      <c r="Q773" s="50"/>
      <c r="R773" s="50"/>
      <c r="S773" s="50"/>
      <c r="T773" s="50"/>
      <c r="U773" s="50"/>
      <c r="V773" s="50"/>
      <c r="W773" s="50"/>
      <c r="X773" s="50"/>
      <c r="Y773" s="50"/>
      <c r="Z773" s="50"/>
      <c r="AA773" s="50"/>
      <c r="AB773" s="50"/>
    </row>
    <row r="774" customFormat="false" ht="15.75" hidden="false" customHeight="false" outlineLevel="0" collapsed="false">
      <c r="A774" s="50"/>
      <c r="B774" s="50"/>
      <c r="C774" s="5"/>
      <c r="D774" s="48"/>
      <c r="E774" s="50"/>
      <c r="F774" s="5"/>
      <c r="G774" s="5"/>
      <c r="H774" s="5"/>
      <c r="I774" s="5"/>
      <c r="J774" s="5"/>
      <c r="K774" s="50"/>
      <c r="L774" s="50"/>
      <c r="M774" s="50"/>
      <c r="N774" s="50"/>
      <c r="O774" s="50"/>
      <c r="P774" s="50"/>
      <c r="Q774" s="50"/>
      <c r="R774" s="50"/>
      <c r="S774" s="50"/>
      <c r="T774" s="50"/>
      <c r="U774" s="50"/>
      <c r="V774" s="50"/>
      <c r="W774" s="50"/>
      <c r="X774" s="50"/>
      <c r="Y774" s="50"/>
      <c r="Z774" s="50"/>
      <c r="AA774" s="50"/>
      <c r="AB774" s="50"/>
    </row>
    <row r="775" customFormat="false" ht="15.75" hidden="false" customHeight="false" outlineLevel="0" collapsed="false">
      <c r="A775" s="50"/>
      <c r="B775" s="50"/>
      <c r="C775" s="5"/>
      <c r="D775" s="48"/>
      <c r="E775" s="50"/>
      <c r="F775" s="5"/>
      <c r="G775" s="5"/>
      <c r="H775" s="5"/>
      <c r="I775" s="5"/>
      <c r="J775" s="5"/>
      <c r="K775" s="50"/>
      <c r="L775" s="50"/>
      <c r="M775" s="50"/>
      <c r="N775" s="50"/>
      <c r="O775" s="50"/>
      <c r="P775" s="50"/>
      <c r="Q775" s="50"/>
      <c r="R775" s="50"/>
      <c r="S775" s="50"/>
      <c r="T775" s="50"/>
      <c r="U775" s="50"/>
      <c r="V775" s="50"/>
      <c r="W775" s="50"/>
      <c r="X775" s="50"/>
      <c r="Y775" s="50"/>
      <c r="Z775" s="50"/>
      <c r="AA775" s="50"/>
      <c r="AB775" s="50"/>
    </row>
    <row r="776" customFormat="false" ht="15.75" hidden="false" customHeight="false" outlineLevel="0" collapsed="false">
      <c r="A776" s="50"/>
      <c r="B776" s="50"/>
      <c r="C776" s="5"/>
      <c r="D776" s="48"/>
      <c r="E776" s="50"/>
      <c r="F776" s="5"/>
      <c r="G776" s="5"/>
      <c r="H776" s="5"/>
      <c r="I776" s="5"/>
      <c r="J776" s="5"/>
      <c r="K776" s="50"/>
      <c r="L776" s="50"/>
      <c r="M776" s="50"/>
      <c r="N776" s="50"/>
      <c r="O776" s="50"/>
      <c r="P776" s="50"/>
      <c r="Q776" s="50"/>
      <c r="R776" s="50"/>
      <c r="S776" s="50"/>
      <c r="T776" s="50"/>
      <c r="U776" s="50"/>
      <c r="V776" s="50"/>
      <c r="W776" s="50"/>
      <c r="X776" s="50"/>
      <c r="Y776" s="50"/>
      <c r="Z776" s="50"/>
      <c r="AA776" s="50"/>
      <c r="AB776" s="50"/>
    </row>
    <row r="777" customFormat="false" ht="15.75" hidden="false" customHeight="false" outlineLevel="0" collapsed="false">
      <c r="A777" s="50"/>
      <c r="B777" s="50"/>
      <c r="C777" s="5"/>
      <c r="D777" s="48"/>
      <c r="E777" s="50"/>
      <c r="F777" s="5"/>
      <c r="G777" s="5"/>
      <c r="H777" s="5"/>
      <c r="I777" s="5"/>
      <c r="J777" s="5"/>
      <c r="K777" s="50"/>
      <c r="L777" s="50"/>
      <c r="M777" s="50"/>
      <c r="N777" s="50"/>
      <c r="O777" s="50"/>
      <c r="P777" s="50"/>
      <c r="Q777" s="50"/>
      <c r="R777" s="50"/>
      <c r="S777" s="50"/>
      <c r="T777" s="50"/>
      <c r="U777" s="50"/>
      <c r="V777" s="50"/>
      <c r="W777" s="50"/>
      <c r="X777" s="50"/>
      <c r="Y777" s="50"/>
      <c r="Z777" s="50"/>
      <c r="AA777" s="50"/>
      <c r="AB777" s="50"/>
    </row>
    <row r="778" customFormat="false" ht="15.75" hidden="false" customHeight="false" outlineLevel="0" collapsed="false">
      <c r="A778" s="50"/>
      <c r="B778" s="50"/>
      <c r="C778" s="5"/>
      <c r="D778" s="48"/>
      <c r="E778" s="50"/>
      <c r="F778" s="5"/>
      <c r="G778" s="5"/>
      <c r="H778" s="5"/>
      <c r="I778" s="5"/>
      <c r="J778" s="5"/>
      <c r="K778" s="50"/>
      <c r="L778" s="50"/>
      <c r="M778" s="50"/>
      <c r="N778" s="50"/>
      <c r="O778" s="50"/>
      <c r="P778" s="50"/>
      <c r="Q778" s="50"/>
      <c r="R778" s="50"/>
      <c r="S778" s="50"/>
      <c r="T778" s="50"/>
      <c r="U778" s="50"/>
      <c r="V778" s="50"/>
      <c r="W778" s="50"/>
      <c r="X778" s="50"/>
      <c r="Y778" s="50"/>
      <c r="Z778" s="50"/>
      <c r="AA778" s="50"/>
      <c r="AB778" s="50"/>
    </row>
    <row r="779" customFormat="false" ht="15.75" hidden="false" customHeight="false" outlineLevel="0" collapsed="false">
      <c r="A779" s="50"/>
      <c r="B779" s="50"/>
      <c r="C779" s="5"/>
      <c r="D779" s="48"/>
      <c r="E779" s="50"/>
      <c r="F779" s="5"/>
      <c r="G779" s="5"/>
      <c r="H779" s="5"/>
      <c r="I779" s="5"/>
      <c r="J779" s="5"/>
      <c r="K779" s="50"/>
      <c r="L779" s="50"/>
      <c r="M779" s="50"/>
      <c r="N779" s="50"/>
      <c r="O779" s="50"/>
      <c r="P779" s="50"/>
      <c r="Q779" s="50"/>
      <c r="R779" s="50"/>
      <c r="S779" s="50"/>
      <c r="T779" s="50"/>
      <c r="U779" s="50"/>
      <c r="V779" s="50"/>
      <c r="W779" s="50"/>
      <c r="X779" s="50"/>
      <c r="Y779" s="50"/>
      <c r="Z779" s="50"/>
      <c r="AA779" s="50"/>
      <c r="AB779" s="50"/>
    </row>
    <row r="780" customFormat="false" ht="15.75" hidden="false" customHeight="false" outlineLevel="0" collapsed="false">
      <c r="A780" s="50"/>
      <c r="B780" s="50"/>
      <c r="C780" s="5"/>
      <c r="D780" s="48"/>
      <c r="E780" s="50"/>
      <c r="F780" s="5"/>
      <c r="G780" s="5"/>
      <c r="H780" s="5"/>
      <c r="I780" s="5"/>
      <c r="J780" s="5"/>
      <c r="K780" s="50"/>
      <c r="L780" s="50"/>
      <c r="M780" s="50"/>
      <c r="N780" s="50"/>
      <c r="O780" s="50"/>
      <c r="P780" s="50"/>
      <c r="Q780" s="50"/>
      <c r="R780" s="50"/>
      <c r="S780" s="50"/>
      <c r="T780" s="50"/>
      <c r="U780" s="50"/>
      <c r="V780" s="50"/>
      <c r="W780" s="50"/>
      <c r="X780" s="50"/>
      <c r="Y780" s="50"/>
      <c r="Z780" s="50"/>
      <c r="AA780" s="50"/>
      <c r="AB780" s="50"/>
    </row>
    <row r="781" customFormat="false" ht="15.75" hidden="false" customHeight="false" outlineLevel="0" collapsed="false">
      <c r="A781" s="50"/>
      <c r="B781" s="50"/>
      <c r="C781" s="5"/>
      <c r="D781" s="48"/>
      <c r="E781" s="50"/>
      <c r="F781" s="5"/>
      <c r="G781" s="5"/>
      <c r="H781" s="5"/>
      <c r="I781" s="5"/>
      <c r="J781" s="5"/>
      <c r="K781" s="50"/>
      <c r="L781" s="50"/>
      <c r="M781" s="50"/>
      <c r="N781" s="50"/>
      <c r="O781" s="50"/>
      <c r="P781" s="50"/>
      <c r="Q781" s="50"/>
      <c r="R781" s="50"/>
      <c r="S781" s="50"/>
      <c r="T781" s="50"/>
      <c r="U781" s="50"/>
      <c r="V781" s="50"/>
      <c r="W781" s="50"/>
      <c r="X781" s="50"/>
      <c r="Y781" s="50"/>
      <c r="Z781" s="50"/>
      <c r="AA781" s="50"/>
      <c r="AB781" s="50"/>
    </row>
    <row r="782" customFormat="false" ht="15.75" hidden="false" customHeight="false" outlineLevel="0" collapsed="false">
      <c r="A782" s="50"/>
      <c r="B782" s="50"/>
      <c r="C782" s="5"/>
      <c r="D782" s="48"/>
      <c r="E782" s="50"/>
      <c r="F782" s="5"/>
      <c r="G782" s="5"/>
      <c r="H782" s="5"/>
      <c r="I782" s="5"/>
      <c r="J782" s="5"/>
      <c r="K782" s="50"/>
      <c r="L782" s="50"/>
      <c r="M782" s="50"/>
      <c r="N782" s="50"/>
      <c r="O782" s="50"/>
      <c r="P782" s="50"/>
      <c r="Q782" s="50"/>
      <c r="R782" s="50"/>
      <c r="S782" s="50"/>
      <c r="T782" s="50"/>
      <c r="U782" s="50"/>
      <c r="V782" s="50"/>
      <c r="W782" s="50"/>
      <c r="X782" s="50"/>
      <c r="Y782" s="50"/>
      <c r="Z782" s="50"/>
      <c r="AA782" s="50"/>
      <c r="AB782" s="50"/>
    </row>
    <row r="783" customFormat="false" ht="15.75" hidden="false" customHeight="false" outlineLevel="0" collapsed="false">
      <c r="A783" s="50"/>
      <c r="B783" s="50"/>
      <c r="C783" s="5"/>
      <c r="D783" s="48"/>
      <c r="E783" s="50"/>
      <c r="F783" s="5"/>
      <c r="G783" s="5"/>
      <c r="H783" s="5"/>
      <c r="I783" s="5"/>
      <c r="J783" s="5"/>
      <c r="K783" s="50"/>
      <c r="L783" s="50"/>
      <c r="M783" s="50"/>
      <c r="N783" s="50"/>
      <c r="O783" s="50"/>
      <c r="P783" s="50"/>
      <c r="Q783" s="50"/>
      <c r="R783" s="50"/>
      <c r="S783" s="50"/>
      <c r="T783" s="50"/>
      <c r="U783" s="50"/>
      <c r="V783" s="50"/>
      <c r="W783" s="50"/>
      <c r="X783" s="50"/>
      <c r="Y783" s="50"/>
      <c r="Z783" s="50"/>
      <c r="AA783" s="50"/>
      <c r="AB783" s="50"/>
    </row>
    <row r="784" customFormat="false" ht="15.75" hidden="false" customHeight="false" outlineLevel="0" collapsed="false">
      <c r="A784" s="50"/>
      <c r="B784" s="50"/>
      <c r="C784" s="5"/>
      <c r="D784" s="48"/>
      <c r="E784" s="50"/>
      <c r="F784" s="5"/>
      <c r="G784" s="5"/>
      <c r="H784" s="5"/>
      <c r="I784" s="5"/>
      <c r="J784" s="5"/>
      <c r="K784" s="50"/>
      <c r="L784" s="50"/>
      <c r="M784" s="50"/>
      <c r="N784" s="50"/>
      <c r="O784" s="50"/>
      <c r="P784" s="50"/>
      <c r="Q784" s="50"/>
      <c r="R784" s="50"/>
      <c r="S784" s="50"/>
      <c r="T784" s="50"/>
      <c r="U784" s="50"/>
      <c r="V784" s="50"/>
      <c r="W784" s="50"/>
      <c r="X784" s="50"/>
      <c r="Y784" s="50"/>
      <c r="Z784" s="50"/>
      <c r="AA784" s="50"/>
      <c r="AB784" s="50"/>
    </row>
    <row r="785" customFormat="false" ht="15.75" hidden="false" customHeight="false" outlineLevel="0" collapsed="false">
      <c r="A785" s="50"/>
      <c r="B785" s="50"/>
      <c r="C785" s="5"/>
      <c r="D785" s="48"/>
      <c r="E785" s="50"/>
      <c r="F785" s="5"/>
      <c r="G785" s="5"/>
      <c r="H785" s="5"/>
      <c r="I785" s="5"/>
      <c r="J785" s="5"/>
      <c r="K785" s="50"/>
      <c r="L785" s="50"/>
      <c r="M785" s="50"/>
      <c r="N785" s="50"/>
      <c r="O785" s="50"/>
      <c r="P785" s="50"/>
      <c r="Q785" s="50"/>
      <c r="R785" s="50"/>
      <c r="S785" s="50"/>
      <c r="T785" s="50"/>
      <c r="U785" s="50"/>
      <c r="V785" s="50"/>
      <c r="W785" s="50"/>
      <c r="X785" s="50"/>
      <c r="Y785" s="50"/>
      <c r="Z785" s="50"/>
      <c r="AA785" s="50"/>
      <c r="AB785" s="50"/>
    </row>
    <row r="786" customFormat="false" ht="15.75" hidden="false" customHeight="false" outlineLevel="0" collapsed="false">
      <c r="A786" s="50"/>
      <c r="B786" s="50"/>
      <c r="C786" s="5"/>
      <c r="D786" s="48"/>
      <c r="E786" s="50"/>
      <c r="F786" s="5"/>
      <c r="G786" s="5"/>
      <c r="H786" s="5"/>
      <c r="I786" s="5"/>
      <c r="J786" s="5"/>
      <c r="K786" s="50"/>
      <c r="L786" s="50"/>
      <c r="M786" s="50"/>
      <c r="N786" s="50"/>
      <c r="O786" s="50"/>
      <c r="P786" s="50"/>
      <c r="Q786" s="50"/>
      <c r="R786" s="50"/>
      <c r="S786" s="50"/>
      <c r="T786" s="50"/>
      <c r="U786" s="50"/>
      <c r="V786" s="50"/>
      <c r="W786" s="50"/>
      <c r="X786" s="50"/>
      <c r="Y786" s="50"/>
      <c r="Z786" s="50"/>
      <c r="AA786" s="50"/>
      <c r="AB786" s="50"/>
    </row>
    <row r="787" customFormat="false" ht="15.75" hidden="false" customHeight="false" outlineLevel="0" collapsed="false">
      <c r="A787" s="50"/>
      <c r="B787" s="50"/>
      <c r="C787" s="5"/>
      <c r="D787" s="48"/>
      <c r="E787" s="50"/>
      <c r="F787" s="5"/>
      <c r="G787" s="5"/>
      <c r="H787" s="5"/>
      <c r="I787" s="5"/>
      <c r="J787" s="5"/>
      <c r="K787" s="50"/>
      <c r="L787" s="50"/>
      <c r="M787" s="50"/>
      <c r="N787" s="50"/>
      <c r="O787" s="50"/>
      <c r="P787" s="50"/>
      <c r="Q787" s="50"/>
      <c r="R787" s="50"/>
      <c r="S787" s="50"/>
      <c r="T787" s="50"/>
      <c r="U787" s="50"/>
      <c r="V787" s="50"/>
      <c r="W787" s="50"/>
      <c r="X787" s="50"/>
      <c r="Y787" s="50"/>
      <c r="Z787" s="50"/>
      <c r="AA787" s="50"/>
      <c r="AB787" s="50"/>
    </row>
    <row r="788" customFormat="false" ht="15.75" hidden="false" customHeight="false" outlineLevel="0" collapsed="false">
      <c r="A788" s="50"/>
      <c r="B788" s="50"/>
      <c r="C788" s="5"/>
      <c r="D788" s="48"/>
      <c r="E788" s="50"/>
      <c r="F788" s="5"/>
      <c r="G788" s="5"/>
      <c r="H788" s="5"/>
      <c r="I788" s="5"/>
      <c r="J788" s="5"/>
      <c r="K788" s="50"/>
      <c r="L788" s="50"/>
      <c r="M788" s="50"/>
      <c r="N788" s="50"/>
      <c r="O788" s="50"/>
      <c r="P788" s="50"/>
      <c r="Q788" s="50"/>
      <c r="R788" s="50"/>
      <c r="S788" s="50"/>
      <c r="T788" s="50"/>
      <c r="U788" s="50"/>
      <c r="V788" s="50"/>
      <c r="W788" s="50"/>
      <c r="X788" s="50"/>
      <c r="Y788" s="50"/>
      <c r="Z788" s="50"/>
      <c r="AA788" s="50"/>
      <c r="AB788" s="50"/>
    </row>
    <row r="789" customFormat="false" ht="15.75" hidden="false" customHeight="false" outlineLevel="0" collapsed="false">
      <c r="A789" s="50"/>
      <c r="B789" s="50"/>
      <c r="C789" s="5"/>
      <c r="D789" s="48"/>
      <c r="E789" s="50"/>
      <c r="F789" s="5"/>
      <c r="G789" s="5"/>
      <c r="H789" s="5"/>
      <c r="I789" s="5"/>
      <c r="J789" s="5"/>
      <c r="K789" s="50"/>
      <c r="L789" s="50"/>
      <c r="M789" s="50"/>
      <c r="N789" s="50"/>
      <c r="O789" s="50"/>
      <c r="P789" s="50"/>
      <c r="Q789" s="50"/>
      <c r="R789" s="50"/>
      <c r="S789" s="50"/>
      <c r="T789" s="50"/>
      <c r="U789" s="50"/>
      <c r="V789" s="50"/>
      <c r="W789" s="50"/>
      <c r="X789" s="50"/>
      <c r="Y789" s="50"/>
      <c r="Z789" s="50"/>
      <c r="AA789" s="50"/>
      <c r="AB789" s="50"/>
    </row>
    <row r="790" customFormat="false" ht="15.75" hidden="false" customHeight="false" outlineLevel="0" collapsed="false">
      <c r="A790" s="50"/>
      <c r="B790" s="50"/>
      <c r="C790" s="5"/>
      <c r="D790" s="48"/>
      <c r="E790" s="50"/>
      <c r="F790" s="5"/>
      <c r="G790" s="5"/>
      <c r="H790" s="5"/>
      <c r="I790" s="5"/>
      <c r="J790" s="5"/>
      <c r="K790" s="50"/>
      <c r="L790" s="50"/>
      <c r="M790" s="50"/>
      <c r="N790" s="50"/>
      <c r="O790" s="50"/>
      <c r="P790" s="50"/>
      <c r="Q790" s="50"/>
      <c r="R790" s="50"/>
      <c r="S790" s="50"/>
      <c r="T790" s="50"/>
      <c r="U790" s="50"/>
      <c r="V790" s="50"/>
      <c r="W790" s="50"/>
      <c r="X790" s="50"/>
      <c r="Y790" s="50"/>
      <c r="Z790" s="50"/>
      <c r="AA790" s="50"/>
      <c r="AB790" s="50"/>
    </row>
    <row r="791" customFormat="false" ht="15.75" hidden="false" customHeight="false" outlineLevel="0" collapsed="false">
      <c r="A791" s="50"/>
      <c r="B791" s="50"/>
      <c r="C791" s="5"/>
      <c r="D791" s="48"/>
      <c r="E791" s="50"/>
      <c r="F791" s="5"/>
      <c r="G791" s="5"/>
      <c r="H791" s="5"/>
      <c r="I791" s="5"/>
      <c r="J791" s="5"/>
      <c r="K791" s="50"/>
      <c r="L791" s="50"/>
      <c r="M791" s="50"/>
      <c r="N791" s="50"/>
      <c r="O791" s="50"/>
      <c r="P791" s="50"/>
      <c r="Q791" s="50"/>
      <c r="R791" s="50"/>
      <c r="S791" s="50"/>
      <c r="T791" s="50"/>
      <c r="U791" s="50"/>
      <c r="V791" s="50"/>
      <c r="W791" s="50"/>
      <c r="X791" s="50"/>
      <c r="Y791" s="50"/>
      <c r="Z791" s="50"/>
      <c r="AA791" s="50"/>
      <c r="AB791" s="50"/>
    </row>
    <row r="792" customFormat="false" ht="15.75" hidden="false" customHeight="false" outlineLevel="0" collapsed="false">
      <c r="A792" s="50"/>
      <c r="B792" s="50"/>
      <c r="C792" s="5"/>
      <c r="D792" s="48"/>
      <c r="E792" s="50"/>
      <c r="F792" s="5"/>
      <c r="G792" s="5"/>
      <c r="H792" s="5"/>
      <c r="I792" s="5"/>
      <c r="J792" s="5"/>
      <c r="K792" s="50"/>
      <c r="L792" s="50"/>
      <c r="M792" s="50"/>
      <c r="N792" s="50"/>
      <c r="O792" s="50"/>
      <c r="P792" s="50"/>
      <c r="Q792" s="50"/>
      <c r="R792" s="50"/>
      <c r="S792" s="50"/>
      <c r="T792" s="50"/>
      <c r="U792" s="50"/>
      <c r="V792" s="50"/>
      <c r="W792" s="50"/>
      <c r="X792" s="50"/>
      <c r="Y792" s="50"/>
      <c r="Z792" s="50"/>
      <c r="AA792" s="50"/>
      <c r="AB792" s="50"/>
    </row>
    <row r="793" customFormat="false" ht="15.75" hidden="false" customHeight="false" outlineLevel="0" collapsed="false">
      <c r="A793" s="50"/>
      <c r="B793" s="50"/>
      <c r="C793" s="5"/>
      <c r="D793" s="48"/>
      <c r="E793" s="50"/>
      <c r="F793" s="5"/>
      <c r="G793" s="5"/>
      <c r="H793" s="5"/>
      <c r="I793" s="5"/>
      <c r="J793" s="5"/>
      <c r="K793" s="50"/>
      <c r="L793" s="50"/>
      <c r="M793" s="50"/>
      <c r="N793" s="50"/>
      <c r="O793" s="50"/>
      <c r="P793" s="50"/>
      <c r="Q793" s="50"/>
      <c r="R793" s="50"/>
      <c r="S793" s="50"/>
      <c r="T793" s="50"/>
      <c r="U793" s="50"/>
      <c r="V793" s="50"/>
      <c r="W793" s="50"/>
      <c r="X793" s="50"/>
      <c r="Y793" s="50"/>
      <c r="Z793" s="50"/>
      <c r="AA793" s="50"/>
      <c r="AB793" s="50"/>
    </row>
    <row r="794" customFormat="false" ht="15.75" hidden="false" customHeight="false" outlineLevel="0" collapsed="false">
      <c r="A794" s="50"/>
      <c r="B794" s="50"/>
      <c r="C794" s="5"/>
      <c r="D794" s="48"/>
      <c r="E794" s="50"/>
      <c r="F794" s="5"/>
      <c r="G794" s="5"/>
      <c r="H794" s="5"/>
      <c r="I794" s="5"/>
      <c r="J794" s="5"/>
      <c r="K794" s="50"/>
      <c r="L794" s="50"/>
      <c r="M794" s="50"/>
      <c r="N794" s="50"/>
      <c r="O794" s="50"/>
      <c r="P794" s="50"/>
      <c r="Q794" s="50"/>
      <c r="R794" s="50"/>
      <c r="S794" s="50"/>
      <c r="T794" s="50"/>
      <c r="U794" s="50"/>
      <c r="V794" s="50"/>
      <c r="W794" s="50"/>
      <c r="X794" s="50"/>
      <c r="Y794" s="50"/>
      <c r="Z794" s="50"/>
      <c r="AA794" s="50"/>
      <c r="AB794" s="50"/>
    </row>
    <row r="795" customFormat="false" ht="15.75" hidden="false" customHeight="false" outlineLevel="0" collapsed="false">
      <c r="A795" s="50"/>
      <c r="B795" s="50"/>
      <c r="C795" s="5"/>
      <c r="D795" s="48"/>
      <c r="E795" s="50"/>
      <c r="F795" s="5"/>
      <c r="G795" s="5"/>
      <c r="H795" s="5"/>
      <c r="I795" s="5"/>
      <c r="J795" s="5"/>
      <c r="K795" s="50"/>
      <c r="L795" s="50"/>
      <c r="M795" s="50"/>
      <c r="N795" s="50"/>
      <c r="O795" s="50"/>
      <c r="P795" s="50"/>
      <c r="Q795" s="50"/>
      <c r="R795" s="50"/>
      <c r="S795" s="50"/>
      <c r="T795" s="50"/>
      <c r="U795" s="50"/>
      <c r="V795" s="50"/>
      <c r="W795" s="50"/>
      <c r="X795" s="50"/>
      <c r="Y795" s="50"/>
      <c r="Z795" s="50"/>
      <c r="AA795" s="50"/>
      <c r="AB795" s="50"/>
    </row>
    <row r="796" customFormat="false" ht="15.75" hidden="false" customHeight="false" outlineLevel="0" collapsed="false">
      <c r="A796" s="50"/>
      <c r="B796" s="50"/>
      <c r="C796" s="5"/>
      <c r="D796" s="48"/>
      <c r="E796" s="50"/>
      <c r="F796" s="5"/>
      <c r="G796" s="5"/>
      <c r="H796" s="5"/>
      <c r="I796" s="5"/>
      <c r="J796" s="5"/>
      <c r="K796" s="50"/>
      <c r="L796" s="50"/>
      <c r="M796" s="50"/>
      <c r="N796" s="50"/>
      <c r="O796" s="50"/>
      <c r="P796" s="50"/>
      <c r="Q796" s="50"/>
      <c r="R796" s="50"/>
      <c r="S796" s="50"/>
      <c r="T796" s="50"/>
      <c r="U796" s="50"/>
      <c r="V796" s="50"/>
      <c r="W796" s="50"/>
      <c r="X796" s="50"/>
      <c r="Y796" s="50"/>
      <c r="Z796" s="50"/>
      <c r="AA796" s="50"/>
      <c r="AB796" s="50"/>
    </row>
    <row r="797" customFormat="false" ht="15.75" hidden="false" customHeight="false" outlineLevel="0" collapsed="false">
      <c r="A797" s="50"/>
      <c r="B797" s="50"/>
      <c r="C797" s="5"/>
      <c r="D797" s="48"/>
      <c r="E797" s="50"/>
      <c r="F797" s="5"/>
      <c r="G797" s="5"/>
      <c r="H797" s="5"/>
      <c r="I797" s="5"/>
      <c r="J797" s="5"/>
      <c r="K797" s="50"/>
      <c r="L797" s="50"/>
      <c r="M797" s="50"/>
      <c r="N797" s="50"/>
      <c r="O797" s="50"/>
      <c r="P797" s="50"/>
      <c r="Q797" s="50"/>
      <c r="R797" s="50"/>
      <c r="S797" s="50"/>
      <c r="T797" s="50"/>
      <c r="U797" s="50"/>
      <c r="V797" s="50"/>
      <c r="W797" s="50"/>
      <c r="X797" s="50"/>
      <c r="Y797" s="50"/>
      <c r="Z797" s="50"/>
      <c r="AA797" s="50"/>
      <c r="AB797" s="50"/>
    </row>
    <row r="798" customFormat="false" ht="15.75" hidden="false" customHeight="false" outlineLevel="0" collapsed="false">
      <c r="A798" s="50"/>
      <c r="B798" s="50"/>
      <c r="C798" s="5"/>
      <c r="D798" s="48"/>
      <c r="E798" s="50"/>
      <c r="F798" s="5"/>
      <c r="G798" s="5"/>
      <c r="H798" s="5"/>
      <c r="I798" s="5"/>
      <c r="J798" s="5"/>
      <c r="K798" s="50"/>
      <c r="L798" s="50"/>
      <c r="M798" s="50"/>
      <c r="N798" s="50"/>
      <c r="O798" s="50"/>
      <c r="P798" s="50"/>
      <c r="Q798" s="50"/>
      <c r="R798" s="50"/>
      <c r="S798" s="50"/>
      <c r="T798" s="50"/>
      <c r="U798" s="50"/>
      <c r="V798" s="50"/>
      <c r="W798" s="50"/>
      <c r="X798" s="50"/>
      <c r="Y798" s="50"/>
      <c r="Z798" s="50"/>
      <c r="AA798" s="50"/>
      <c r="AB798" s="50"/>
    </row>
    <row r="799" customFormat="false" ht="15.75" hidden="false" customHeight="false" outlineLevel="0" collapsed="false">
      <c r="A799" s="50"/>
      <c r="B799" s="50"/>
      <c r="C799" s="5"/>
      <c r="D799" s="48"/>
      <c r="E799" s="50"/>
      <c r="F799" s="5"/>
      <c r="G799" s="5"/>
      <c r="H799" s="5"/>
      <c r="I799" s="5"/>
      <c r="J799" s="5"/>
      <c r="K799" s="50"/>
      <c r="L799" s="50"/>
      <c r="M799" s="50"/>
      <c r="N799" s="50"/>
      <c r="O799" s="50"/>
      <c r="P799" s="50"/>
      <c r="Q799" s="50"/>
      <c r="R799" s="50"/>
      <c r="S799" s="50"/>
      <c r="T799" s="50"/>
      <c r="U799" s="50"/>
      <c r="V799" s="50"/>
      <c r="W799" s="50"/>
      <c r="X799" s="50"/>
      <c r="Y799" s="50"/>
      <c r="Z799" s="50"/>
      <c r="AA799" s="50"/>
      <c r="AB799" s="50"/>
    </row>
    <row r="800" customFormat="false" ht="15.75" hidden="false" customHeight="false" outlineLevel="0" collapsed="false">
      <c r="A800" s="50"/>
      <c r="B800" s="50"/>
      <c r="C800" s="5"/>
      <c r="D800" s="48"/>
      <c r="E800" s="50"/>
      <c r="F800" s="5"/>
      <c r="G800" s="5"/>
      <c r="H800" s="5"/>
      <c r="I800" s="5"/>
      <c r="J800" s="5"/>
      <c r="K800" s="50"/>
      <c r="L800" s="50"/>
      <c r="M800" s="50"/>
      <c r="N800" s="50"/>
      <c r="O800" s="50"/>
      <c r="P800" s="50"/>
      <c r="Q800" s="50"/>
      <c r="R800" s="50"/>
      <c r="S800" s="50"/>
      <c r="T800" s="50"/>
      <c r="U800" s="50"/>
      <c r="V800" s="50"/>
      <c r="W800" s="50"/>
      <c r="X800" s="50"/>
      <c r="Y800" s="50"/>
      <c r="Z800" s="50"/>
      <c r="AA800" s="50"/>
      <c r="AB800" s="50"/>
    </row>
    <row r="801" customFormat="false" ht="15.75" hidden="false" customHeight="false" outlineLevel="0" collapsed="false">
      <c r="A801" s="50"/>
      <c r="B801" s="50"/>
      <c r="C801" s="5"/>
      <c r="D801" s="48"/>
      <c r="E801" s="50"/>
      <c r="F801" s="5"/>
      <c r="G801" s="5"/>
      <c r="H801" s="5"/>
      <c r="I801" s="5"/>
      <c r="J801" s="5"/>
      <c r="K801" s="50"/>
      <c r="L801" s="50"/>
      <c r="M801" s="50"/>
      <c r="N801" s="50"/>
      <c r="O801" s="50"/>
      <c r="P801" s="50"/>
      <c r="Q801" s="50"/>
      <c r="R801" s="50"/>
      <c r="S801" s="50"/>
      <c r="T801" s="50"/>
      <c r="U801" s="50"/>
      <c r="V801" s="50"/>
      <c r="W801" s="50"/>
      <c r="X801" s="50"/>
      <c r="Y801" s="50"/>
      <c r="Z801" s="50"/>
      <c r="AA801" s="50"/>
      <c r="AB801" s="50"/>
    </row>
    <row r="802" customFormat="false" ht="15.75" hidden="false" customHeight="false" outlineLevel="0" collapsed="false">
      <c r="A802" s="50"/>
      <c r="B802" s="50"/>
      <c r="C802" s="5"/>
      <c r="D802" s="48"/>
      <c r="E802" s="50"/>
      <c r="F802" s="5"/>
      <c r="G802" s="5"/>
      <c r="H802" s="5"/>
      <c r="I802" s="5"/>
      <c r="J802" s="5"/>
      <c r="K802" s="50"/>
      <c r="L802" s="50"/>
      <c r="M802" s="50"/>
      <c r="N802" s="50"/>
      <c r="O802" s="50"/>
      <c r="P802" s="50"/>
      <c r="Q802" s="50"/>
      <c r="R802" s="50"/>
      <c r="S802" s="50"/>
      <c r="T802" s="50"/>
      <c r="U802" s="50"/>
      <c r="V802" s="50"/>
      <c r="W802" s="50"/>
      <c r="X802" s="50"/>
      <c r="Y802" s="50"/>
      <c r="Z802" s="50"/>
      <c r="AA802" s="50"/>
      <c r="AB802" s="50"/>
    </row>
    <row r="803" customFormat="false" ht="15.75" hidden="false" customHeight="false" outlineLevel="0" collapsed="false">
      <c r="A803" s="50"/>
      <c r="B803" s="50"/>
      <c r="C803" s="5"/>
      <c r="D803" s="48"/>
      <c r="E803" s="50"/>
      <c r="F803" s="5"/>
      <c r="G803" s="5"/>
      <c r="H803" s="5"/>
      <c r="I803" s="5"/>
      <c r="J803" s="5"/>
      <c r="K803" s="50"/>
      <c r="L803" s="50"/>
      <c r="M803" s="50"/>
      <c r="N803" s="50"/>
      <c r="O803" s="50"/>
      <c r="P803" s="50"/>
      <c r="Q803" s="50"/>
      <c r="R803" s="50"/>
      <c r="S803" s="50"/>
      <c r="T803" s="50"/>
      <c r="U803" s="50"/>
      <c r="V803" s="50"/>
      <c r="W803" s="50"/>
      <c r="X803" s="50"/>
      <c r="Y803" s="50"/>
      <c r="Z803" s="50"/>
      <c r="AA803" s="50"/>
      <c r="AB803" s="50"/>
    </row>
    <row r="804" customFormat="false" ht="15.75" hidden="false" customHeight="false" outlineLevel="0" collapsed="false">
      <c r="A804" s="50"/>
      <c r="B804" s="50"/>
      <c r="C804" s="5"/>
      <c r="D804" s="48"/>
      <c r="E804" s="50"/>
      <c r="F804" s="5"/>
      <c r="G804" s="5"/>
      <c r="H804" s="5"/>
      <c r="I804" s="5"/>
      <c r="J804" s="5"/>
      <c r="K804" s="50"/>
      <c r="L804" s="50"/>
      <c r="M804" s="50"/>
      <c r="N804" s="50"/>
      <c r="O804" s="50"/>
      <c r="P804" s="50"/>
      <c r="Q804" s="50"/>
      <c r="R804" s="50"/>
      <c r="S804" s="50"/>
      <c r="T804" s="50"/>
      <c r="U804" s="50"/>
      <c r="V804" s="50"/>
      <c r="W804" s="50"/>
      <c r="X804" s="50"/>
      <c r="Y804" s="50"/>
      <c r="Z804" s="50"/>
      <c r="AA804" s="50"/>
      <c r="AB804" s="50"/>
    </row>
    <row r="805" customFormat="false" ht="15.75" hidden="false" customHeight="false" outlineLevel="0" collapsed="false">
      <c r="A805" s="50"/>
      <c r="B805" s="50"/>
      <c r="C805" s="5"/>
      <c r="D805" s="48"/>
      <c r="E805" s="50"/>
      <c r="F805" s="5"/>
      <c r="G805" s="5"/>
      <c r="H805" s="5"/>
      <c r="I805" s="5"/>
      <c r="J805" s="5"/>
      <c r="K805" s="50"/>
      <c r="L805" s="50"/>
      <c r="M805" s="50"/>
      <c r="N805" s="50"/>
      <c r="O805" s="50"/>
      <c r="P805" s="50"/>
      <c r="Q805" s="50"/>
      <c r="R805" s="50"/>
      <c r="S805" s="50"/>
      <c r="T805" s="50"/>
      <c r="U805" s="50"/>
      <c r="V805" s="50"/>
      <c r="W805" s="50"/>
      <c r="X805" s="50"/>
      <c r="Y805" s="50"/>
      <c r="Z805" s="50"/>
      <c r="AA805" s="50"/>
      <c r="AB805" s="50"/>
    </row>
    <row r="806" customFormat="false" ht="15.75" hidden="false" customHeight="false" outlineLevel="0" collapsed="false">
      <c r="A806" s="50"/>
      <c r="B806" s="50"/>
      <c r="C806" s="5"/>
      <c r="D806" s="48"/>
      <c r="E806" s="50"/>
      <c r="F806" s="5"/>
      <c r="G806" s="5"/>
      <c r="H806" s="5"/>
      <c r="I806" s="5"/>
      <c r="J806" s="5"/>
      <c r="K806" s="50"/>
      <c r="L806" s="50"/>
      <c r="M806" s="50"/>
      <c r="N806" s="50"/>
      <c r="O806" s="50"/>
      <c r="P806" s="50"/>
      <c r="Q806" s="50"/>
      <c r="R806" s="50"/>
      <c r="S806" s="50"/>
      <c r="T806" s="50"/>
      <c r="U806" s="50"/>
      <c r="V806" s="50"/>
      <c r="W806" s="50"/>
      <c r="X806" s="50"/>
      <c r="Y806" s="50"/>
      <c r="Z806" s="50"/>
      <c r="AA806" s="50"/>
      <c r="AB806" s="50"/>
    </row>
    <row r="807" customFormat="false" ht="15.75" hidden="false" customHeight="false" outlineLevel="0" collapsed="false">
      <c r="A807" s="50"/>
      <c r="B807" s="50"/>
      <c r="C807" s="5"/>
      <c r="D807" s="48"/>
      <c r="E807" s="50"/>
      <c r="F807" s="5"/>
      <c r="G807" s="5"/>
      <c r="H807" s="5"/>
      <c r="I807" s="5"/>
      <c r="J807" s="5"/>
      <c r="K807" s="50"/>
      <c r="L807" s="50"/>
      <c r="M807" s="50"/>
      <c r="N807" s="50"/>
      <c r="O807" s="50"/>
      <c r="P807" s="50"/>
      <c r="Q807" s="50"/>
      <c r="R807" s="50"/>
      <c r="S807" s="50"/>
      <c r="T807" s="50"/>
      <c r="U807" s="50"/>
      <c r="V807" s="50"/>
      <c r="W807" s="50"/>
      <c r="X807" s="50"/>
      <c r="Y807" s="50"/>
      <c r="Z807" s="50"/>
      <c r="AA807" s="50"/>
      <c r="AB807" s="50"/>
    </row>
    <row r="808" customFormat="false" ht="15.75" hidden="false" customHeight="false" outlineLevel="0" collapsed="false">
      <c r="A808" s="50"/>
      <c r="B808" s="50"/>
      <c r="C808" s="5"/>
      <c r="D808" s="48"/>
      <c r="E808" s="50"/>
      <c r="F808" s="5"/>
      <c r="G808" s="5"/>
      <c r="H808" s="5"/>
      <c r="I808" s="5"/>
      <c r="J808" s="5"/>
      <c r="K808" s="50"/>
      <c r="L808" s="50"/>
      <c r="M808" s="50"/>
      <c r="N808" s="50"/>
      <c r="O808" s="50"/>
      <c r="P808" s="50"/>
      <c r="Q808" s="50"/>
      <c r="R808" s="50"/>
      <c r="S808" s="50"/>
      <c r="T808" s="50"/>
      <c r="U808" s="50"/>
      <c r="V808" s="50"/>
      <c r="W808" s="50"/>
      <c r="X808" s="50"/>
      <c r="Y808" s="50"/>
      <c r="Z808" s="50"/>
      <c r="AA808" s="50"/>
      <c r="AB808" s="50"/>
    </row>
    <row r="809" customFormat="false" ht="15.75" hidden="false" customHeight="false" outlineLevel="0" collapsed="false">
      <c r="A809" s="50"/>
      <c r="B809" s="50"/>
      <c r="C809" s="5"/>
      <c r="D809" s="48"/>
      <c r="E809" s="50"/>
      <c r="F809" s="5"/>
      <c r="G809" s="5"/>
      <c r="H809" s="5"/>
      <c r="I809" s="5"/>
      <c r="J809" s="5"/>
      <c r="K809" s="50"/>
      <c r="L809" s="50"/>
      <c r="M809" s="50"/>
      <c r="N809" s="50"/>
      <c r="O809" s="50"/>
      <c r="P809" s="50"/>
      <c r="Q809" s="50"/>
      <c r="R809" s="50"/>
      <c r="S809" s="50"/>
      <c r="T809" s="50"/>
      <c r="U809" s="50"/>
      <c r="V809" s="50"/>
      <c r="W809" s="50"/>
      <c r="X809" s="50"/>
      <c r="Y809" s="50"/>
      <c r="Z809" s="50"/>
      <c r="AA809" s="50"/>
      <c r="AB809" s="50"/>
    </row>
    <row r="810" customFormat="false" ht="15.75" hidden="false" customHeight="false" outlineLevel="0" collapsed="false">
      <c r="A810" s="50"/>
      <c r="B810" s="50"/>
      <c r="C810" s="5"/>
      <c r="D810" s="48"/>
      <c r="E810" s="50"/>
      <c r="F810" s="5"/>
      <c r="G810" s="5"/>
      <c r="H810" s="5"/>
      <c r="I810" s="5"/>
      <c r="J810" s="5"/>
      <c r="K810" s="50"/>
      <c r="L810" s="50"/>
      <c r="M810" s="50"/>
      <c r="N810" s="50"/>
      <c r="O810" s="50"/>
      <c r="P810" s="50"/>
      <c r="Q810" s="50"/>
      <c r="R810" s="50"/>
      <c r="S810" s="50"/>
      <c r="T810" s="50"/>
      <c r="U810" s="50"/>
      <c r="V810" s="50"/>
      <c r="W810" s="50"/>
      <c r="X810" s="50"/>
      <c r="Y810" s="50"/>
      <c r="Z810" s="50"/>
      <c r="AA810" s="50"/>
      <c r="AB810" s="50"/>
    </row>
    <row r="811" customFormat="false" ht="15.75" hidden="false" customHeight="false" outlineLevel="0" collapsed="false">
      <c r="A811" s="50"/>
      <c r="B811" s="50"/>
      <c r="C811" s="5"/>
      <c r="D811" s="48"/>
      <c r="E811" s="50"/>
      <c r="F811" s="5"/>
      <c r="G811" s="5"/>
      <c r="H811" s="5"/>
      <c r="I811" s="5"/>
      <c r="J811" s="5"/>
      <c r="K811" s="50"/>
      <c r="L811" s="50"/>
      <c r="M811" s="50"/>
      <c r="N811" s="50"/>
      <c r="O811" s="50"/>
      <c r="P811" s="50"/>
      <c r="Q811" s="50"/>
      <c r="R811" s="50"/>
      <c r="S811" s="50"/>
      <c r="T811" s="50"/>
      <c r="U811" s="50"/>
      <c r="V811" s="50"/>
      <c r="W811" s="50"/>
      <c r="X811" s="50"/>
      <c r="Y811" s="50"/>
      <c r="Z811" s="50"/>
      <c r="AA811" s="50"/>
      <c r="AB811" s="50"/>
    </row>
    <row r="812" customFormat="false" ht="15.75" hidden="false" customHeight="false" outlineLevel="0" collapsed="false">
      <c r="A812" s="50"/>
      <c r="B812" s="50"/>
      <c r="C812" s="5"/>
      <c r="D812" s="48"/>
      <c r="E812" s="50"/>
      <c r="F812" s="5"/>
      <c r="G812" s="5"/>
      <c r="H812" s="5"/>
      <c r="I812" s="5"/>
      <c r="J812" s="5"/>
      <c r="K812" s="50"/>
      <c r="L812" s="50"/>
      <c r="M812" s="50"/>
      <c r="N812" s="50"/>
      <c r="O812" s="50"/>
      <c r="P812" s="50"/>
      <c r="Q812" s="50"/>
      <c r="R812" s="50"/>
      <c r="S812" s="50"/>
      <c r="T812" s="50"/>
      <c r="U812" s="50"/>
      <c r="V812" s="50"/>
      <c r="W812" s="50"/>
      <c r="X812" s="50"/>
      <c r="Y812" s="50"/>
      <c r="Z812" s="50"/>
      <c r="AA812" s="50"/>
      <c r="AB812" s="50"/>
    </row>
    <row r="813" customFormat="false" ht="15.75" hidden="false" customHeight="false" outlineLevel="0" collapsed="false">
      <c r="A813" s="50"/>
      <c r="B813" s="50"/>
      <c r="C813" s="5"/>
      <c r="D813" s="48"/>
      <c r="E813" s="50"/>
      <c r="F813" s="5"/>
      <c r="G813" s="5"/>
      <c r="H813" s="5"/>
      <c r="I813" s="5"/>
      <c r="J813" s="5"/>
      <c r="K813" s="50"/>
      <c r="L813" s="50"/>
      <c r="M813" s="50"/>
      <c r="N813" s="50"/>
      <c r="O813" s="50"/>
      <c r="P813" s="50"/>
      <c r="Q813" s="50"/>
      <c r="R813" s="50"/>
      <c r="S813" s="50"/>
      <c r="T813" s="50"/>
      <c r="U813" s="50"/>
      <c r="V813" s="50"/>
      <c r="W813" s="50"/>
      <c r="X813" s="50"/>
      <c r="Y813" s="50"/>
      <c r="Z813" s="50"/>
      <c r="AA813" s="50"/>
      <c r="AB813" s="50"/>
    </row>
    <row r="814" customFormat="false" ht="15.75" hidden="false" customHeight="false" outlineLevel="0" collapsed="false">
      <c r="A814" s="50"/>
      <c r="B814" s="50"/>
      <c r="C814" s="5"/>
      <c r="D814" s="48"/>
      <c r="E814" s="50"/>
      <c r="F814" s="5"/>
      <c r="G814" s="5"/>
      <c r="H814" s="5"/>
      <c r="I814" s="5"/>
      <c r="J814" s="5"/>
      <c r="K814" s="50"/>
      <c r="L814" s="50"/>
      <c r="M814" s="50"/>
      <c r="N814" s="50"/>
      <c r="O814" s="50"/>
      <c r="P814" s="50"/>
      <c r="Q814" s="50"/>
      <c r="R814" s="50"/>
      <c r="S814" s="50"/>
      <c r="T814" s="50"/>
      <c r="U814" s="50"/>
      <c r="V814" s="50"/>
      <c r="W814" s="50"/>
      <c r="X814" s="50"/>
      <c r="Y814" s="50"/>
      <c r="Z814" s="50"/>
      <c r="AA814" s="50"/>
      <c r="AB814" s="50"/>
    </row>
    <row r="815" customFormat="false" ht="15.75" hidden="false" customHeight="false" outlineLevel="0" collapsed="false">
      <c r="A815" s="50"/>
      <c r="B815" s="50"/>
      <c r="C815" s="5"/>
      <c r="D815" s="48"/>
      <c r="E815" s="50"/>
      <c r="F815" s="5"/>
      <c r="G815" s="5"/>
      <c r="H815" s="5"/>
      <c r="I815" s="5"/>
      <c r="J815" s="5"/>
      <c r="K815" s="50"/>
      <c r="L815" s="50"/>
      <c r="M815" s="50"/>
      <c r="N815" s="50"/>
      <c r="O815" s="50"/>
      <c r="P815" s="50"/>
      <c r="Q815" s="50"/>
      <c r="R815" s="50"/>
      <c r="S815" s="50"/>
      <c r="T815" s="50"/>
      <c r="U815" s="50"/>
      <c r="V815" s="50"/>
      <c r="W815" s="50"/>
      <c r="X815" s="50"/>
      <c r="Y815" s="50"/>
      <c r="Z815" s="50"/>
      <c r="AA815" s="50"/>
      <c r="AB815" s="50"/>
    </row>
    <row r="816" customFormat="false" ht="15.75" hidden="false" customHeight="false" outlineLevel="0" collapsed="false">
      <c r="A816" s="50"/>
      <c r="B816" s="50"/>
      <c r="C816" s="5"/>
      <c r="D816" s="48"/>
      <c r="E816" s="50"/>
      <c r="F816" s="5"/>
      <c r="G816" s="5"/>
      <c r="H816" s="5"/>
      <c r="I816" s="5"/>
      <c r="J816" s="5"/>
      <c r="K816" s="50"/>
      <c r="L816" s="50"/>
      <c r="M816" s="50"/>
      <c r="N816" s="50"/>
      <c r="O816" s="50"/>
      <c r="P816" s="50"/>
      <c r="Q816" s="50"/>
      <c r="R816" s="50"/>
      <c r="S816" s="50"/>
      <c r="T816" s="50"/>
      <c r="U816" s="50"/>
      <c r="V816" s="50"/>
      <c r="W816" s="50"/>
      <c r="X816" s="50"/>
      <c r="Y816" s="50"/>
      <c r="Z816" s="50"/>
      <c r="AA816" s="50"/>
      <c r="AB816" s="50"/>
    </row>
    <row r="817" customFormat="false" ht="15.75" hidden="false" customHeight="false" outlineLevel="0" collapsed="false">
      <c r="A817" s="50"/>
      <c r="B817" s="50"/>
      <c r="C817" s="5"/>
      <c r="D817" s="48"/>
      <c r="E817" s="50"/>
      <c r="F817" s="5"/>
      <c r="G817" s="5"/>
      <c r="H817" s="5"/>
      <c r="I817" s="5"/>
      <c r="J817" s="5"/>
      <c r="K817" s="50"/>
      <c r="L817" s="50"/>
      <c r="M817" s="50"/>
      <c r="N817" s="50"/>
      <c r="O817" s="50"/>
      <c r="P817" s="50"/>
      <c r="Q817" s="50"/>
      <c r="R817" s="50"/>
      <c r="S817" s="50"/>
      <c r="T817" s="50"/>
      <c r="U817" s="50"/>
      <c r="V817" s="50"/>
      <c r="W817" s="50"/>
      <c r="X817" s="50"/>
      <c r="Y817" s="50"/>
      <c r="Z817" s="50"/>
      <c r="AA817" s="50"/>
      <c r="AB817" s="50"/>
    </row>
    <row r="818" customFormat="false" ht="15.75" hidden="false" customHeight="false" outlineLevel="0" collapsed="false">
      <c r="A818" s="50"/>
      <c r="B818" s="50"/>
      <c r="C818" s="5"/>
      <c r="D818" s="48"/>
      <c r="E818" s="50"/>
      <c r="F818" s="5"/>
      <c r="G818" s="5"/>
      <c r="H818" s="5"/>
      <c r="I818" s="5"/>
      <c r="J818" s="5"/>
      <c r="K818" s="50"/>
      <c r="L818" s="50"/>
      <c r="M818" s="50"/>
      <c r="N818" s="50"/>
      <c r="O818" s="50"/>
      <c r="P818" s="50"/>
      <c r="Q818" s="50"/>
      <c r="R818" s="50"/>
      <c r="S818" s="50"/>
      <c r="T818" s="50"/>
      <c r="U818" s="50"/>
      <c r="V818" s="50"/>
      <c r="W818" s="50"/>
      <c r="X818" s="50"/>
      <c r="Y818" s="50"/>
      <c r="Z818" s="50"/>
      <c r="AA818" s="50"/>
      <c r="AB818" s="50"/>
    </row>
    <row r="819" customFormat="false" ht="15.75" hidden="false" customHeight="false" outlineLevel="0" collapsed="false">
      <c r="A819" s="50"/>
      <c r="B819" s="50"/>
      <c r="C819" s="5"/>
      <c r="D819" s="48"/>
      <c r="E819" s="50"/>
      <c r="F819" s="5"/>
      <c r="G819" s="5"/>
      <c r="H819" s="5"/>
      <c r="I819" s="5"/>
      <c r="J819" s="5"/>
      <c r="K819" s="50"/>
      <c r="L819" s="50"/>
      <c r="M819" s="50"/>
      <c r="N819" s="50"/>
      <c r="O819" s="50"/>
      <c r="P819" s="50"/>
      <c r="Q819" s="50"/>
      <c r="R819" s="50"/>
      <c r="S819" s="50"/>
      <c r="T819" s="50"/>
      <c r="U819" s="50"/>
      <c r="V819" s="50"/>
      <c r="W819" s="50"/>
      <c r="X819" s="50"/>
      <c r="Y819" s="50"/>
      <c r="Z819" s="50"/>
      <c r="AA819" s="50"/>
      <c r="AB819" s="50"/>
    </row>
    <row r="820" customFormat="false" ht="15.75" hidden="false" customHeight="false" outlineLevel="0" collapsed="false">
      <c r="A820" s="50"/>
      <c r="B820" s="50"/>
      <c r="C820" s="5"/>
      <c r="D820" s="48"/>
      <c r="E820" s="50"/>
      <c r="F820" s="5"/>
      <c r="G820" s="5"/>
      <c r="H820" s="5"/>
      <c r="I820" s="5"/>
      <c r="J820" s="5"/>
      <c r="K820" s="50"/>
      <c r="L820" s="50"/>
      <c r="M820" s="50"/>
      <c r="N820" s="50"/>
      <c r="O820" s="50"/>
      <c r="P820" s="50"/>
      <c r="Q820" s="50"/>
      <c r="R820" s="50"/>
      <c r="S820" s="50"/>
      <c r="T820" s="50"/>
      <c r="U820" s="50"/>
      <c r="V820" s="50"/>
      <c r="W820" s="50"/>
      <c r="X820" s="50"/>
      <c r="Y820" s="50"/>
      <c r="Z820" s="50"/>
      <c r="AA820" s="50"/>
      <c r="AB820" s="50"/>
    </row>
    <row r="821" customFormat="false" ht="15.75" hidden="false" customHeight="false" outlineLevel="0" collapsed="false">
      <c r="A821" s="50"/>
      <c r="B821" s="50"/>
      <c r="C821" s="5"/>
      <c r="D821" s="48"/>
      <c r="E821" s="50"/>
      <c r="F821" s="5"/>
      <c r="G821" s="5"/>
      <c r="H821" s="5"/>
      <c r="I821" s="5"/>
      <c r="J821" s="5"/>
      <c r="K821" s="50"/>
      <c r="L821" s="50"/>
      <c r="M821" s="50"/>
      <c r="N821" s="50"/>
      <c r="O821" s="50"/>
      <c r="P821" s="50"/>
      <c r="Q821" s="50"/>
      <c r="R821" s="50"/>
      <c r="S821" s="50"/>
      <c r="T821" s="50"/>
      <c r="U821" s="50"/>
      <c r="V821" s="50"/>
      <c r="W821" s="50"/>
      <c r="X821" s="50"/>
      <c r="Y821" s="50"/>
      <c r="Z821" s="50"/>
      <c r="AA821" s="50"/>
      <c r="AB821" s="50"/>
    </row>
    <row r="822" customFormat="false" ht="15.75" hidden="false" customHeight="false" outlineLevel="0" collapsed="false">
      <c r="A822" s="50"/>
      <c r="B822" s="50"/>
      <c r="C822" s="5"/>
      <c r="D822" s="48"/>
      <c r="E822" s="50"/>
      <c r="F822" s="5"/>
      <c r="G822" s="5"/>
      <c r="H822" s="5"/>
      <c r="I822" s="5"/>
      <c r="J822" s="5"/>
      <c r="K822" s="50"/>
      <c r="L822" s="50"/>
      <c r="M822" s="50"/>
      <c r="N822" s="50"/>
      <c r="O822" s="50"/>
      <c r="P822" s="50"/>
      <c r="Q822" s="50"/>
      <c r="R822" s="50"/>
      <c r="S822" s="50"/>
      <c r="T822" s="50"/>
      <c r="U822" s="50"/>
      <c r="V822" s="50"/>
      <c r="W822" s="50"/>
      <c r="X822" s="50"/>
      <c r="Y822" s="50"/>
      <c r="Z822" s="50"/>
      <c r="AA822" s="50"/>
      <c r="AB822" s="50"/>
    </row>
    <row r="823" customFormat="false" ht="15.75" hidden="false" customHeight="false" outlineLevel="0" collapsed="false">
      <c r="A823" s="50"/>
      <c r="B823" s="50"/>
      <c r="C823" s="5"/>
      <c r="D823" s="48"/>
      <c r="E823" s="50"/>
      <c r="F823" s="5"/>
      <c r="G823" s="5"/>
      <c r="H823" s="5"/>
      <c r="I823" s="5"/>
      <c r="J823" s="5"/>
      <c r="K823" s="50"/>
      <c r="L823" s="50"/>
      <c r="M823" s="50"/>
      <c r="N823" s="50"/>
      <c r="O823" s="50"/>
      <c r="P823" s="50"/>
      <c r="Q823" s="50"/>
      <c r="R823" s="50"/>
      <c r="S823" s="50"/>
      <c r="T823" s="50"/>
      <c r="U823" s="50"/>
      <c r="V823" s="50"/>
      <c r="W823" s="50"/>
      <c r="X823" s="50"/>
      <c r="Y823" s="50"/>
      <c r="Z823" s="50"/>
      <c r="AA823" s="50"/>
      <c r="AB823" s="50"/>
    </row>
    <row r="824" customFormat="false" ht="15.75" hidden="false" customHeight="false" outlineLevel="0" collapsed="false">
      <c r="A824" s="50"/>
      <c r="B824" s="50"/>
      <c r="C824" s="5"/>
      <c r="D824" s="48"/>
      <c r="E824" s="50"/>
      <c r="F824" s="5"/>
      <c r="G824" s="5"/>
      <c r="H824" s="5"/>
      <c r="I824" s="5"/>
      <c r="J824" s="5"/>
      <c r="K824" s="50"/>
      <c r="L824" s="50"/>
      <c r="M824" s="50"/>
      <c r="N824" s="50"/>
      <c r="O824" s="50"/>
      <c r="P824" s="50"/>
      <c r="Q824" s="50"/>
      <c r="R824" s="50"/>
      <c r="S824" s="50"/>
      <c r="T824" s="50"/>
      <c r="U824" s="50"/>
      <c r="V824" s="50"/>
      <c r="W824" s="50"/>
      <c r="X824" s="50"/>
      <c r="Y824" s="50"/>
      <c r="Z824" s="50"/>
      <c r="AA824" s="50"/>
      <c r="AB824" s="50"/>
    </row>
    <row r="825" customFormat="false" ht="15.75" hidden="false" customHeight="false" outlineLevel="0" collapsed="false">
      <c r="A825" s="50"/>
      <c r="B825" s="50"/>
      <c r="C825" s="5"/>
      <c r="D825" s="48"/>
      <c r="E825" s="50"/>
      <c r="F825" s="5"/>
      <c r="G825" s="5"/>
      <c r="H825" s="5"/>
      <c r="I825" s="5"/>
      <c r="J825" s="5"/>
      <c r="K825" s="50"/>
      <c r="L825" s="50"/>
      <c r="M825" s="50"/>
      <c r="N825" s="50"/>
      <c r="O825" s="50"/>
      <c r="P825" s="50"/>
      <c r="Q825" s="50"/>
      <c r="R825" s="50"/>
      <c r="S825" s="50"/>
      <c r="T825" s="50"/>
      <c r="U825" s="50"/>
      <c r="V825" s="50"/>
      <c r="W825" s="50"/>
      <c r="X825" s="50"/>
      <c r="Y825" s="50"/>
      <c r="Z825" s="50"/>
      <c r="AA825" s="50"/>
      <c r="AB825" s="50"/>
    </row>
    <row r="826" customFormat="false" ht="15.75" hidden="false" customHeight="false" outlineLevel="0" collapsed="false">
      <c r="A826" s="50"/>
      <c r="B826" s="50"/>
      <c r="C826" s="5"/>
      <c r="D826" s="48"/>
      <c r="E826" s="50"/>
      <c r="F826" s="5"/>
      <c r="G826" s="5"/>
      <c r="H826" s="5"/>
      <c r="I826" s="5"/>
      <c r="J826" s="5"/>
      <c r="K826" s="50"/>
      <c r="L826" s="50"/>
      <c r="M826" s="50"/>
      <c r="N826" s="50"/>
      <c r="O826" s="50"/>
      <c r="P826" s="50"/>
      <c r="Q826" s="50"/>
      <c r="R826" s="50"/>
      <c r="S826" s="50"/>
      <c r="T826" s="50"/>
      <c r="U826" s="50"/>
      <c r="V826" s="50"/>
      <c r="W826" s="50"/>
      <c r="X826" s="50"/>
      <c r="Y826" s="50"/>
      <c r="Z826" s="50"/>
      <c r="AA826" s="50"/>
      <c r="AB826" s="50"/>
    </row>
    <row r="827" customFormat="false" ht="15.75" hidden="false" customHeight="false" outlineLevel="0" collapsed="false">
      <c r="A827" s="50"/>
      <c r="B827" s="50"/>
      <c r="C827" s="5"/>
      <c r="D827" s="48"/>
      <c r="E827" s="50"/>
      <c r="F827" s="5"/>
      <c r="G827" s="5"/>
      <c r="H827" s="5"/>
      <c r="I827" s="5"/>
      <c r="J827" s="5"/>
      <c r="K827" s="50"/>
      <c r="L827" s="50"/>
      <c r="M827" s="50"/>
      <c r="N827" s="50"/>
      <c r="O827" s="50"/>
      <c r="P827" s="50"/>
      <c r="Q827" s="50"/>
      <c r="R827" s="50"/>
      <c r="S827" s="50"/>
      <c r="T827" s="50"/>
      <c r="U827" s="50"/>
      <c r="V827" s="50"/>
      <c r="W827" s="50"/>
      <c r="X827" s="50"/>
      <c r="Y827" s="50"/>
      <c r="Z827" s="50"/>
      <c r="AA827" s="50"/>
      <c r="AB827" s="50"/>
    </row>
    <row r="828" customFormat="false" ht="15.75" hidden="false" customHeight="false" outlineLevel="0" collapsed="false">
      <c r="A828" s="50"/>
      <c r="B828" s="50"/>
      <c r="C828" s="5"/>
      <c r="D828" s="48"/>
      <c r="E828" s="50"/>
      <c r="F828" s="5"/>
      <c r="G828" s="5"/>
      <c r="H828" s="5"/>
      <c r="I828" s="5"/>
      <c r="J828" s="5"/>
      <c r="K828" s="50"/>
      <c r="L828" s="50"/>
      <c r="M828" s="50"/>
      <c r="N828" s="50"/>
      <c r="O828" s="50"/>
      <c r="P828" s="50"/>
      <c r="Q828" s="50"/>
      <c r="R828" s="50"/>
      <c r="S828" s="50"/>
      <c r="T828" s="50"/>
      <c r="U828" s="50"/>
      <c r="V828" s="50"/>
      <c r="W828" s="50"/>
      <c r="X828" s="50"/>
      <c r="Y828" s="50"/>
      <c r="Z828" s="50"/>
      <c r="AA828" s="50"/>
      <c r="AB828" s="50"/>
    </row>
    <row r="829" customFormat="false" ht="15.75" hidden="false" customHeight="false" outlineLevel="0" collapsed="false">
      <c r="A829" s="50"/>
      <c r="B829" s="50"/>
      <c r="C829" s="5"/>
      <c r="D829" s="48"/>
      <c r="E829" s="50"/>
      <c r="F829" s="5"/>
      <c r="G829" s="5"/>
      <c r="H829" s="5"/>
      <c r="I829" s="5"/>
      <c r="J829" s="5"/>
      <c r="K829" s="50"/>
      <c r="L829" s="50"/>
      <c r="M829" s="50"/>
      <c r="N829" s="50"/>
      <c r="O829" s="50"/>
      <c r="P829" s="50"/>
      <c r="Q829" s="50"/>
      <c r="R829" s="50"/>
      <c r="S829" s="50"/>
      <c r="T829" s="50"/>
      <c r="U829" s="50"/>
      <c r="V829" s="50"/>
      <c r="W829" s="50"/>
      <c r="X829" s="50"/>
      <c r="Y829" s="50"/>
      <c r="Z829" s="50"/>
      <c r="AA829" s="50"/>
      <c r="AB829" s="50"/>
    </row>
    <row r="830" customFormat="false" ht="15.75" hidden="false" customHeight="false" outlineLevel="0" collapsed="false">
      <c r="A830" s="50"/>
      <c r="B830" s="50"/>
      <c r="C830" s="5"/>
      <c r="D830" s="48"/>
      <c r="E830" s="50"/>
      <c r="F830" s="5"/>
      <c r="G830" s="5"/>
      <c r="H830" s="5"/>
      <c r="I830" s="5"/>
      <c r="J830" s="5"/>
      <c r="K830" s="50"/>
      <c r="L830" s="50"/>
      <c r="M830" s="50"/>
      <c r="N830" s="50"/>
      <c r="O830" s="50"/>
      <c r="P830" s="50"/>
      <c r="Q830" s="50"/>
      <c r="R830" s="50"/>
      <c r="S830" s="50"/>
      <c r="T830" s="50"/>
      <c r="U830" s="50"/>
      <c r="V830" s="50"/>
      <c r="W830" s="50"/>
      <c r="X830" s="50"/>
      <c r="Y830" s="50"/>
      <c r="Z830" s="50"/>
      <c r="AA830" s="50"/>
      <c r="AB830" s="50"/>
    </row>
    <row r="831" customFormat="false" ht="15.75" hidden="false" customHeight="false" outlineLevel="0" collapsed="false">
      <c r="A831" s="50"/>
      <c r="B831" s="50"/>
      <c r="C831" s="5"/>
      <c r="D831" s="48"/>
      <c r="E831" s="50"/>
      <c r="F831" s="5"/>
      <c r="G831" s="5"/>
      <c r="H831" s="5"/>
      <c r="I831" s="5"/>
      <c r="J831" s="5"/>
      <c r="K831" s="50"/>
      <c r="L831" s="50"/>
      <c r="M831" s="50"/>
      <c r="N831" s="50"/>
      <c r="O831" s="50"/>
      <c r="P831" s="50"/>
      <c r="Q831" s="50"/>
      <c r="R831" s="50"/>
      <c r="S831" s="50"/>
      <c r="T831" s="50"/>
      <c r="U831" s="50"/>
      <c r="V831" s="50"/>
      <c r="W831" s="50"/>
      <c r="X831" s="50"/>
      <c r="Y831" s="50"/>
      <c r="Z831" s="50"/>
      <c r="AA831" s="50"/>
      <c r="AB831" s="50"/>
    </row>
    <row r="832" customFormat="false" ht="15.75" hidden="false" customHeight="false" outlineLevel="0" collapsed="false">
      <c r="A832" s="50"/>
      <c r="B832" s="50"/>
      <c r="C832" s="5"/>
      <c r="D832" s="48"/>
      <c r="E832" s="50"/>
      <c r="F832" s="5"/>
      <c r="G832" s="5"/>
      <c r="H832" s="5"/>
      <c r="I832" s="5"/>
      <c r="J832" s="5"/>
      <c r="K832" s="50"/>
      <c r="L832" s="50"/>
      <c r="M832" s="50"/>
      <c r="N832" s="50"/>
      <c r="O832" s="50"/>
      <c r="P832" s="50"/>
      <c r="Q832" s="50"/>
      <c r="R832" s="50"/>
      <c r="S832" s="50"/>
      <c r="T832" s="50"/>
      <c r="U832" s="50"/>
      <c r="V832" s="50"/>
      <c r="W832" s="50"/>
      <c r="X832" s="50"/>
      <c r="Y832" s="50"/>
      <c r="Z832" s="50"/>
      <c r="AA832" s="50"/>
      <c r="AB832" s="50"/>
    </row>
    <row r="833" customFormat="false" ht="15.75" hidden="false" customHeight="false" outlineLevel="0" collapsed="false">
      <c r="A833" s="50"/>
      <c r="B833" s="50"/>
      <c r="C833" s="5"/>
      <c r="D833" s="48"/>
      <c r="E833" s="50"/>
      <c r="F833" s="5"/>
      <c r="G833" s="5"/>
      <c r="H833" s="5"/>
      <c r="I833" s="5"/>
      <c r="J833" s="5"/>
      <c r="K833" s="50"/>
      <c r="L833" s="50"/>
      <c r="M833" s="50"/>
      <c r="N833" s="50"/>
      <c r="O833" s="50"/>
      <c r="P833" s="50"/>
      <c r="Q833" s="50"/>
      <c r="R833" s="50"/>
      <c r="S833" s="50"/>
      <c r="T833" s="50"/>
      <c r="U833" s="50"/>
      <c r="V833" s="50"/>
      <c r="W833" s="50"/>
      <c r="X833" s="50"/>
      <c r="Y833" s="50"/>
      <c r="Z833" s="50"/>
      <c r="AA833" s="50"/>
      <c r="AB833" s="50"/>
    </row>
    <row r="834" customFormat="false" ht="15.75" hidden="false" customHeight="false" outlineLevel="0" collapsed="false">
      <c r="A834" s="50"/>
      <c r="B834" s="50"/>
      <c r="C834" s="5"/>
      <c r="D834" s="48"/>
      <c r="E834" s="50"/>
      <c r="F834" s="5"/>
      <c r="G834" s="5"/>
      <c r="H834" s="5"/>
      <c r="I834" s="5"/>
      <c r="J834" s="5"/>
      <c r="K834" s="50"/>
      <c r="L834" s="50"/>
      <c r="M834" s="50"/>
      <c r="N834" s="50"/>
      <c r="O834" s="50"/>
      <c r="P834" s="50"/>
      <c r="Q834" s="50"/>
      <c r="R834" s="50"/>
      <c r="S834" s="50"/>
      <c r="T834" s="50"/>
      <c r="U834" s="50"/>
      <c r="V834" s="50"/>
      <c r="W834" s="50"/>
      <c r="X834" s="50"/>
      <c r="Y834" s="50"/>
      <c r="Z834" s="50"/>
      <c r="AA834" s="50"/>
      <c r="AB834" s="50"/>
    </row>
    <row r="835" customFormat="false" ht="15.75" hidden="false" customHeight="false" outlineLevel="0" collapsed="false">
      <c r="A835" s="50"/>
      <c r="B835" s="50"/>
      <c r="C835" s="5"/>
      <c r="D835" s="48"/>
      <c r="E835" s="50"/>
      <c r="F835" s="5"/>
      <c r="G835" s="5"/>
      <c r="H835" s="5"/>
      <c r="I835" s="5"/>
      <c r="J835" s="5"/>
      <c r="K835" s="50"/>
      <c r="L835" s="50"/>
      <c r="M835" s="50"/>
      <c r="N835" s="50"/>
      <c r="O835" s="50"/>
      <c r="P835" s="50"/>
      <c r="Q835" s="50"/>
      <c r="R835" s="50"/>
      <c r="S835" s="50"/>
      <c r="T835" s="50"/>
      <c r="U835" s="50"/>
      <c r="V835" s="50"/>
      <c r="W835" s="50"/>
      <c r="X835" s="50"/>
      <c r="Y835" s="50"/>
      <c r="Z835" s="50"/>
      <c r="AA835" s="50"/>
      <c r="AB835" s="50"/>
    </row>
    <row r="836" customFormat="false" ht="15.75" hidden="false" customHeight="false" outlineLevel="0" collapsed="false">
      <c r="A836" s="50"/>
      <c r="B836" s="50"/>
      <c r="C836" s="5"/>
      <c r="D836" s="48"/>
      <c r="E836" s="50"/>
      <c r="F836" s="5"/>
      <c r="G836" s="5"/>
      <c r="H836" s="5"/>
      <c r="I836" s="5"/>
      <c r="J836" s="5"/>
      <c r="K836" s="50"/>
      <c r="L836" s="50"/>
      <c r="M836" s="50"/>
      <c r="N836" s="50"/>
      <c r="O836" s="50"/>
      <c r="P836" s="50"/>
      <c r="Q836" s="50"/>
      <c r="R836" s="50"/>
      <c r="S836" s="50"/>
      <c r="T836" s="50"/>
      <c r="U836" s="50"/>
      <c r="V836" s="50"/>
      <c r="W836" s="50"/>
      <c r="X836" s="50"/>
      <c r="Y836" s="50"/>
      <c r="Z836" s="50"/>
      <c r="AA836" s="50"/>
      <c r="AB836" s="50"/>
    </row>
    <row r="837" customFormat="false" ht="15.75" hidden="false" customHeight="false" outlineLevel="0" collapsed="false">
      <c r="A837" s="50"/>
      <c r="B837" s="50"/>
      <c r="C837" s="5"/>
      <c r="D837" s="48"/>
      <c r="E837" s="50"/>
      <c r="F837" s="5"/>
      <c r="G837" s="5"/>
      <c r="H837" s="5"/>
      <c r="I837" s="5"/>
      <c r="J837" s="5"/>
      <c r="K837" s="50"/>
      <c r="L837" s="50"/>
      <c r="M837" s="50"/>
      <c r="N837" s="50"/>
      <c r="O837" s="50"/>
      <c r="P837" s="50"/>
      <c r="Q837" s="50"/>
      <c r="R837" s="50"/>
      <c r="S837" s="50"/>
      <c r="T837" s="50"/>
      <c r="U837" s="50"/>
      <c r="V837" s="50"/>
      <c r="W837" s="50"/>
      <c r="X837" s="50"/>
      <c r="Y837" s="50"/>
      <c r="Z837" s="50"/>
      <c r="AA837" s="50"/>
      <c r="AB837" s="50"/>
    </row>
    <row r="838" customFormat="false" ht="15.75" hidden="false" customHeight="false" outlineLevel="0" collapsed="false">
      <c r="A838" s="50"/>
      <c r="B838" s="50"/>
      <c r="C838" s="5"/>
      <c r="D838" s="48"/>
      <c r="E838" s="50"/>
      <c r="F838" s="5"/>
      <c r="G838" s="5"/>
      <c r="H838" s="5"/>
      <c r="I838" s="5"/>
      <c r="J838" s="5"/>
      <c r="K838" s="50"/>
      <c r="L838" s="50"/>
      <c r="M838" s="50"/>
      <c r="N838" s="50"/>
      <c r="O838" s="50"/>
      <c r="P838" s="50"/>
      <c r="Q838" s="50"/>
      <c r="R838" s="50"/>
      <c r="S838" s="50"/>
      <c r="T838" s="50"/>
      <c r="U838" s="50"/>
      <c r="V838" s="50"/>
      <c r="W838" s="50"/>
      <c r="X838" s="50"/>
      <c r="Y838" s="50"/>
      <c r="Z838" s="50"/>
      <c r="AA838" s="50"/>
      <c r="AB838" s="50"/>
    </row>
    <row r="839" customFormat="false" ht="15.75" hidden="false" customHeight="false" outlineLevel="0" collapsed="false">
      <c r="A839" s="50"/>
      <c r="B839" s="50"/>
      <c r="C839" s="5"/>
      <c r="D839" s="48"/>
      <c r="E839" s="50"/>
      <c r="F839" s="5"/>
      <c r="G839" s="5"/>
      <c r="H839" s="5"/>
      <c r="I839" s="5"/>
      <c r="J839" s="5"/>
      <c r="K839" s="50"/>
      <c r="L839" s="50"/>
      <c r="M839" s="50"/>
      <c r="N839" s="50"/>
      <c r="O839" s="50"/>
      <c r="P839" s="50"/>
      <c r="Q839" s="50"/>
      <c r="R839" s="50"/>
      <c r="S839" s="50"/>
      <c r="T839" s="50"/>
      <c r="U839" s="50"/>
      <c r="V839" s="50"/>
      <c r="W839" s="50"/>
      <c r="X839" s="50"/>
      <c r="Y839" s="50"/>
      <c r="Z839" s="50"/>
      <c r="AA839" s="50"/>
      <c r="AB839" s="50"/>
    </row>
    <row r="840" customFormat="false" ht="15.75" hidden="false" customHeight="false" outlineLevel="0" collapsed="false">
      <c r="A840" s="50"/>
      <c r="B840" s="50"/>
      <c r="C840" s="5"/>
      <c r="D840" s="48"/>
      <c r="E840" s="50"/>
      <c r="F840" s="5"/>
      <c r="G840" s="5"/>
      <c r="H840" s="5"/>
      <c r="I840" s="5"/>
      <c r="J840" s="5"/>
      <c r="K840" s="50"/>
      <c r="L840" s="50"/>
      <c r="M840" s="50"/>
      <c r="N840" s="50"/>
      <c r="O840" s="50"/>
      <c r="P840" s="50"/>
      <c r="Q840" s="50"/>
      <c r="R840" s="50"/>
      <c r="S840" s="50"/>
      <c r="T840" s="50"/>
      <c r="U840" s="50"/>
      <c r="V840" s="50"/>
      <c r="W840" s="50"/>
      <c r="X840" s="50"/>
      <c r="Y840" s="50"/>
      <c r="Z840" s="50"/>
      <c r="AA840" s="50"/>
      <c r="AB840" s="50"/>
    </row>
    <row r="841" customFormat="false" ht="15.75" hidden="false" customHeight="false" outlineLevel="0" collapsed="false">
      <c r="A841" s="50"/>
      <c r="B841" s="50"/>
      <c r="C841" s="5"/>
      <c r="D841" s="48"/>
      <c r="E841" s="50"/>
      <c r="F841" s="5"/>
      <c r="G841" s="5"/>
      <c r="H841" s="5"/>
      <c r="I841" s="5"/>
      <c r="J841" s="5"/>
      <c r="K841" s="50"/>
      <c r="L841" s="50"/>
      <c r="M841" s="50"/>
      <c r="N841" s="50"/>
      <c r="O841" s="50"/>
      <c r="P841" s="50"/>
      <c r="Q841" s="50"/>
      <c r="R841" s="50"/>
      <c r="S841" s="50"/>
      <c r="T841" s="50"/>
      <c r="U841" s="50"/>
      <c r="V841" s="50"/>
      <c r="W841" s="50"/>
      <c r="X841" s="50"/>
      <c r="Y841" s="50"/>
      <c r="Z841" s="50"/>
      <c r="AA841" s="50"/>
      <c r="AB841" s="50"/>
    </row>
    <row r="842" customFormat="false" ht="15.75" hidden="false" customHeight="false" outlineLevel="0" collapsed="false">
      <c r="A842" s="50"/>
      <c r="B842" s="50"/>
      <c r="C842" s="5"/>
      <c r="D842" s="48"/>
      <c r="E842" s="50"/>
      <c r="F842" s="5"/>
      <c r="G842" s="5"/>
      <c r="H842" s="5"/>
      <c r="I842" s="5"/>
      <c r="J842" s="5"/>
      <c r="K842" s="50"/>
      <c r="L842" s="50"/>
      <c r="M842" s="50"/>
      <c r="N842" s="50"/>
      <c r="O842" s="50"/>
      <c r="P842" s="50"/>
      <c r="Q842" s="50"/>
      <c r="R842" s="50"/>
      <c r="S842" s="50"/>
      <c r="T842" s="50"/>
      <c r="U842" s="50"/>
      <c r="V842" s="50"/>
      <c r="W842" s="50"/>
      <c r="X842" s="50"/>
      <c r="Y842" s="50"/>
      <c r="Z842" s="50"/>
      <c r="AA842" s="50"/>
      <c r="AB842" s="50"/>
    </row>
    <row r="843" customFormat="false" ht="15.75" hidden="false" customHeight="false" outlineLevel="0" collapsed="false">
      <c r="A843" s="50"/>
      <c r="B843" s="50"/>
      <c r="C843" s="5"/>
      <c r="D843" s="48"/>
      <c r="E843" s="50"/>
      <c r="F843" s="5"/>
      <c r="G843" s="5"/>
      <c r="H843" s="5"/>
      <c r="I843" s="5"/>
      <c r="J843" s="5"/>
      <c r="K843" s="50"/>
      <c r="L843" s="50"/>
      <c r="M843" s="50"/>
      <c r="N843" s="50"/>
      <c r="O843" s="50"/>
      <c r="P843" s="50"/>
      <c r="Q843" s="50"/>
      <c r="R843" s="50"/>
      <c r="S843" s="50"/>
      <c r="T843" s="50"/>
      <c r="U843" s="50"/>
      <c r="V843" s="50"/>
      <c r="W843" s="50"/>
      <c r="X843" s="50"/>
      <c r="Y843" s="50"/>
      <c r="Z843" s="50"/>
      <c r="AA843" s="50"/>
      <c r="AB843" s="50"/>
    </row>
    <row r="844" customFormat="false" ht="15.75" hidden="false" customHeight="false" outlineLevel="0" collapsed="false">
      <c r="A844" s="50"/>
      <c r="B844" s="50"/>
      <c r="C844" s="5"/>
      <c r="D844" s="48"/>
      <c r="E844" s="50"/>
      <c r="F844" s="5"/>
      <c r="G844" s="5"/>
      <c r="H844" s="5"/>
      <c r="I844" s="5"/>
      <c r="J844" s="5"/>
      <c r="K844" s="50"/>
      <c r="L844" s="50"/>
      <c r="M844" s="50"/>
      <c r="N844" s="50"/>
      <c r="O844" s="50"/>
      <c r="P844" s="50"/>
      <c r="Q844" s="50"/>
      <c r="R844" s="50"/>
      <c r="S844" s="50"/>
      <c r="T844" s="50"/>
      <c r="U844" s="50"/>
      <c r="V844" s="50"/>
      <c r="W844" s="50"/>
      <c r="X844" s="50"/>
      <c r="Y844" s="50"/>
      <c r="Z844" s="50"/>
      <c r="AA844" s="50"/>
      <c r="AB844" s="50"/>
    </row>
    <row r="845" customFormat="false" ht="15.75" hidden="false" customHeight="false" outlineLevel="0" collapsed="false">
      <c r="A845" s="50"/>
      <c r="B845" s="50"/>
      <c r="C845" s="5"/>
      <c r="D845" s="48"/>
      <c r="E845" s="50"/>
      <c r="F845" s="5"/>
      <c r="G845" s="5"/>
      <c r="H845" s="5"/>
      <c r="I845" s="5"/>
      <c r="J845" s="5"/>
      <c r="K845" s="50"/>
      <c r="L845" s="50"/>
      <c r="M845" s="50"/>
      <c r="N845" s="50"/>
      <c r="O845" s="50"/>
      <c r="P845" s="50"/>
      <c r="Q845" s="50"/>
      <c r="R845" s="50"/>
      <c r="S845" s="50"/>
      <c r="T845" s="50"/>
      <c r="U845" s="50"/>
      <c r="V845" s="50"/>
      <c r="W845" s="50"/>
      <c r="X845" s="50"/>
      <c r="Y845" s="50"/>
      <c r="Z845" s="50"/>
      <c r="AA845" s="50"/>
      <c r="AB845" s="50"/>
    </row>
    <row r="846" customFormat="false" ht="15.75" hidden="false" customHeight="false" outlineLevel="0" collapsed="false">
      <c r="A846" s="50"/>
      <c r="B846" s="50"/>
      <c r="C846" s="5"/>
      <c r="D846" s="48"/>
      <c r="E846" s="50"/>
      <c r="F846" s="5"/>
      <c r="G846" s="5"/>
      <c r="H846" s="5"/>
      <c r="I846" s="5"/>
      <c r="J846" s="5"/>
      <c r="K846" s="50"/>
      <c r="L846" s="50"/>
      <c r="M846" s="50"/>
      <c r="N846" s="50"/>
      <c r="O846" s="50"/>
      <c r="P846" s="50"/>
      <c r="Q846" s="50"/>
      <c r="R846" s="50"/>
      <c r="S846" s="50"/>
      <c r="T846" s="50"/>
      <c r="U846" s="50"/>
      <c r="V846" s="50"/>
      <c r="W846" s="50"/>
      <c r="X846" s="50"/>
      <c r="Y846" s="50"/>
      <c r="Z846" s="50"/>
      <c r="AA846" s="50"/>
      <c r="AB846" s="50"/>
    </row>
    <row r="847" customFormat="false" ht="15.75" hidden="false" customHeight="false" outlineLevel="0" collapsed="false">
      <c r="A847" s="50"/>
      <c r="B847" s="50"/>
      <c r="C847" s="5"/>
      <c r="D847" s="48"/>
      <c r="E847" s="50"/>
      <c r="F847" s="5"/>
      <c r="G847" s="5"/>
      <c r="H847" s="5"/>
      <c r="I847" s="5"/>
      <c r="J847" s="5"/>
      <c r="K847" s="50"/>
      <c r="L847" s="50"/>
      <c r="M847" s="50"/>
      <c r="N847" s="50"/>
      <c r="O847" s="50"/>
      <c r="P847" s="50"/>
      <c r="Q847" s="50"/>
      <c r="R847" s="50"/>
      <c r="S847" s="50"/>
      <c r="T847" s="50"/>
      <c r="U847" s="50"/>
      <c r="V847" s="50"/>
      <c r="W847" s="50"/>
      <c r="X847" s="50"/>
      <c r="Y847" s="50"/>
      <c r="Z847" s="50"/>
      <c r="AA847" s="50"/>
      <c r="AB847" s="50"/>
    </row>
    <row r="848" customFormat="false" ht="15.75" hidden="false" customHeight="false" outlineLevel="0" collapsed="false">
      <c r="A848" s="50"/>
      <c r="B848" s="50"/>
      <c r="C848" s="5"/>
      <c r="D848" s="48"/>
      <c r="E848" s="50"/>
      <c r="F848" s="5"/>
      <c r="G848" s="5"/>
      <c r="H848" s="5"/>
      <c r="I848" s="5"/>
      <c r="J848" s="5"/>
      <c r="K848" s="50"/>
      <c r="L848" s="50"/>
      <c r="M848" s="50"/>
      <c r="N848" s="50"/>
      <c r="O848" s="50"/>
      <c r="P848" s="50"/>
      <c r="Q848" s="50"/>
      <c r="R848" s="50"/>
      <c r="S848" s="50"/>
      <c r="T848" s="50"/>
      <c r="U848" s="50"/>
      <c r="V848" s="50"/>
      <c r="W848" s="50"/>
      <c r="X848" s="50"/>
      <c r="Y848" s="50"/>
      <c r="Z848" s="50"/>
      <c r="AA848" s="50"/>
      <c r="AB848" s="50"/>
    </row>
    <row r="849" customFormat="false" ht="15.75" hidden="false" customHeight="false" outlineLevel="0" collapsed="false">
      <c r="A849" s="50"/>
      <c r="B849" s="50"/>
      <c r="C849" s="5"/>
      <c r="D849" s="48"/>
      <c r="E849" s="50"/>
      <c r="F849" s="5"/>
      <c r="G849" s="5"/>
      <c r="H849" s="5"/>
      <c r="I849" s="5"/>
      <c r="J849" s="5"/>
      <c r="K849" s="50"/>
      <c r="L849" s="50"/>
      <c r="M849" s="50"/>
      <c r="N849" s="50"/>
      <c r="O849" s="50"/>
      <c r="P849" s="50"/>
      <c r="Q849" s="50"/>
      <c r="R849" s="50"/>
      <c r="S849" s="50"/>
      <c r="T849" s="50"/>
      <c r="U849" s="50"/>
      <c r="V849" s="50"/>
      <c r="W849" s="50"/>
      <c r="X849" s="50"/>
      <c r="Y849" s="50"/>
      <c r="Z849" s="50"/>
      <c r="AA849" s="50"/>
      <c r="AB849" s="50"/>
    </row>
    <row r="850" customFormat="false" ht="15.75" hidden="false" customHeight="false" outlineLevel="0" collapsed="false">
      <c r="A850" s="50"/>
      <c r="B850" s="50"/>
      <c r="C850" s="5"/>
      <c r="D850" s="48"/>
      <c r="E850" s="50"/>
      <c r="F850" s="5"/>
      <c r="G850" s="5"/>
      <c r="H850" s="5"/>
      <c r="I850" s="5"/>
      <c r="J850" s="5"/>
      <c r="K850" s="50"/>
      <c r="L850" s="50"/>
      <c r="M850" s="50"/>
      <c r="N850" s="50"/>
      <c r="O850" s="50"/>
      <c r="P850" s="50"/>
      <c r="Q850" s="50"/>
      <c r="R850" s="50"/>
      <c r="S850" s="50"/>
      <c r="T850" s="50"/>
      <c r="U850" s="50"/>
      <c r="V850" s="50"/>
      <c r="W850" s="50"/>
      <c r="X850" s="50"/>
      <c r="Y850" s="50"/>
      <c r="Z850" s="50"/>
      <c r="AA850" s="50"/>
      <c r="AB850" s="50"/>
    </row>
    <row r="851" customFormat="false" ht="15.75" hidden="false" customHeight="false" outlineLevel="0" collapsed="false">
      <c r="A851" s="50"/>
      <c r="B851" s="50"/>
      <c r="C851" s="5"/>
      <c r="D851" s="48"/>
      <c r="E851" s="50"/>
      <c r="F851" s="5"/>
      <c r="G851" s="5"/>
      <c r="H851" s="5"/>
      <c r="I851" s="5"/>
      <c r="J851" s="5"/>
      <c r="K851" s="50"/>
      <c r="L851" s="50"/>
      <c r="M851" s="50"/>
      <c r="N851" s="50"/>
      <c r="O851" s="50"/>
      <c r="P851" s="50"/>
      <c r="Q851" s="50"/>
      <c r="R851" s="50"/>
      <c r="S851" s="50"/>
      <c r="T851" s="50"/>
      <c r="U851" s="50"/>
      <c r="V851" s="50"/>
      <c r="W851" s="50"/>
      <c r="X851" s="50"/>
      <c r="Y851" s="50"/>
      <c r="Z851" s="50"/>
      <c r="AA851" s="50"/>
      <c r="AB851" s="50"/>
    </row>
    <row r="852" customFormat="false" ht="15.75" hidden="false" customHeight="false" outlineLevel="0" collapsed="false">
      <c r="A852" s="50"/>
      <c r="B852" s="50"/>
      <c r="C852" s="5"/>
      <c r="D852" s="48"/>
      <c r="E852" s="50"/>
      <c r="F852" s="5"/>
      <c r="G852" s="5"/>
      <c r="H852" s="5"/>
      <c r="I852" s="5"/>
      <c r="J852" s="5"/>
      <c r="K852" s="50"/>
      <c r="L852" s="50"/>
      <c r="M852" s="50"/>
      <c r="N852" s="50"/>
      <c r="O852" s="50"/>
      <c r="P852" s="50"/>
      <c r="Q852" s="50"/>
      <c r="R852" s="50"/>
      <c r="S852" s="50"/>
      <c r="T852" s="50"/>
      <c r="U852" s="50"/>
      <c r="V852" s="50"/>
      <c r="W852" s="50"/>
      <c r="X852" s="50"/>
      <c r="Y852" s="50"/>
      <c r="Z852" s="50"/>
      <c r="AA852" s="50"/>
      <c r="AB852" s="50"/>
    </row>
    <row r="853" customFormat="false" ht="15.75" hidden="false" customHeight="false" outlineLevel="0" collapsed="false">
      <c r="A853" s="50"/>
      <c r="B853" s="50"/>
      <c r="C853" s="5"/>
      <c r="D853" s="48"/>
      <c r="E853" s="50"/>
      <c r="F853" s="5"/>
      <c r="G853" s="5"/>
      <c r="H853" s="5"/>
      <c r="I853" s="5"/>
      <c r="J853" s="5"/>
      <c r="K853" s="50"/>
      <c r="L853" s="50"/>
      <c r="M853" s="50"/>
      <c r="N853" s="50"/>
      <c r="O853" s="50"/>
      <c r="P853" s="50"/>
      <c r="Q853" s="50"/>
      <c r="R853" s="50"/>
      <c r="S853" s="50"/>
      <c r="T853" s="50"/>
      <c r="U853" s="50"/>
      <c r="V853" s="50"/>
      <c r="W853" s="50"/>
      <c r="X853" s="50"/>
      <c r="Y853" s="50"/>
      <c r="Z853" s="50"/>
      <c r="AA853" s="50"/>
      <c r="AB853" s="50"/>
    </row>
    <row r="854" customFormat="false" ht="15.75" hidden="false" customHeight="false" outlineLevel="0" collapsed="false">
      <c r="A854" s="50"/>
      <c r="B854" s="50"/>
      <c r="C854" s="5"/>
      <c r="D854" s="48"/>
      <c r="E854" s="50"/>
      <c r="F854" s="5"/>
      <c r="G854" s="5"/>
      <c r="H854" s="5"/>
      <c r="I854" s="5"/>
      <c r="J854" s="5"/>
      <c r="K854" s="50"/>
      <c r="L854" s="50"/>
      <c r="M854" s="50"/>
      <c r="N854" s="50"/>
      <c r="O854" s="50"/>
      <c r="P854" s="50"/>
      <c r="Q854" s="50"/>
      <c r="R854" s="50"/>
      <c r="S854" s="50"/>
      <c r="T854" s="50"/>
      <c r="U854" s="50"/>
      <c r="V854" s="50"/>
      <c r="W854" s="50"/>
      <c r="X854" s="50"/>
      <c r="Y854" s="50"/>
      <c r="Z854" s="50"/>
      <c r="AA854" s="50"/>
      <c r="AB854" s="50"/>
    </row>
    <row r="855" customFormat="false" ht="15.75" hidden="false" customHeight="false" outlineLevel="0" collapsed="false">
      <c r="A855" s="50"/>
      <c r="B855" s="50"/>
      <c r="C855" s="5"/>
      <c r="D855" s="48"/>
      <c r="E855" s="50"/>
      <c r="F855" s="5"/>
      <c r="G855" s="5"/>
      <c r="H855" s="5"/>
      <c r="I855" s="5"/>
      <c r="J855" s="5"/>
      <c r="K855" s="50"/>
      <c r="L855" s="50"/>
      <c r="M855" s="50"/>
      <c r="N855" s="50"/>
      <c r="O855" s="50"/>
      <c r="P855" s="50"/>
      <c r="Q855" s="50"/>
      <c r="R855" s="50"/>
      <c r="S855" s="50"/>
      <c r="T855" s="50"/>
      <c r="U855" s="50"/>
      <c r="V855" s="50"/>
      <c r="W855" s="50"/>
      <c r="X855" s="50"/>
      <c r="Y855" s="50"/>
      <c r="Z855" s="50"/>
      <c r="AA855" s="50"/>
      <c r="AB855" s="50"/>
    </row>
    <row r="856" customFormat="false" ht="15.75" hidden="false" customHeight="false" outlineLevel="0" collapsed="false">
      <c r="A856" s="50"/>
      <c r="B856" s="50"/>
      <c r="C856" s="5"/>
      <c r="D856" s="48"/>
      <c r="E856" s="50"/>
      <c r="F856" s="5"/>
      <c r="G856" s="5"/>
      <c r="H856" s="5"/>
      <c r="I856" s="5"/>
      <c r="J856" s="5"/>
      <c r="K856" s="50"/>
      <c r="L856" s="50"/>
      <c r="M856" s="50"/>
      <c r="N856" s="50"/>
      <c r="O856" s="50"/>
      <c r="P856" s="50"/>
      <c r="Q856" s="50"/>
      <c r="R856" s="50"/>
      <c r="S856" s="50"/>
      <c r="T856" s="50"/>
      <c r="U856" s="50"/>
      <c r="V856" s="50"/>
      <c r="W856" s="50"/>
      <c r="X856" s="50"/>
      <c r="Y856" s="50"/>
      <c r="Z856" s="50"/>
      <c r="AA856" s="50"/>
      <c r="AB856" s="50"/>
    </row>
    <row r="857" customFormat="false" ht="15.75" hidden="false" customHeight="false" outlineLevel="0" collapsed="false">
      <c r="A857" s="50"/>
      <c r="B857" s="50"/>
      <c r="C857" s="5"/>
      <c r="D857" s="48"/>
      <c r="E857" s="50"/>
      <c r="F857" s="5"/>
      <c r="G857" s="5"/>
      <c r="H857" s="5"/>
      <c r="I857" s="5"/>
      <c r="J857" s="5"/>
      <c r="K857" s="50"/>
      <c r="L857" s="50"/>
      <c r="M857" s="50"/>
      <c r="N857" s="50"/>
      <c r="O857" s="50"/>
      <c r="P857" s="50"/>
      <c r="Q857" s="50"/>
      <c r="R857" s="50"/>
      <c r="S857" s="50"/>
      <c r="T857" s="50"/>
      <c r="U857" s="50"/>
      <c r="V857" s="50"/>
      <c r="W857" s="50"/>
      <c r="X857" s="50"/>
      <c r="Y857" s="50"/>
      <c r="Z857" s="50"/>
      <c r="AA857" s="50"/>
      <c r="AB857" s="50"/>
    </row>
    <row r="858" customFormat="false" ht="15.75" hidden="false" customHeight="false" outlineLevel="0" collapsed="false">
      <c r="A858" s="50"/>
      <c r="B858" s="50"/>
      <c r="C858" s="5"/>
      <c r="D858" s="48"/>
      <c r="E858" s="50"/>
      <c r="F858" s="5"/>
      <c r="G858" s="5"/>
      <c r="H858" s="5"/>
      <c r="I858" s="5"/>
      <c r="J858" s="5"/>
      <c r="K858" s="50"/>
      <c r="L858" s="50"/>
      <c r="M858" s="50"/>
      <c r="N858" s="50"/>
      <c r="O858" s="50"/>
      <c r="P858" s="50"/>
      <c r="Q858" s="50"/>
      <c r="R858" s="50"/>
      <c r="S858" s="50"/>
      <c r="T858" s="50"/>
      <c r="U858" s="50"/>
      <c r="V858" s="50"/>
      <c r="W858" s="50"/>
      <c r="X858" s="50"/>
      <c r="Y858" s="50"/>
      <c r="Z858" s="50"/>
      <c r="AA858" s="50"/>
      <c r="AB858" s="50"/>
    </row>
    <row r="859" customFormat="false" ht="15.75" hidden="false" customHeight="false" outlineLevel="0" collapsed="false">
      <c r="A859" s="50"/>
      <c r="B859" s="50"/>
      <c r="C859" s="5"/>
      <c r="D859" s="48"/>
      <c r="E859" s="50"/>
      <c r="F859" s="5"/>
      <c r="G859" s="5"/>
      <c r="H859" s="5"/>
      <c r="I859" s="5"/>
      <c r="J859" s="5"/>
      <c r="K859" s="50"/>
      <c r="L859" s="50"/>
      <c r="M859" s="50"/>
      <c r="N859" s="50"/>
      <c r="O859" s="50"/>
      <c r="P859" s="50"/>
      <c r="Q859" s="50"/>
      <c r="R859" s="50"/>
      <c r="S859" s="50"/>
      <c r="T859" s="50"/>
      <c r="U859" s="50"/>
      <c r="V859" s="50"/>
      <c r="W859" s="50"/>
      <c r="X859" s="50"/>
      <c r="Y859" s="50"/>
      <c r="Z859" s="50"/>
      <c r="AA859" s="50"/>
      <c r="AB859" s="50"/>
    </row>
    <row r="860" customFormat="false" ht="15.75" hidden="false" customHeight="false" outlineLevel="0" collapsed="false">
      <c r="A860" s="50"/>
      <c r="B860" s="50"/>
      <c r="C860" s="5"/>
      <c r="D860" s="48"/>
      <c r="E860" s="50"/>
      <c r="F860" s="5"/>
      <c r="G860" s="5"/>
      <c r="H860" s="5"/>
      <c r="I860" s="5"/>
      <c r="J860" s="5"/>
      <c r="K860" s="50"/>
      <c r="L860" s="50"/>
      <c r="M860" s="50"/>
      <c r="N860" s="50"/>
      <c r="O860" s="50"/>
      <c r="P860" s="50"/>
      <c r="Q860" s="50"/>
      <c r="R860" s="50"/>
      <c r="S860" s="50"/>
      <c r="T860" s="50"/>
      <c r="U860" s="50"/>
      <c r="V860" s="50"/>
      <c r="W860" s="50"/>
      <c r="X860" s="50"/>
      <c r="Y860" s="50"/>
      <c r="Z860" s="50"/>
      <c r="AA860" s="50"/>
      <c r="AB860" s="50"/>
    </row>
    <row r="861" customFormat="false" ht="15.75" hidden="false" customHeight="false" outlineLevel="0" collapsed="false">
      <c r="A861" s="50"/>
      <c r="B861" s="50"/>
      <c r="C861" s="5"/>
      <c r="D861" s="48"/>
      <c r="E861" s="50"/>
      <c r="F861" s="5"/>
      <c r="G861" s="5"/>
      <c r="H861" s="5"/>
      <c r="I861" s="5"/>
      <c r="J861" s="5"/>
      <c r="K861" s="50"/>
      <c r="L861" s="50"/>
      <c r="M861" s="50"/>
      <c r="N861" s="50"/>
      <c r="O861" s="50"/>
      <c r="P861" s="50"/>
      <c r="Q861" s="50"/>
      <c r="R861" s="50"/>
      <c r="S861" s="50"/>
      <c r="T861" s="50"/>
      <c r="U861" s="50"/>
      <c r="V861" s="50"/>
      <c r="W861" s="50"/>
      <c r="X861" s="50"/>
      <c r="Y861" s="50"/>
      <c r="Z861" s="50"/>
      <c r="AA861" s="50"/>
      <c r="AB861" s="50"/>
    </row>
    <row r="862" customFormat="false" ht="15.75" hidden="false" customHeight="false" outlineLevel="0" collapsed="false">
      <c r="A862" s="50"/>
      <c r="B862" s="50"/>
      <c r="C862" s="5"/>
      <c r="D862" s="48"/>
      <c r="E862" s="50"/>
      <c r="F862" s="5"/>
      <c r="G862" s="5"/>
      <c r="H862" s="5"/>
      <c r="I862" s="5"/>
      <c r="J862" s="5"/>
      <c r="K862" s="50"/>
      <c r="L862" s="50"/>
      <c r="M862" s="50"/>
      <c r="N862" s="50"/>
      <c r="O862" s="50"/>
      <c r="P862" s="50"/>
      <c r="Q862" s="50"/>
      <c r="R862" s="50"/>
      <c r="S862" s="50"/>
      <c r="T862" s="50"/>
      <c r="U862" s="50"/>
      <c r="V862" s="50"/>
      <c r="W862" s="50"/>
      <c r="X862" s="50"/>
      <c r="Y862" s="50"/>
      <c r="Z862" s="50"/>
      <c r="AA862" s="50"/>
      <c r="AB862" s="50"/>
    </row>
    <row r="863" customFormat="false" ht="15.75" hidden="false" customHeight="false" outlineLevel="0" collapsed="false">
      <c r="A863" s="50"/>
      <c r="B863" s="50"/>
      <c r="C863" s="5"/>
      <c r="D863" s="48"/>
      <c r="E863" s="50"/>
      <c r="F863" s="5"/>
      <c r="G863" s="5"/>
      <c r="H863" s="5"/>
      <c r="I863" s="5"/>
      <c r="J863" s="5"/>
      <c r="K863" s="50"/>
      <c r="L863" s="50"/>
      <c r="M863" s="50"/>
      <c r="N863" s="50"/>
      <c r="O863" s="50"/>
      <c r="P863" s="50"/>
      <c r="Q863" s="50"/>
      <c r="R863" s="50"/>
      <c r="S863" s="50"/>
      <c r="T863" s="50"/>
      <c r="U863" s="50"/>
      <c r="V863" s="50"/>
      <c r="W863" s="50"/>
      <c r="X863" s="50"/>
      <c r="Y863" s="50"/>
      <c r="Z863" s="50"/>
      <c r="AA863" s="50"/>
      <c r="AB863" s="50"/>
    </row>
    <row r="864" customFormat="false" ht="15.75" hidden="false" customHeight="false" outlineLevel="0" collapsed="false">
      <c r="A864" s="50"/>
      <c r="B864" s="50"/>
      <c r="C864" s="5"/>
      <c r="D864" s="48"/>
      <c r="E864" s="50"/>
      <c r="F864" s="5"/>
      <c r="G864" s="5"/>
      <c r="H864" s="5"/>
      <c r="I864" s="5"/>
      <c r="J864" s="5"/>
      <c r="K864" s="50"/>
      <c r="L864" s="50"/>
      <c r="M864" s="50"/>
      <c r="N864" s="50"/>
      <c r="O864" s="50"/>
      <c r="P864" s="50"/>
      <c r="Q864" s="50"/>
      <c r="R864" s="50"/>
      <c r="S864" s="50"/>
      <c r="T864" s="50"/>
      <c r="U864" s="50"/>
      <c r="V864" s="50"/>
      <c r="W864" s="50"/>
      <c r="X864" s="50"/>
      <c r="Y864" s="50"/>
      <c r="Z864" s="50"/>
      <c r="AA864" s="50"/>
      <c r="AB864" s="50"/>
    </row>
    <row r="865" customFormat="false" ht="15.75" hidden="false" customHeight="false" outlineLevel="0" collapsed="false">
      <c r="A865" s="50"/>
      <c r="B865" s="50"/>
      <c r="C865" s="5"/>
      <c r="D865" s="48"/>
      <c r="E865" s="50"/>
      <c r="F865" s="5"/>
      <c r="G865" s="5"/>
      <c r="H865" s="5"/>
      <c r="I865" s="5"/>
      <c r="J865" s="5"/>
      <c r="K865" s="50"/>
      <c r="L865" s="50"/>
      <c r="M865" s="50"/>
      <c r="N865" s="50"/>
      <c r="O865" s="50"/>
      <c r="P865" s="50"/>
      <c r="Q865" s="50"/>
      <c r="R865" s="50"/>
      <c r="S865" s="50"/>
      <c r="T865" s="50"/>
      <c r="U865" s="50"/>
      <c r="V865" s="50"/>
      <c r="W865" s="50"/>
      <c r="X865" s="50"/>
      <c r="Y865" s="50"/>
      <c r="Z865" s="50"/>
      <c r="AA865" s="50"/>
      <c r="AB865" s="50"/>
    </row>
    <row r="866" customFormat="false" ht="15.75" hidden="false" customHeight="false" outlineLevel="0" collapsed="false">
      <c r="A866" s="50"/>
      <c r="B866" s="50"/>
      <c r="C866" s="5"/>
      <c r="D866" s="48"/>
      <c r="E866" s="50"/>
      <c r="F866" s="5"/>
      <c r="G866" s="5"/>
      <c r="H866" s="5"/>
      <c r="I866" s="5"/>
      <c r="J866" s="5"/>
      <c r="K866" s="50"/>
      <c r="L866" s="50"/>
      <c r="M866" s="50"/>
      <c r="N866" s="50"/>
      <c r="O866" s="50"/>
      <c r="P866" s="50"/>
      <c r="Q866" s="50"/>
      <c r="R866" s="50"/>
      <c r="S866" s="50"/>
      <c r="T866" s="50"/>
      <c r="U866" s="50"/>
      <c r="V866" s="50"/>
      <c r="W866" s="50"/>
      <c r="X866" s="50"/>
      <c r="Y866" s="50"/>
      <c r="Z866" s="50"/>
      <c r="AA866" s="50"/>
      <c r="AB866" s="50"/>
    </row>
    <row r="867" customFormat="false" ht="15.75" hidden="false" customHeight="false" outlineLevel="0" collapsed="false">
      <c r="A867" s="50"/>
      <c r="B867" s="50"/>
      <c r="C867" s="5"/>
      <c r="D867" s="48"/>
      <c r="E867" s="50"/>
      <c r="F867" s="5"/>
      <c r="G867" s="5"/>
      <c r="H867" s="5"/>
      <c r="I867" s="5"/>
      <c r="J867" s="5"/>
      <c r="K867" s="50"/>
      <c r="L867" s="50"/>
      <c r="M867" s="50"/>
      <c r="N867" s="50"/>
      <c r="O867" s="50"/>
      <c r="P867" s="50"/>
      <c r="Q867" s="50"/>
      <c r="R867" s="50"/>
      <c r="S867" s="50"/>
      <c r="T867" s="50"/>
      <c r="U867" s="50"/>
      <c r="V867" s="50"/>
      <c r="W867" s="50"/>
      <c r="X867" s="50"/>
      <c r="Y867" s="50"/>
      <c r="Z867" s="50"/>
      <c r="AA867" s="50"/>
      <c r="AB867" s="50"/>
    </row>
    <row r="868" customFormat="false" ht="15.75" hidden="false" customHeight="false" outlineLevel="0" collapsed="false">
      <c r="A868" s="50"/>
      <c r="B868" s="50"/>
      <c r="C868" s="5"/>
      <c r="D868" s="48"/>
      <c r="E868" s="50"/>
      <c r="F868" s="5"/>
      <c r="G868" s="5"/>
      <c r="H868" s="5"/>
      <c r="I868" s="5"/>
      <c r="J868" s="5"/>
      <c r="K868" s="50"/>
      <c r="L868" s="50"/>
      <c r="M868" s="50"/>
      <c r="N868" s="50"/>
      <c r="O868" s="50"/>
      <c r="P868" s="50"/>
      <c r="Q868" s="50"/>
      <c r="R868" s="50"/>
      <c r="S868" s="50"/>
      <c r="T868" s="50"/>
      <c r="U868" s="50"/>
      <c r="V868" s="50"/>
      <c r="W868" s="50"/>
      <c r="X868" s="50"/>
      <c r="Y868" s="50"/>
      <c r="Z868" s="50"/>
      <c r="AA868" s="50"/>
      <c r="AB868" s="50"/>
    </row>
    <row r="869" customFormat="false" ht="15.75" hidden="false" customHeight="false" outlineLevel="0" collapsed="false">
      <c r="A869" s="50"/>
      <c r="B869" s="50"/>
      <c r="C869" s="5"/>
      <c r="D869" s="48"/>
      <c r="E869" s="50"/>
      <c r="F869" s="5"/>
      <c r="G869" s="5"/>
      <c r="H869" s="5"/>
      <c r="I869" s="5"/>
      <c r="J869" s="5"/>
      <c r="K869" s="50"/>
      <c r="L869" s="50"/>
      <c r="M869" s="50"/>
      <c r="N869" s="50"/>
      <c r="O869" s="50"/>
      <c r="P869" s="50"/>
      <c r="Q869" s="50"/>
      <c r="R869" s="50"/>
      <c r="S869" s="50"/>
      <c r="T869" s="50"/>
      <c r="U869" s="50"/>
      <c r="V869" s="50"/>
      <c r="W869" s="50"/>
      <c r="X869" s="50"/>
      <c r="Y869" s="50"/>
      <c r="Z869" s="50"/>
      <c r="AA869" s="50"/>
      <c r="AB869" s="50"/>
    </row>
    <row r="870" customFormat="false" ht="15.75" hidden="false" customHeight="false" outlineLevel="0" collapsed="false">
      <c r="A870" s="50"/>
      <c r="B870" s="50"/>
      <c r="C870" s="5"/>
      <c r="D870" s="48"/>
      <c r="E870" s="50"/>
      <c r="F870" s="5"/>
      <c r="G870" s="5"/>
      <c r="H870" s="5"/>
      <c r="I870" s="5"/>
      <c r="J870" s="5"/>
      <c r="K870" s="50"/>
      <c r="L870" s="50"/>
      <c r="M870" s="50"/>
      <c r="N870" s="50"/>
      <c r="O870" s="50"/>
      <c r="P870" s="50"/>
      <c r="Q870" s="50"/>
      <c r="R870" s="50"/>
      <c r="S870" s="50"/>
      <c r="T870" s="50"/>
      <c r="U870" s="50"/>
      <c r="V870" s="50"/>
      <c r="W870" s="50"/>
      <c r="X870" s="50"/>
      <c r="Y870" s="50"/>
      <c r="Z870" s="50"/>
      <c r="AA870" s="50"/>
      <c r="AB870" s="50"/>
    </row>
    <row r="871" customFormat="false" ht="15.75" hidden="false" customHeight="false" outlineLevel="0" collapsed="false">
      <c r="A871" s="50"/>
      <c r="B871" s="50"/>
      <c r="C871" s="5"/>
      <c r="D871" s="48"/>
      <c r="E871" s="50"/>
      <c r="F871" s="5"/>
      <c r="G871" s="5"/>
      <c r="H871" s="5"/>
      <c r="I871" s="5"/>
      <c r="J871" s="5"/>
      <c r="K871" s="50"/>
      <c r="L871" s="50"/>
      <c r="M871" s="50"/>
      <c r="N871" s="50"/>
      <c r="O871" s="50"/>
      <c r="P871" s="50"/>
      <c r="Q871" s="50"/>
      <c r="R871" s="50"/>
      <c r="S871" s="50"/>
      <c r="T871" s="50"/>
      <c r="U871" s="50"/>
      <c r="V871" s="50"/>
      <c r="W871" s="50"/>
      <c r="X871" s="50"/>
      <c r="Y871" s="50"/>
      <c r="Z871" s="50"/>
      <c r="AA871" s="50"/>
      <c r="AB871" s="50"/>
    </row>
    <row r="872" customFormat="false" ht="15.75" hidden="false" customHeight="false" outlineLevel="0" collapsed="false">
      <c r="A872" s="50"/>
      <c r="B872" s="50"/>
      <c r="C872" s="5"/>
      <c r="D872" s="48"/>
      <c r="E872" s="50"/>
      <c r="F872" s="5"/>
      <c r="G872" s="5"/>
      <c r="H872" s="5"/>
      <c r="I872" s="5"/>
      <c r="J872" s="5"/>
      <c r="K872" s="50"/>
      <c r="L872" s="50"/>
      <c r="M872" s="50"/>
      <c r="N872" s="50"/>
      <c r="O872" s="50"/>
      <c r="P872" s="50"/>
      <c r="Q872" s="50"/>
      <c r="R872" s="50"/>
      <c r="S872" s="50"/>
      <c r="T872" s="50"/>
      <c r="U872" s="50"/>
      <c r="V872" s="50"/>
      <c r="W872" s="50"/>
      <c r="X872" s="50"/>
      <c r="Y872" s="50"/>
      <c r="Z872" s="50"/>
      <c r="AA872" s="50"/>
      <c r="AB872" s="50"/>
    </row>
    <row r="873" customFormat="false" ht="15.75" hidden="false" customHeight="false" outlineLevel="0" collapsed="false">
      <c r="A873" s="50"/>
      <c r="B873" s="50"/>
      <c r="C873" s="5"/>
      <c r="D873" s="48"/>
      <c r="E873" s="50"/>
      <c r="F873" s="5"/>
      <c r="G873" s="5"/>
      <c r="H873" s="5"/>
      <c r="I873" s="5"/>
      <c r="J873" s="5"/>
      <c r="K873" s="50"/>
      <c r="L873" s="50"/>
      <c r="M873" s="50"/>
      <c r="N873" s="50"/>
      <c r="O873" s="50"/>
      <c r="P873" s="50"/>
      <c r="Q873" s="50"/>
      <c r="R873" s="50"/>
      <c r="S873" s="50"/>
      <c r="T873" s="50"/>
      <c r="U873" s="50"/>
      <c r="V873" s="50"/>
      <c r="W873" s="50"/>
      <c r="X873" s="50"/>
      <c r="Y873" s="50"/>
      <c r="Z873" s="50"/>
      <c r="AA873" s="50"/>
      <c r="AB873" s="50"/>
    </row>
    <row r="874" customFormat="false" ht="15.75" hidden="false" customHeight="false" outlineLevel="0" collapsed="false">
      <c r="A874" s="50"/>
      <c r="B874" s="50"/>
      <c r="C874" s="5"/>
      <c r="D874" s="48"/>
      <c r="E874" s="50"/>
      <c r="F874" s="5"/>
      <c r="G874" s="5"/>
      <c r="H874" s="5"/>
      <c r="I874" s="5"/>
      <c r="J874" s="5"/>
      <c r="K874" s="50"/>
      <c r="L874" s="50"/>
      <c r="M874" s="50"/>
      <c r="N874" s="50"/>
      <c r="O874" s="50"/>
      <c r="P874" s="50"/>
      <c r="Q874" s="50"/>
      <c r="R874" s="50"/>
      <c r="S874" s="50"/>
      <c r="T874" s="50"/>
      <c r="U874" s="50"/>
      <c r="V874" s="50"/>
      <c r="W874" s="50"/>
      <c r="X874" s="50"/>
      <c r="Y874" s="50"/>
      <c r="Z874" s="50"/>
      <c r="AA874" s="50"/>
      <c r="AB874" s="50"/>
    </row>
    <row r="875" customFormat="false" ht="15.75" hidden="false" customHeight="false" outlineLevel="0" collapsed="false">
      <c r="A875" s="50"/>
      <c r="B875" s="50"/>
      <c r="C875" s="5"/>
      <c r="D875" s="48"/>
      <c r="E875" s="50"/>
      <c r="F875" s="5"/>
      <c r="G875" s="5"/>
      <c r="H875" s="5"/>
      <c r="I875" s="5"/>
      <c r="J875" s="5"/>
      <c r="K875" s="50"/>
      <c r="L875" s="50"/>
      <c r="M875" s="50"/>
      <c r="N875" s="50"/>
      <c r="O875" s="50"/>
      <c r="P875" s="50"/>
      <c r="Q875" s="50"/>
      <c r="R875" s="50"/>
      <c r="S875" s="50"/>
      <c r="T875" s="50"/>
      <c r="U875" s="50"/>
      <c r="V875" s="50"/>
      <c r="W875" s="50"/>
      <c r="X875" s="50"/>
      <c r="Y875" s="50"/>
      <c r="Z875" s="50"/>
      <c r="AA875" s="50"/>
      <c r="AB875" s="50"/>
    </row>
    <row r="876" customFormat="false" ht="15.75" hidden="false" customHeight="false" outlineLevel="0" collapsed="false">
      <c r="A876" s="50"/>
      <c r="B876" s="50"/>
      <c r="C876" s="5"/>
      <c r="D876" s="48"/>
      <c r="E876" s="50"/>
      <c r="F876" s="5"/>
      <c r="G876" s="5"/>
      <c r="H876" s="5"/>
      <c r="I876" s="5"/>
      <c r="J876" s="5"/>
      <c r="K876" s="50"/>
      <c r="L876" s="50"/>
      <c r="M876" s="50"/>
      <c r="N876" s="50"/>
      <c r="O876" s="50"/>
      <c r="P876" s="50"/>
      <c r="Q876" s="50"/>
      <c r="R876" s="50"/>
      <c r="S876" s="50"/>
      <c r="T876" s="50"/>
      <c r="U876" s="50"/>
      <c r="V876" s="50"/>
      <c r="W876" s="50"/>
      <c r="X876" s="50"/>
      <c r="Y876" s="50"/>
      <c r="Z876" s="50"/>
      <c r="AA876" s="50"/>
      <c r="AB876" s="50"/>
    </row>
    <row r="877" customFormat="false" ht="15.75" hidden="false" customHeight="false" outlineLevel="0" collapsed="false">
      <c r="A877" s="50"/>
      <c r="B877" s="50"/>
      <c r="C877" s="5"/>
      <c r="D877" s="48"/>
      <c r="E877" s="50"/>
      <c r="F877" s="5"/>
      <c r="G877" s="5"/>
      <c r="H877" s="5"/>
      <c r="I877" s="5"/>
      <c r="J877" s="5"/>
      <c r="K877" s="50"/>
      <c r="L877" s="50"/>
      <c r="M877" s="50"/>
      <c r="N877" s="50"/>
      <c r="O877" s="50"/>
      <c r="P877" s="50"/>
      <c r="Q877" s="50"/>
      <c r="R877" s="50"/>
      <c r="S877" s="50"/>
      <c r="T877" s="50"/>
      <c r="U877" s="50"/>
      <c r="V877" s="50"/>
      <c r="W877" s="50"/>
      <c r="X877" s="50"/>
      <c r="Y877" s="50"/>
      <c r="Z877" s="50"/>
      <c r="AA877" s="50"/>
      <c r="AB877" s="50"/>
    </row>
    <row r="878" customFormat="false" ht="15.75" hidden="false" customHeight="false" outlineLevel="0" collapsed="false">
      <c r="A878" s="50"/>
      <c r="B878" s="50"/>
      <c r="C878" s="5"/>
      <c r="D878" s="48"/>
      <c r="E878" s="50"/>
      <c r="F878" s="5"/>
      <c r="G878" s="5"/>
      <c r="H878" s="5"/>
      <c r="I878" s="5"/>
      <c r="J878" s="5"/>
      <c r="K878" s="50"/>
      <c r="L878" s="50"/>
      <c r="M878" s="50"/>
      <c r="N878" s="50"/>
      <c r="O878" s="50"/>
      <c r="P878" s="50"/>
      <c r="Q878" s="50"/>
      <c r="R878" s="50"/>
      <c r="S878" s="50"/>
      <c r="T878" s="50"/>
      <c r="U878" s="50"/>
      <c r="V878" s="50"/>
      <c r="W878" s="50"/>
      <c r="X878" s="50"/>
      <c r="Y878" s="50"/>
      <c r="Z878" s="50"/>
      <c r="AA878" s="50"/>
      <c r="AB878" s="50"/>
    </row>
    <row r="879" customFormat="false" ht="15.75" hidden="false" customHeight="false" outlineLevel="0" collapsed="false">
      <c r="A879" s="50"/>
      <c r="B879" s="50"/>
      <c r="C879" s="5"/>
      <c r="D879" s="48"/>
      <c r="E879" s="50"/>
      <c r="F879" s="5"/>
      <c r="G879" s="5"/>
      <c r="H879" s="5"/>
      <c r="I879" s="5"/>
      <c r="J879" s="5"/>
      <c r="K879" s="50"/>
      <c r="L879" s="50"/>
      <c r="M879" s="50"/>
      <c r="N879" s="50"/>
      <c r="O879" s="50"/>
      <c r="P879" s="50"/>
      <c r="Q879" s="50"/>
      <c r="R879" s="50"/>
      <c r="S879" s="50"/>
      <c r="T879" s="50"/>
      <c r="U879" s="50"/>
      <c r="V879" s="50"/>
      <c r="W879" s="50"/>
      <c r="X879" s="50"/>
      <c r="Y879" s="50"/>
      <c r="Z879" s="50"/>
      <c r="AA879" s="50"/>
      <c r="AB879" s="50"/>
    </row>
    <row r="880" customFormat="false" ht="15.75" hidden="false" customHeight="false" outlineLevel="0" collapsed="false">
      <c r="A880" s="50"/>
      <c r="B880" s="50"/>
      <c r="C880" s="5"/>
      <c r="D880" s="48"/>
      <c r="E880" s="50"/>
      <c r="F880" s="5"/>
      <c r="G880" s="5"/>
      <c r="H880" s="5"/>
      <c r="I880" s="5"/>
      <c r="J880" s="5"/>
      <c r="K880" s="50"/>
      <c r="L880" s="50"/>
      <c r="M880" s="50"/>
      <c r="N880" s="50"/>
      <c r="O880" s="50"/>
      <c r="P880" s="50"/>
      <c r="Q880" s="50"/>
      <c r="R880" s="50"/>
      <c r="S880" s="50"/>
      <c r="T880" s="50"/>
      <c r="U880" s="50"/>
      <c r="V880" s="50"/>
      <c r="W880" s="50"/>
      <c r="X880" s="50"/>
      <c r="Y880" s="50"/>
      <c r="Z880" s="50"/>
      <c r="AA880" s="50"/>
      <c r="AB880" s="50"/>
    </row>
    <row r="881" customFormat="false" ht="15.75" hidden="false" customHeight="false" outlineLevel="0" collapsed="false">
      <c r="A881" s="50"/>
      <c r="B881" s="50"/>
      <c r="C881" s="5"/>
      <c r="D881" s="48"/>
      <c r="E881" s="50"/>
      <c r="F881" s="5"/>
      <c r="G881" s="5"/>
      <c r="H881" s="5"/>
      <c r="I881" s="5"/>
      <c r="J881" s="5"/>
      <c r="K881" s="50"/>
      <c r="L881" s="50"/>
      <c r="M881" s="50"/>
      <c r="N881" s="50"/>
      <c r="O881" s="50"/>
      <c r="P881" s="50"/>
      <c r="Q881" s="50"/>
      <c r="R881" s="50"/>
      <c r="S881" s="50"/>
      <c r="T881" s="50"/>
      <c r="U881" s="50"/>
      <c r="V881" s="50"/>
      <c r="W881" s="50"/>
      <c r="X881" s="50"/>
      <c r="Y881" s="50"/>
      <c r="Z881" s="50"/>
      <c r="AA881" s="50"/>
      <c r="AB881" s="50"/>
    </row>
    <row r="882" customFormat="false" ht="15.75" hidden="false" customHeight="false" outlineLevel="0" collapsed="false">
      <c r="A882" s="50"/>
      <c r="B882" s="50"/>
      <c r="C882" s="5"/>
      <c r="D882" s="48"/>
      <c r="E882" s="50"/>
      <c r="F882" s="5"/>
      <c r="G882" s="5"/>
      <c r="H882" s="5"/>
      <c r="I882" s="5"/>
      <c r="J882" s="5"/>
      <c r="K882" s="50"/>
      <c r="L882" s="50"/>
      <c r="M882" s="50"/>
      <c r="N882" s="50"/>
      <c r="O882" s="50"/>
      <c r="P882" s="50"/>
      <c r="Q882" s="50"/>
      <c r="R882" s="50"/>
      <c r="S882" s="50"/>
      <c r="T882" s="50"/>
      <c r="U882" s="50"/>
      <c r="V882" s="50"/>
      <c r="W882" s="50"/>
      <c r="X882" s="50"/>
      <c r="Y882" s="50"/>
      <c r="Z882" s="50"/>
      <c r="AA882" s="50"/>
      <c r="AB882" s="50"/>
    </row>
    <row r="883" customFormat="false" ht="15.75" hidden="false" customHeight="false" outlineLevel="0" collapsed="false">
      <c r="A883" s="50"/>
      <c r="B883" s="50"/>
      <c r="C883" s="5"/>
      <c r="D883" s="48"/>
      <c r="E883" s="50"/>
      <c r="F883" s="5"/>
      <c r="G883" s="5"/>
      <c r="H883" s="5"/>
      <c r="I883" s="5"/>
      <c r="J883" s="5"/>
      <c r="K883" s="50"/>
      <c r="L883" s="50"/>
      <c r="M883" s="50"/>
      <c r="N883" s="50"/>
      <c r="O883" s="50"/>
      <c r="P883" s="50"/>
      <c r="Q883" s="50"/>
      <c r="R883" s="50"/>
      <c r="S883" s="50"/>
      <c r="T883" s="50"/>
      <c r="U883" s="50"/>
      <c r="V883" s="50"/>
      <c r="W883" s="50"/>
      <c r="X883" s="50"/>
      <c r="Y883" s="50"/>
      <c r="Z883" s="50"/>
      <c r="AA883" s="50"/>
      <c r="AB883" s="50"/>
    </row>
    <row r="884" customFormat="false" ht="15.75" hidden="false" customHeight="false" outlineLevel="0" collapsed="false">
      <c r="A884" s="50"/>
      <c r="B884" s="50"/>
      <c r="C884" s="5"/>
      <c r="D884" s="48"/>
      <c r="E884" s="50"/>
      <c r="F884" s="5"/>
      <c r="G884" s="5"/>
      <c r="H884" s="5"/>
      <c r="I884" s="5"/>
      <c r="J884" s="5"/>
      <c r="K884" s="50"/>
      <c r="L884" s="50"/>
      <c r="M884" s="50"/>
      <c r="N884" s="50"/>
      <c r="O884" s="50"/>
      <c r="P884" s="50"/>
      <c r="Q884" s="50"/>
      <c r="R884" s="50"/>
      <c r="S884" s="50"/>
      <c r="T884" s="50"/>
      <c r="U884" s="50"/>
      <c r="V884" s="50"/>
      <c r="W884" s="50"/>
      <c r="X884" s="50"/>
      <c r="Y884" s="50"/>
      <c r="Z884" s="50"/>
      <c r="AA884" s="50"/>
      <c r="AB884" s="50"/>
    </row>
    <row r="885" customFormat="false" ht="15.75" hidden="false" customHeight="false" outlineLevel="0" collapsed="false">
      <c r="A885" s="50"/>
      <c r="B885" s="50"/>
      <c r="C885" s="5"/>
      <c r="D885" s="48"/>
      <c r="E885" s="50"/>
      <c r="F885" s="5"/>
      <c r="G885" s="5"/>
      <c r="H885" s="5"/>
      <c r="I885" s="5"/>
      <c r="J885" s="5"/>
      <c r="K885" s="50"/>
      <c r="L885" s="50"/>
      <c r="M885" s="50"/>
      <c r="N885" s="50"/>
      <c r="O885" s="50"/>
      <c r="P885" s="50"/>
      <c r="Q885" s="50"/>
      <c r="R885" s="50"/>
      <c r="S885" s="50"/>
      <c r="T885" s="50"/>
      <c r="U885" s="50"/>
      <c r="V885" s="50"/>
      <c r="W885" s="50"/>
      <c r="X885" s="50"/>
      <c r="Y885" s="50"/>
      <c r="Z885" s="50"/>
      <c r="AA885" s="50"/>
      <c r="AB885" s="50"/>
    </row>
    <row r="886" customFormat="false" ht="15.75" hidden="false" customHeight="false" outlineLevel="0" collapsed="false">
      <c r="A886" s="50"/>
      <c r="B886" s="50"/>
      <c r="C886" s="5"/>
      <c r="D886" s="48"/>
      <c r="E886" s="50"/>
      <c r="F886" s="5"/>
      <c r="G886" s="5"/>
      <c r="H886" s="5"/>
      <c r="I886" s="5"/>
      <c r="J886" s="5"/>
      <c r="K886" s="50"/>
      <c r="L886" s="50"/>
      <c r="M886" s="50"/>
      <c r="N886" s="50"/>
      <c r="O886" s="50"/>
      <c r="P886" s="50"/>
      <c r="Q886" s="50"/>
      <c r="R886" s="50"/>
      <c r="S886" s="50"/>
      <c r="T886" s="50"/>
      <c r="U886" s="50"/>
      <c r="V886" s="50"/>
      <c r="W886" s="50"/>
      <c r="X886" s="50"/>
      <c r="Y886" s="50"/>
      <c r="Z886" s="50"/>
      <c r="AA886" s="50"/>
      <c r="AB886" s="50"/>
    </row>
    <row r="887" customFormat="false" ht="15.75" hidden="false" customHeight="false" outlineLevel="0" collapsed="false">
      <c r="A887" s="50"/>
      <c r="B887" s="50"/>
      <c r="C887" s="5"/>
      <c r="D887" s="48"/>
      <c r="E887" s="50"/>
      <c r="F887" s="5"/>
      <c r="G887" s="5"/>
      <c r="H887" s="5"/>
      <c r="I887" s="5"/>
      <c r="J887" s="5"/>
      <c r="K887" s="50"/>
      <c r="L887" s="50"/>
      <c r="M887" s="50"/>
      <c r="N887" s="50"/>
      <c r="O887" s="50"/>
      <c r="P887" s="50"/>
      <c r="Q887" s="50"/>
      <c r="R887" s="50"/>
      <c r="S887" s="50"/>
      <c r="T887" s="50"/>
      <c r="U887" s="50"/>
      <c r="V887" s="50"/>
      <c r="W887" s="50"/>
      <c r="X887" s="50"/>
      <c r="Y887" s="50"/>
      <c r="Z887" s="50"/>
      <c r="AA887" s="50"/>
      <c r="AB887" s="50"/>
    </row>
    <row r="888" customFormat="false" ht="15.75" hidden="false" customHeight="false" outlineLevel="0" collapsed="false">
      <c r="A888" s="50"/>
      <c r="B888" s="50"/>
      <c r="C888" s="5"/>
      <c r="D888" s="48"/>
      <c r="E888" s="50"/>
      <c r="F888" s="5"/>
      <c r="G888" s="5"/>
      <c r="H888" s="5"/>
      <c r="I888" s="5"/>
      <c r="J888" s="5"/>
      <c r="K888" s="50"/>
      <c r="L888" s="50"/>
      <c r="M888" s="50"/>
      <c r="N888" s="50"/>
      <c r="O888" s="50"/>
      <c r="P888" s="50"/>
      <c r="Q888" s="50"/>
      <c r="R888" s="50"/>
      <c r="S888" s="50"/>
      <c r="T888" s="50"/>
      <c r="U888" s="50"/>
      <c r="V888" s="50"/>
      <c r="W888" s="50"/>
      <c r="X888" s="50"/>
      <c r="Y888" s="50"/>
      <c r="Z888" s="50"/>
      <c r="AA888" s="50"/>
      <c r="AB888" s="50"/>
    </row>
    <row r="889" customFormat="false" ht="15.75" hidden="false" customHeight="false" outlineLevel="0" collapsed="false">
      <c r="A889" s="50"/>
      <c r="B889" s="50"/>
      <c r="C889" s="5"/>
      <c r="D889" s="48"/>
      <c r="E889" s="50"/>
      <c r="F889" s="5"/>
      <c r="G889" s="5"/>
      <c r="H889" s="5"/>
      <c r="I889" s="5"/>
      <c r="J889" s="5"/>
      <c r="K889" s="50"/>
      <c r="L889" s="50"/>
      <c r="M889" s="50"/>
      <c r="N889" s="50"/>
      <c r="O889" s="50"/>
      <c r="P889" s="50"/>
      <c r="Q889" s="50"/>
      <c r="R889" s="50"/>
      <c r="S889" s="50"/>
      <c r="T889" s="50"/>
      <c r="U889" s="50"/>
      <c r="V889" s="50"/>
      <c r="W889" s="50"/>
      <c r="X889" s="50"/>
      <c r="Y889" s="50"/>
      <c r="Z889" s="50"/>
      <c r="AA889" s="50"/>
      <c r="AB889" s="50"/>
    </row>
    <row r="890" customFormat="false" ht="15.75" hidden="false" customHeight="false" outlineLevel="0" collapsed="false">
      <c r="A890" s="50"/>
      <c r="B890" s="50"/>
      <c r="C890" s="5"/>
      <c r="D890" s="48"/>
      <c r="E890" s="50"/>
      <c r="F890" s="5"/>
      <c r="G890" s="5"/>
      <c r="H890" s="5"/>
      <c r="I890" s="5"/>
      <c r="J890" s="5"/>
      <c r="K890" s="50"/>
      <c r="L890" s="50"/>
      <c r="M890" s="50"/>
      <c r="N890" s="50"/>
      <c r="O890" s="50"/>
      <c r="P890" s="50"/>
      <c r="Q890" s="50"/>
      <c r="R890" s="50"/>
      <c r="S890" s="50"/>
      <c r="T890" s="50"/>
      <c r="U890" s="50"/>
      <c r="V890" s="50"/>
      <c r="W890" s="50"/>
      <c r="X890" s="50"/>
      <c r="Y890" s="50"/>
      <c r="Z890" s="50"/>
      <c r="AA890" s="50"/>
      <c r="AB890" s="50"/>
    </row>
    <row r="891" customFormat="false" ht="15.75" hidden="false" customHeight="false" outlineLevel="0" collapsed="false">
      <c r="A891" s="50"/>
      <c r="B891" s="50"/>
      <c r="C891" s="5"/>
      <c r="D891" s="48"/>
      <c r="E891" s="50"/>
      <c r="F891" s="5"/>
      <c r="G891" s="5"/>
      <c r="H891" s="5"/>
      <c r="I891" s="5"/>
      <c r="J891" s="5"/>
      <c r="K891" s="50"/>
      <c r="L891" s="50"/>
      <c r="M891" s="50"/>
      <c r="N891" s="50"/>
      <c r="O891" s="50"/>
      <c r="P891" s="50"/>
      <c r="Q891" s="50"/>
      <c r="R891" s="50"/>
      <c r="S891" s="50"/>
      <c r="T891" s="50"/>
      <c r="U891" s="50"/>
      <c r="V891" s="50"/>
      <c r="W891" s="50"/>
      <c r="X891" s="50"/>
      <c r="Y891" s="50"/>
      <c r="Z891" s="50"/>
      <c r="AA891" s="50"/>
      <c r="AB891" s="50"/>
    </row>
    <row r="892" customFormat="false" ht="15.75" hidden="false" customHeight="false" outlineLevel="0" collapsed="false">
      <c r="A892" s="50"/>
      <c r="B892" s="50"/>
      <c r="C892" s="5"/>
      <c r="D892" s="48"/>
      <c r="E892" s="50"/>
      <c r="F892" s="5"/>
      <c r="G892" s="5"/>
      <c r="H892" s="5"/>
      <c r="I892" s="5"/>
      <c r="J892" s="5"/>
      <c r="K892" s="50"/>
      <c r="L892" s="50"/>
      <c r="M892" s="50"/>
      <c r="N892" s="50"/>
      <c r="O892" s="50"/>
      <c r="P892" s="50"/>
      <c r="Q892" s="50"/>
      <c r="R892" s="50"/>
      <c r="S892" s="50"/>
      <c r="T892" s="50"/>
      <c r="U892" s="50"/>
      <c r="V892" s="50"/>
      <c r="W892" s="50"/>
      <c r="X892" s="50"/>
      <c r="Y892" s="50"/>
      <c r="Z892" s="50"/>
      <c r="AA892" s="50"/>
      <c r="AB892" s="50"/>
    </row>
    <row r="893" customFormat="false" ht="15.75" hidden="false" customHeight="false" outlineLevel="0" collapsed="false">
      <c r="A893" s="50"/>
      <c r="B893" s="50"/>
      <c r="C893" s="5"/>
      <c r="D893" s="48"/>
      <c r="E893" s="50"/>
      <c r="F893" s="5"/>
      <c r="G893" s="5"/>
      <c r="H893" s="5"/>
      <c r="I893" s="5"/>
      <c r="J893" s="5"/>
      <c r="K893" s="50"/>
      <c r="L893" s="50"/>
      <c r="M893" s="50"/>
      <c r="N893" s="50"/>
      <c r="O893" s="50"/>
      <c r="P893" s="50"/>
      <c r="Q893" s="50"/>
      <c r="R893" s="50"/>
      <c r="S893" s="50"/>
      <c r="T893" s="50"/>
      <c r="U893" s="50"/>
      <c r="V893" s="50"/>
      <c r="W893" s="50"/>
      <c r="X893" s="50"/>
      <c r="Y893" s="50"/>
      <c r="Z893" s="50"/>
      <c r="AA893" s="50"/>
      <c r="AB893" s="50"/>
    </row>
    <row r="894" customFormat="false" ht="15.75" hidden="false" customHeight="false" outlineLevel="0" collapsed="false">
      <c r="A894" s="50"/>
      <c r="B894" s="50"/>
      <c r="C894" s="5"/>
      <c r="D894" s="48"/>
      <c r="E894" s="50"/>
      <c r="F894" s="5"/>
      <c r="G894" s="5"/>
      <c r="H894" s="5"/>
      <c r="I894" s="5"/>
      <c r="J894" s="5"/>
      <c r="K894" s="50"/>
      <c r="L894" s="50"/>
      <c r="M894" s="50"/>
      <c r="N894" s="50"/>
      <c r="O894" s="50"/>
      <c r="P894" s="50"/>
      <c r="Q894" s="50"/>
      <c r="R894" s="50"/>
      <c r="S894" s="50"/>
      <c r="T894" s="50"/>
      <c r="U894" s="50"/>
      <c r="V894" s="50"/>
      <c r="W894" s="50"/>
      <c r="X894" s="50"/>
      <c r="Y894" s="50"/>
      <c r="Z894" s="50"/>
      <c r="AA894" s="50"/>
      <c r="AB894" s="50"/>
    </row>
    <row r="895" customFormat="false" ht="15.75" hidden="false" customHeight="false" outlineLevel="0" collapsed="false">
      <c r="A895" s="50"/>
      <c r="B895" s="50"/>
      <c r="C895" s="5"/>
      <c r="D895" s="48"/>
      <c r="E895" s="50"/>
      <c r="F895" s="5"/>
      <c r="G895" s="5"/>
      <c r="H895" s="5"/>
      <c r="I895" s="5"/>
      <c r="J895" s="5"/>
      <c r="K895" s="50"/>
      <c r="L895" s="50"/>
      <c r="M895" s="50"/>
      <c r="N895" s="50"/>
      <c r="O895" s="50"/>
      <c r="P895" s="50"/>
      <c r="Q895" s="50"/>
      <c r="R895" s="50"/>
      <c r="S895" s="50"/>
      <c r="T895" s="50"/>
      <c r="U895" s="50"/>
      <c r="V895" s="50"/>
      <c r="W895" s="50"/>
      <c r="X895" s="50"/>
      <c r="Y895" s="50"/>
      <c r="Z895" s="50"/>
      <c r="AA895" s="50"/>
      <c r="AB895" s="50"/>
    </row>
    <row r="896" customFormat="false" ht="15.75" hidden="false" customHeight="false" outlineLevel="0" collapsed="false">
      <c r="A896" s="50"/>
      <c r="B896" s="50"/>
      <c r="C896" s="5"/>
      <c r="D896" s="48"/>
      <c r="E896" s="50"/>
      <c r="F896" s="5"/>
      <c r="G896" s="5"/>
      <c r="H896" s="5"/>
      <c r="I896" s="5"/>
      <c r="J896" s="5"/>
      <c r="K896" s="50"/>
      <c r="L896" s="50"/>
      <c r="M896" s="50"/>
      <c r="N896" s="50"/>
      <c r="O896" s="50"/>
      <c r="P896" s="50"/>
      <c r="Q896" s="50"/>
      <c r="R896" s="50"/>
      <c r="S896" s="50"/>
      <c r="T896" s="50"/>
      <c r="U896" s="50"/>
      <c r="V896" s="50"/>
      <c r="W896" s="50"/>
      <c r="X896" s="50"/>
      <c r="Y896" s="50"/>
      <c r="Z896" s="50"/>
      <c r="AA896" s="50"/>
      <c r="AB896" s="50"/>
    </row>
    <row r="897" customFormat="false" ht="15.75" hidden="false" customHeight="false" outlineLevel="0" collapsed="false">
      <c r="A897" s="50"/>
      <c r="B897" s="50"/>
      <c r="C897" s="5"/>
      <c r="D897" s="48"/>
      <c r="E897" s="50"/>
      <c r="F897" s="5"/>
      <c r="G897" s="5"/>
      <c r="H897" s="5"/>
      <c r="I897" s="5"/>
      <c r="J897" s="5"/>
      <c r="K897" s="50"/>
      <c r="L897" s="50"/>
      <c r="M897" s="50"/>
      <c r="N897" s="50"/>
      <c r="O897" s="50"/>
      <c r="P897" s="50"/>
      <c r="Q897" s="50"/>
      <c r="R897" s="50"/>
      <c r="S897" s="50"/>
      <c r="T897" s="50"/>
      <c r="U897" s="50"/>
      <c r="V897" s="50"/>
      <c r="W897" s="50"/>
      <c r="X897" s="50"/>
      <c r="Y897" s="50"/>
      <c r="Z897" s="50"/>
      <c r="AA897" s="50"/>
      <c r="AB897" s="50"/>
    </row>
    <row r="898" customFormat="false" ht="15.75" hidden="false" customHeight="false" outlineLevel="0" collapsed="false">
      <c r="A898" s="50"/>
      <c r="B898" s="50"/>
      <c r="C898" s="5"/>
      <c r="D898" s="48"/>
      <c r="E898" s="50"/>
      <c r="F898" s="5"/>
      <c r="G898" s="5"/>
      <c r="H898" s="5"/>
      <c r="I898" s="5"/>
      <c r="J898" s="5"/>
      <c r="K898" s="50"/>
      <c r="L898" s="50"/>
      <c r="M898" s="50"/>
      <c r="N898" s="50"/>
      <c r="O898" s="50"/>
      <c r="P898" s="50"/>
      <c r="Q898" s="50"/>
      <c r="R898" s="50"/>
      <c r="S898" s="50"/>
      <c r="T898" s="50"/>
      <c r="U898" s="50"/>
      <c r="V898" s="50"/>
      <c r="W898" s="50"/>
      <c r="X898" s="50"/>
      <c r="Y898" s="50"/>
      <c r="Z898" s="50"/>
      <c r="AA898" s="50"/>
      <c r="AB898" s="50"/>
    </row>
    <row r="899" customFormat="false" ht="15.75" hidden="false" customHeight="false" outlineLevel="0" collapsed="false">
      <c r="A899" s="50"/>
      <c r="B899" s="50"/>
      <c r="C899" s="5"/>
      <c r="D899" s="48"/>
      <c r="E899" s="50"/>
      <c r="F899" s="5"/>
      <c r="G899" s="5"/>
      <c r="H899" s="5"/>
      <c r="I899" s="5"/>
      <c r="J899" s="5"/>
      <c r="K899" s="50"/>
      <c r="L899" s="50"/>
      <c r="M899" s="50"/>
      <c r="N899" s="50"/>
      <c r="O899" s="50"/>
      <c r="P899" s="50"/>
      <c r="Q899" s="50"/>
      <c r="R899" s="50"/>
      <c r="S899" s="50"/>
      <c r="T899" s="50"/>
      <c r="U899" s="50"/>
      <c r="V899" s="50"/>
      <c r="W899" s="50"/>
      <c r="X899" s="50"/>
      <c r="Y899" s="50"/>
      <c r="Z899" s="50"/>
      <c r="AA899" s="50"/>
      <c r="AB899" s="50"/>
    </row>
    <row r="900" customFormat="false" ht="15.75" hidden="false" customHeight="false" outlineLevel="0" collapsed="false">
      <c r="A900" s="50"/>
      <c r="B900" s="50"/>
      <c r="C900" s="5"/>
      <c r="D900" s="48"/>
      <c r="E900" s="50"/>
      <c r="F900" s="5"/>
      <c r="G900" s="5"/>
      <c r="H900" s="5"/>
      <c r="I900" s="5"/>
      <c r="J900" s="5"/>
      <c r="K900" s="50"/>
      <c r="L900" s="50"/>
      <c r="M900" s="50"/>
      <c r="N900" s="50"/>
      <c r="O900" s="50"/>
      <c r="P900" s="50"/>
      <c r="Q900" s="50"/>
      <c r="R900" s="50"/>
      <c r="S900" s="50"/>
      <c r="T900" s="50"/>
      <c r="U900" s="50"/>
      <c r="V900" s="50"/>
      <c r="W900" s="50"/>
      <c r="X900" s="50"/>
      <c r="Y900" s="50"/>
      <c r="Z900" s="50"/>
      <c r="AA900" s="50"/>
      <c r="AB900" s="50"/>
    </row>
    <row r="901" customFormat="false" ht="15.75" hidden="false" customHeight="false" outlineLevel="0" collapsed="false">
      <c r="A901" s="50"/>
      <c r="B901" s="50"/>
      <c r="C901" s="5"/>
      <c r="D901" s="48"/>
      <c r="E901" s="50"/>
      <c r="F901" s="5"/>
      <c r="G901" s="5"/>
      <c r="H901" s="5"/>
      <c r="I901" s="5"/>
      <c r="J901" s="5"/>
      <c r="K901" s="50"/>
      <c r="L901" s="50"/>
      <c r="M901" s="50"/>
      <c r="N901" s="50"/>
      <c r="O901" s="50"/>
      <c r="P901" s="50"/>
      <c r="Q901" s="50"/>
      <c r="R901" s="50"/>
      <c r="S901" s="50"/>
      <c r="T901" s="50"/>
      <c r="U901" s="50"/>
      <c r="V901" s="50"/>
      <c r="W901" s="50"/>
      <c r="X901" s="50"/>
      <c r="Y901" s="50"/>
      <c r="Z901" s="50"/>
      <c r="AA901" s="50"/>
      <c r="AB901" s="50"/>
    </row>
    <row r="902" customFormat="false" ht="15.75" hidden="false" customHeight="false" outlineLevel="0" collapsed="false">
      <c r="A902" s="50"/>
      <c r="B902" s="50"/>
      <c r="C902" s="5"/>
      <c r="D902" s="48"/>
      <c r="E902" s="50"/>
      <c r="F902" s="5"/>
      <c r="G902" s="5"/>
      <c r="H902" s="5"/>
      <c r="I902" s="5"/>
      <c r="J902" s="5"/>
      <c r="K902" s="50"/>
      <c r="L902" s="50"/>
      <c r="M902" s="50"/>
      <c r="N902" s="50"/>
      <c r="O902" s="50"/>
      <c r="P902" s="50"/>
      <c r="Q902" s="50"/>
      <c r="R902" s="50"/>
      <c r="S902" s="50"/>
      <c r="T902" s="50"/>
      <c r="U902" s="50"/>
      <c r="V902" s="50"/>
      <c r="W902" s="50"/>
      <c r="X902" s="50"/>
      <c r="Y902" s="50"/>
      <c r="Z902" s="50"/>
      <c r="AA902" s="50"/>
      <c r="AB902" s="50"/>
    </row>
    <row r="903" customFormat="false" ht="15.75" hidden="false" customHeight="false" outlineLevel="0" collapsed="false">
      <c r="A903" s="50"/>
      <c r="B903" s="50"/>
      <c r="C903" s="5"/>
      <c r="D903" s="48"/>
      <c r="E903" s="50"/>
      <c r="F903" s="5"/>
      <c r="G903" s="5"/>
      <c r="H903" s="5"/>
      <c r="I903" s="5"/>
      <c r="J903" s="5"/>
      <c r="K903" s="50"/>
      <c r="L903" s="50"/>
      <c r="M903" s="50"/>
      <c r="N903" s="50"/>
      <c r="O903" s="50"/>
      <c r="P903" s="50"/>
      <c r="Q903" s="50"/>
      <c r="R903" s="50"/>
      <c r="S903" s="50"/>
      <c r="T903" s="50"/>
      <c r="U903" s="50"/>
      <c r="V903" s="50"/>
      <c r="W903" s="50"/>
      <c r="X903" s="50"/>
      <c r="Y903" s="50"/>
      <c r="Z903" s="50"/>
      <c r="AA903" s="50"/>
      <c r="AB903" s="50"/>
    </row>
    <row r="904" customFormat="false" ht="15.75" hidden="false" customHeight="false" outlineLevel="0" collapsed="false">
      <c r="A904" s="50"/>
      <c r="B904" s="50"/>
      <c r="C904" s="5"/>
      <c r="D904" s="48"/>
      <c r="E904" s="50"/>
      <c r="F904" s="5"/>
      <c r="G904" s="5"/>
      <c r="H904" s="5"/>
      <c r="I904" s="5"/>
      <c r="J904" s="5"/>
      <c r="K904" s="50"/>
      <c r="L904" s="50"/>
      <c r="M904" s="50"/>
      <c r="N904" s="50"/>
      <c r="O904" s="50"/>
      <c r="P904" s="50"/>
      <c r="Q904" s="50"/>
      <c r="R904" s="50"/>
      <c r="S904" s="50"/>
      <c r="T904" s="50"/>
      <c r="U904" s="50"/>
      <c r="V904" s="50"/>
      <c r="W904" s="50"/>
      <c r="X904" s="50"/>
      <c r="Y904" s="50"/>
      <c r="Z904" s="50"/>
      <c r="AA904" s="50"/>
      <c r="AB904" s="50"/>
    </row>
    <row r="905" customFormat="false" ht="15.75" hidden="false" customHeight="false" outlineLevel="0" collapsed="false">
      <c r="A905" s="50"/>
      <c r="B905" s="50"/>
      <c r="C905" s="5"/>
      <c r="D905" s="48"/>
      <c r="E905" s="50"/>
      <c r="F905" s="5"/>
      <c r="G905" s="5"/>
      <c r="H905" s="5"/>
      <c r="I905" s="5"/>
      <c r="J905" s="5"/>
      <c r="K905" s="50"/>
      <c r="L905" s="50"/>
      <c r="M905" s="50"/>
      <c r="N905" s="50"/>
      <c r="O905" s="50"/>
      <c r="P905" s="50"/>
      <c r="Q905" s="50"/>
      <c r="R905" s="50"/>
      <c r="S905" s="50"/>
      <c r="T905" s="50"/>
      <c r="U905" s="50"/>
      <c r="V905" s="50"/>
      <c r="W905" s="50"/>
      <c r="X905" s="50"/>
      <c r="Y905" s="50"/>
      <c r="Z905" s="50"/>
      <c r="AA905" s="50"/>
      <c r="AB905" s="50"/>
    </row>
    <row r="906" customFormat="false" ht="15.75" hidden="false" customHeight="false" outlineLevel="0" collapsed="false">
      <c r="A906" s="50"/>
      <c r="B906" s="50"/>
      <c r="C906" s="5"/>
      <c r="D906" s="48"/>
      <c r="E906" s="50"/>
      <c r="F906" s="5"/>
      <c r="G906" s="5"/>
      <c r="H906" s="5"/>
      <c r="I906" s="5"/>
      <c r="J906" s="5"/>
      <c r="K906" s="50"/>
      <c r="L906" s="50"/>
      <c r="M906" s="50"/>
      <c r="N906" s="50"/>
      <c r="O906" s="50"/>
      <c r="P906" s="50"/>
      <c r="Q906" s="50"/>
      <c r="R906" s="50"/>
      <c r="S906" s="50"/>
      <c r="T906" s="50"/>
      <c r="U906" s="50"/>
      <c r="V906" s="50"/>
      <c r="W906" s="50"/>
      <c r="X906" s="50"/>
      <c r="Y906" s="50"/>
      <c r="Z906" s="50"/>
      <c r="AA906" s="50"/>
      <c r="AB906" s="50"/>
    </row>
    <row r="907" customFormat="false" ht="15.75" hidden="false" customHeight="false" outlineLevel="0" collapsed="false">
      <c r="A907" s="50"/>
      <c r="B907" s="50"/>
      <c r="C907" s="5"/>
      <c r="D907" s="48"/>
      <c r="E907" s="50"/>
      <c r="F907" s="5"/>
      <c r="G907" s="5"/>
      <c r="H907" s="5"/>
      <c r="I907" s="5"/>
      <c r="J907" s="5"/>
      <c r="K907" s="50"/>
      <c r="L907" s="50"/>
      <c r="M907" s="50"/>
      <c r="N907" s="50"/>
      <c r="O907" s="50"/>
      <c r="P907" s="50"/>
      <c r="Q907" s="50"/>
      <c r="R907" s="50"/>
      <c r="S907" s="50"/>
      <c r="T907" s="50"/>
      <c r="U907" s="50"/>
      <c r="V907" s="50"/>
      <c r="W907" s="50"/>
      <c r="X907" s="50"/>
      <c r="Y907" s="50"/>
      <c r="Z907" s="50"/>
      <c r="AA907" s="50"/>
      <c r="AB907" s="50"/>
    </row>
    <row r="908" customFormat="false" ht="15.75" hidden="false" customHeight="false" outlineLevel="0" collapsed="false">
      <c r="A908" s="50"/>
      <c r="B908" s="50"/>
      <c r="C908" s="5"/>
      <c r="D908" s="48"/>
      <c r="E908" s="50"/>
      <c r="F908" s="5"/>
      <c r="G908" s="5"/>
      <c r="H908" s="5"/>
      <c r="I908" s="5"/>
      <c r="J908" s="5"/>
      <c r="K908" s="50"/>
      <c r="L908" s="50"/>
      <c r="M908" s="50"/>
      <c r="N908" s="50"/>
      <c r="O908" s="50"/>
      <c r="P908" s="50"/>
      <c r="Q908" s="50"/>
      <c r="R908" s="50"/>
      <c r="S908" s="50"/>
      <c r="T908" s="50"/>
      <c r="U908" s="50"/>
      <c r="V908" s="50"/>
      <c r="W908" s="50"/>
      <c r="X908" s="50"/>
      <c r="Y908" s="50"/>
      <c r="Z908" s="50"/>
      <c r="AA908" s="50"/>
      <c r="AB908" s="50"/>
    </row>
    <row r="909" customFormat="false" ht="15.75" hidden="false" customHeight="false" outlineLevel="0" collapsed="false">
      <c r="A909" s="50"/>
      <c r="B909" s="50"/>
      <c r="C909" s="5"/>
      <c r="D909" s="48"/>
      <c r="E909" s="50"/>
      <c r="F909" s="5"/>
      <c r="G909" s="5"/>
      <c r="H909" s="5"/>
      <c r="I909" s="5"/>
      <c r="J909" s="5"/>
      <c r="K909" s="50"/>
      <c r="L909" s="50"/>
      <c r="M909" s="50"/>
      <c r="N909" s="50"/>
      <c r="O909" s="50"/>
      <c r="P909" s="50"/>
      <c r="Q909" s="50"/>
      <c r="R909" s="50"/>
      <c r="S909" s="50"/>
      <c r="T909" s="50"/>
      <c r="U909" s="50"/>
      <c r="V909" s="50"/>
      <c r="W909" s="50"/>
      <c r="X909" s="50"/>
      <c r="Y909" s="50"/>
      <c r="Z909" s="50"/>
      <c r="AA909" s="50"/>
      <c r="AB909" s="50"/>
    </row>
    <row r="910" customFormat="false" ht="15.75" hidden="false" customHeight="false" outlineLevel="0" collapsed="false">
      <c r="A910" s="50"/>
      <c r="B910" s="50"/>
      <c r="C910" s="5"/>
      <c r="D910" s="48"/>
      <c r="E910" s="50"/>
      <c r="F910" s="5"/>
      <c r="G910" s="5"/>
      <c r="H910" s="5"/>
      <c r="I910" s="5"/>
      <c r="J910" s="5"/>
      <c r="K910" s="50"/>
      <c r="L910" s="50"/>
      <c r="M910" s="50"/>
      <c r="N910" s="50"/>
      <c r="O910" s="50"/>
      <c r="P910" s="50"/>
      <c r="Q910" s="50"/>
      <c r="R910" s="50"/>
      <c r="S910" s="50"/>
      <c r="T910" s="50"/>
      <c r="U910" s="50"/>
      <c r="V910" s="50"/>
      <c r="W910" s="50"/>
      <c r="X910" s="50"/>
      <c r="Y910" s="50"/>
      <c r="Z910" s="50"/>
      <c r="AA910" s="50"/>
      <c r="AB910" s="50"/>
    </row>
    <row r="911" customFormat="false" ht="15.75" hidden="false" customHeight="false" outlineLevel="0" collapsed="false">
      <c r="A911" s="50"/>
      <c r="B911" s="50"/>
      <c r="C911" s="5"/>
      <c r="D911" s="48"/>
      <c r="E911" s="50"/>
      <c r="F911" s="5"/>
      <c r="G911" s="5"/>
      <c r="H911" s="5"/>
      <c r="I911" s="5"/>
      <c r="J911" s="5"/>
      <c r="K911" s="50"/>
      <c r="L911" s="50"/>
      <c r="M911" s="50"/>
      <c r="N911" s="50"/>
      <c r="O911" s="50"/>
      <c r="P911" s="50"/>
      <c r="Q911" s="50"/>
      <c r="R911" s="50"/>
      <c r="S911" s="50"/>
      <c r="T911" s="50"/>
      <c r="U911" s="50"/>
      <c r="V911" s="50"/>
      <c r="W911" s="50"/>
      <c r="X911" s="50"/>
      <c r="Y911" s="50"/>
      <c r="Z911" s="50"/>
      <c r="AA911" s="50"/>
      <c r="AB911" s="50"/>
    </row>
    <row r="912" customFormat="false" ht="15.75" hidden="false" customHeight="false" outlineLevel="0" collapsed="false">
      <c r="A912" s="50"/>
      <c r="B912" s="50"/>
      <c r="C912" s="5"/>
      <c r="D912" s="48"/>
      <c r="E912" s="50"/>
      <c r="F912" s="5"/>
      <c r="G912" s="5"/>
      <c r="H912" s="5"/>
      <c r="I912" s="5"/>
      <c r="J912" s="5"/>
      <c r="K912" s="50"/>
      <c r="L912" s="50"/>
      <c r="M912" s="50"/>
      <c r="N912" s="50"/>
      <c r="O912" s="50"/>
      <c r="P912" s="50"/>
      <c r="Q912" s="50"/>
      <c r="R912" s="50"/>
      <c r="S912" s="50"/>
      <c r="T912" s="50"/>
      <c r="U912" s="50"/>
      <c r="V912" s="50"/>
      <c r="W912" s="50"/>
      <c r="X912" s="50"/>
      <c r="Y912" s="50"/>
      <c r="Z912" s="50"/>
      <c r="AA912" s="50"/>
      <c r="AB912" s="50"/>
    </row>
    <row r="913" customFormat="false" ht="15.75" hidden="false" customHeight="false" outlineLevel="0" collapsed="false">
      <c r="A913" s="50"/>
      <c r="B913" s="50"/>
      <c r="C913" s="5"/>
      <c r="D913" s="48"/>
      <c r="E913" s="50"/>
      <c r="F913" s="5"/>
      <c r="G913" s="5"/>
      <c r="H913" s="5"/>
      <c r="I913" s="5"/>
      <c r="J913" s="5"/>
      <c r="K913" s="50"/>
      <c r="L913" s="50"/>
      <c r="M913" s="50"/>
      <c r="N913" s="50"/>
      <c r="O913" s="50"/>
      <c r="P913" s="50"/>
      <c r="Q913" s="50"/>
      <c r="R913" s="50"/>
      <c r="S913" s="50"/>
      <c r="T913" s="50"/>
      <c r="U913" s="50"/>
      <c r="V913" s="50"/>
      <c r="W913" s="50"/>
      <c r="X913" s="50"/>
      <c r="Y913" s="50"/>
      <c r="Z913" s="50"/>
      <c r="AA913" s="50"/>
      <c r="AB913" s="50"/>
    </row>
    <row r="914" customFormat="false" ht="15.75" hidden="false" customHeight="false" outlineLevel="0" collapsed="false">
      <c r="A914" s="50"/>
      <c r="B914" s="50"/>
      <c r="C914" s="5"/>
      <c r="D914" s="48"/>
      <c r="E914" s="50"/>
      <c r="F914" s="5"/>
      <c r="G914" s="5"/>
      <c r="H914" s="5"/>
      <c r="I914" s="5"/>
      <c r="J914" s="5"/>
      <c r="K914" s="50"/>
      <c r="L914" s="50"/>
      <c r="M914" s="50"/>
      <c r="N914" s="50"/>
      <c r="O914" s="50"/>
      <c r="P914" s="50"/>
      <c r="Q914" s="50"/>
      <c r="R914" s="50"/>
      <c r="S914" s="50"/>
      <c r="T914" s="50"/>
      <c r="U914" s="50"/>
      <c r="V914" s="50"/>
      <c r="W914" s="50"/>
      <c r="X914" s="50"/>
      <c r="Y914" s="50"/>
      <c r="Z914" s="50"/>
      <c r="AA914" s="50"/>
      <c r="AB914" s="50"/>
    </row>
    <row r="915" customFormat="false" ht="15.75" hidden="false" customHeight="false" outlineLevel="0" collapsed="false">
      <c r="A915" s="50"/>
      <c r="B915" s="50"/>
      <c r="C915" s="5"/>
      <c r="D915" s="48"/>
      <c r="E915" s="50"/>
      <c r="F915" s="5"/>
      <c r="G915" s="5"/>
      <c r="H915" s="5"/>
      <c r="I915" s="5"/>
      <c r="J915" s="5"/>
      <c r="K915" s="50"/>
      <c r="L915" s="50"/>
      <c r="M915" s="50"/>
      <c r="N915" s="50"/>
      <c r="O915" s="50"/>
      <c r="P915" s="50"/>
      <c r="Q915" s="50"/>
      <c r="R915" s="50"/>
      <c r="S915" s="50"/>
      <c r="T915" s="50"/>
      <c r="U915" s="50"/>
      <c r="V915" s="50"/>
      <c r="W915" s="50"/>
      <c r="X915" s="50"/>
      <c r="Y915" s="50"/>
      <c r="Z915" s="50"/>
      <c r="AA915" s="50"/>
      <c r="AB915" s="50"/>
    </row>
    <row r="916" customFormat="false" ht="15.75" hidden="false" customHeight="false" outlineLevel="0" collapsed="false">
      <c r="A916" s="50"/>
      <c r="B916" s="50"/>
      <c r="C916" s="5"/>
      <c r="D916" s="48"/>
      <c r="E916" s="50"/>
      <c r="F916" s="5"/>
      <c r="G916" s="5"/>
      <c r="H916" s="5"/>
      <c r="I916" s="5"/>
      <c r="J916" s="5"/>
      <c r="K916" s="50"/>
      <c r="L916" s="50"/>
      <c r="M916" s="50"/>
      <c r="N916" s="50"/>
      <c r="O916" s="50"/>
      <c r="P916" s="50"/>
      <c r="Q916" s="50"/>
      <c r="R916" s="50"/>
      <c r="S916" s="50"/>
      <c r="T916" s="50"/>
      <c r="U916" s="50"/>
      <c r="V916" s="50"/>
      <c r="W916" s="50"/>
      <c r="X916" s="50"/>
      <c r="Y916" s="50"/>
      <c r="Z916" s="50"/>
      <c r="AA916" s="50"/>
      <c r="AB916" s="50"/>
    </row>
    <row r="917" customFormat="false" ht="15.75" hidden="false" customHeight="false" outlineLevel="0" collapsed="false">
      <c r="A917" s="50"/>
      <c r="B917" s="50"/>
      <c r="C917" s="5"/>
      <c r="D917" s="48"/>
      <c r="E917" s="50"/>
      <c r="F917" s="5"/>
      <c r="G917" s="5"/>
      <c r="H917" s="5"/>
      <c r="I917" s="5"/>
      <c r="J917" s="5"/>
      <c r="K917" s="50"/>
      <c r="L917" s="50"/>
      <c r="M917" s="50"/>
      <c r="N917" s="50"/>
      <c r="O917" s="50"/>
      <c r="P917" s="50"/>
      <c r="Q917" s="50"/>
      <c r="R917" s="50"/>
      <c r="S917" s="50"/>
      <c r="T917" s="50"/>
      <c r="U917" s="50"/>
      <c r="V917" s="50"/>
      <c r="W917" s="50"/>
      <c r="X917" s="50"/>
      <c r="Y917" s="50"/>
      <c r="Z917" s="50"/>
      <c r="AA917" s="50"/>
      <c r="AB917" s="50"/>
    </row>
    <row r="918" customFormat="false" ht="15.75" hidden="false" customHeight="false" outlineLevel="0" collapsed="false">
      <c r="A918" s="50"/>
      <c r="B918" s="50"/>
      <c r="C918" s="5"/>
      <c r="D918" s="48"/>
      <c r="E918" s="50"/>
      <c r="F918" s="5"/>
      <c r="G918" s="5"/>
      <c r="H918" s="5"/>
      <c r="I918" s="5"/>
      <c r="J918" s="5"/>
      <c r="K918" s="50"/>
      <c r="L918" s="50"/>
      <c r="M918" s="50"/>
      <c r="N918" s="50"/>
      <c r="O918" s="50"/>
      <c r="P918" s="50"/>
      <c r="Q918" s="50"/>
      <c r="R918" s="50"/>
      <c r="S918" s="50"/>
      <c r="T918" s="50"/>
      <c r="U918" s="50"/>
      <c r="V918" s="50"/>
      <c r="W918" s="50"/>
      <c r="X918" s="50"/>
      <c r="Y918" s="50"/>
      <c r="Z918" s="50"/>
      <c r="AA918" s="50"/>
      <c r="AB918" s="50"/>
    </row>
    <row r="919" customFormat="false" ht="15.75" hidden="false" customHeight="false" outlineLevel="0" collapsed="false">
      <c r="A919" s="50"/>
      <c r="B919" s="50"/>
      <c r="C919" s="5"/>
      <c r="D919" s="48"/>
      <c r="E919" s="50"/>
      <c r="F919" s="5"/>
      <c r="G919" s="5"/>
      <c r="H919" s="5"/>
      <c r="I919" s="5"/>
      <c r="J919" s="5"/>
      <c r="K919" s="50"/>
      <c r="L919" s="50"/>
      <c r="M919" s="50"/>
      <c r="N919" s="50"/>
      <c r="O919" s="50"/>
      <c r="P919" s="50"/>
      <c r="Q919" s="50"/>
      <c r="R919" s="50"/>
      <c r="S919" s="50"/>
      <c r="T919" s="50"/>
      <c r="U919" s="50"/>
      <c r="V919" s="50"/>
      <c r="W919" s="50"/>
      <c r="X919" s="50"/>
      <c r="Y919" s="50"/>
      <c r="Z919" s="50"/>
      <c r="AA919" s="50"/>
      <c r="AB919" s="50"/>
    </row>
    <row r="920" customFormat="false" ht="15.75" hidden="false" customHeight="false" outlineLevel="0" collapsed="false">
      <c r="A920" s="50"/>
      <c r="B920" s="50"/>
      <c r="C920" s="5"/>
      <c r="D920" s="48"/>
      <c r="E920" s="50"/>
      <c r="F920" s="5"/>
      <c r="G920" s="5"/>
      <c r="H920" s="5"/>
      <c r="I920" s="5"/>
      <c r="J920" s="5"/>
      <c r="K920" s="50"/>
      <c r="L920" s="50"/>
      <c r="M920" s="50"/>
      <c r="N920" s="50"/>
      <c r="O920" s="50"/>
      <c r="P920" s="50"/>
      <c r="Q920" s="50"/>
      <c r="R920" s="50"/>
      <c r="S920" s="50"/>
      <c r="T920" s="50"/>
      <c r="U920" s="50"/>
      <c r="V920" s="50"/>
      <c r="W920" s="50"/>
      <c r="X920" s="50"/>
      <c r="Y920" s="50"/>
      <c r="Z920" s="50"/>
      <c r="AA920" s="50"/>
      <c r="AB920" s="50"/>
    </row>
    <row r="921" customFormat="false" ht="15.75" hidden="false" customHeight="false" outlineLevel="0" collapsed="false">
      <c r="A921" s="50"/>
      <c r="B921" s="50"/>
      <c r="C921" s="5"/>
      <c r="D921" s="48"/>
      <c r="E921" s="50"/>
      <c r="F921" s="5"/>
      <c r="G921" s="5"/>
      <c r="H921" s="5"/>
      <c r="I921" s="5"/>
      <c r="J921" s="5"/>
      <c r="K921" s="50"/>
      <c r="L921" s="50"/>
      <c r="M921" s="50"/>
      <c r="N921" s="50"/>
      <c r="O921" s="50"/>
      <c r="P921" s="50"/>
      <c r="Q921" s="50"/>
      <c r="R921" s="50"/>
      <c r="S921" s="50"/>
      <c r="T921" s="50"/>
      <c r="U921" s="50"/>
      <c r="V921" s="50"/>
      <c r="W921" s="50"/>
      <c r="X921" s="50"/>
      <c r="Y921" s="50"/>
      <c r="Z921" s="50"/>
      <c r="AA921" s="50"/>
      <c r="AB921" s="50"/>
    </row>
    <row r="922" customFormat="false" ht="15.75" hidden="false" customHeight="false" outlineLevel="0" collapsed="false">
      <c r="A922" s="50"/>
      <c r="B922" s="50"/>
      <c r="C922" s="5"/>
      <c r="D922" s="48"/>
      <c r="E922" s="50"/>
      <c r="F922" s="5"/>
      <c r="G922" s="5"/>
      <c r="H922" s="5"/>
      <c r="I922" s="5"/>
      <c r="J922" s="5"/>
      <c r="K922" s="50"/>
      <c r="L922" s="50"/>
      <c r="M922" s="50"/>
      <c r="N922" s="50"/>
      <c r="O922" s="50"/>
      <c r="P922" s="50"/>
      <c r="Q922" s="50"/>
      <c r="R922" s="50"/>
      <c r="S922" s="50"/>
      <c r="T922" s="50"/>
      <c r="U922" s="50"/>
      <c r="V922" s="50"/>
      <c r="W922" s="50"/>
      <c r="X922" s="50"/>
      <c r="Y922" s="50"/>
      <c r="Z922" s="50"/>
      <c r="AA922" s="50"/>
      <c r="AB922" s="50"/>
    </row>
    <row r="923" customFormat="false" ht="15.75" hidden="false" customHeight="false" outlineLevel="0" collapsed="false">
      <c r="A923" s="50"/>
      <c r="B923" s="50"/>
      <c r="C923" s="5"/>
      <c r="D923" s="48"/>
      <c r="E923" s="50"/>
      <c r="F923" s="5"/>
      <c r="G923" s="5"/>
      <c r="H923" s="5"/>
      <c r="I923" s="5"/>
      <c r="J923" s="5"/>
      <c r="K923" s="50"/>
      <c r="L923" s="50"/>
      <c r="M923" s="50"/>
      <c r="N923" s="50"/>
      <c r="O923" s="50"/>
      <c r="P923" s="50"/>
      <c r="Q923" s="50"/>
      <c r="R923" s="50"/>
      <c r="S923" s="50"/>
      <c r="T923" s="50"/>
      <c r="U923" s="50"/>
      <c r="V923" s="50"/>
      <c r="W923" s="50"/>
      <c r="X923" s="50"/>
      <c r="Y923" s="50"/>
      <c r="Z923" s="50"/>
      <c r="AA923" s="50"/>
      <c r="AB923" s="50"/>
    </row>
    <row r="924" customFormat="false" ht="15.75" hidden="false" customHeight="false" outlineLevel="0" collapsed="false">
      <c r="A924" s="50"/>
      <c r="B924" s="50"/>
      <c r="C924" s="5"/>
      <c r="D924" s="48"/>
      <c r="E924" s="50"/>
      <c r="F924" s="5"/>
      <c r="G924" s="5"/>
      <c r="H924" s="5"/>
      <c r="I924" s="5"/>
      <c r="J924" s="5"/>
      <c r="K924" s="50"/>
      <c r="L924" s="50"/>
      <c r="M924" s="50"/>
      <c r="N924" s="50"/>
      <c r="O924" s="50"/>
      <c r="P924" s="50"/>
      <c r="Q924" s="50"/>
      <c r="R924" s="50"/>
      <c r="S924" s="50"/>
      <c r="T924" s="50"/>
      <c r="U924" s="50"/>
      <c r="V924" s="50"/>
      <c r="W924" s="50"/>
      <c r="X924" s="50"/>
      <c r="Y924" s="50"/>
      <c r="Z924" s="50"/>
      <c r="AA924" s="50"/>
      <c r="AB924" s="50"/>
    </row>
    <row r="925" customFormat="false" ht="15.75" hidden="false" customHeight="false" outlineLevel="0" collapsed="false">
      <c r="A925" s="50"/>
      <c r="B925" s="50"/>
      <c r="C925" s="5"/>
      <c r="D925" s="48"/>
      <c r="E925" s="50"/>
      <c r="F925" s="5"/>
      <c r="G925" s="5"/>
      <c r="H925" s="5"/>
      <c r="I925" s="5"/>
      <c r="J925" s="5"/>
      <c r="K925" s="50"/>
      <c r="L925" s="50"/>
      <c r="M925" s="50"/>
      <c r="N925" s="50"/>
      <c r="O925" s="50"/>
      <c r="P925" s="50"/>
      <c r="Q925" s="50"/>
      <c r="R925" s="50"/>
      <c r="S925" s="50"/>
      <c r="T925" s="50"/>
      <c r="U925" s="50"/>
      <c r="V925" s="50"/>
      <c r="W925" s="50"/>
      <c r="X925" s="50"/>
      <c r="Y925" s="50"/>
      <c r="Z925" s="50"/>
      <c r="AA925" s="50"/>
      <c r="AB925" s="50"/>
    </row>
    <row r="926" customFormat="false" ht="15.75" hidden="false" customHeight="false" outlineLevel="0" collapsed="false">
      <c r="A926" s="50"/>
      <c r="B926" s="50"/>
      <c r="C926" s="5"/>
      <c r="D926" s="48"/>
      <c r="E926" s="50"/>
      <c r="F926" s="5"/>
      <c r="G926" s="5"/>
      <c r="H926" s="5"/>
      <c r="I926" s="5"/>
      <c r="J926" s="5"/>
      <c r="K926" s="50"/>
      <c r="L926" s="50"/>
      <c r="M926" s="50"/>
      <c r="N926" s="50"/>
      <c r="O926" s="50"/>
      <c r="P926" s="50"/>
      <c r="Q926" s="50"/>
      <c r="R926" s="50"/>
      <c r="S926" s="50"/>
      <c r="T926" s="50"/>
      <c r="U926" s="50"/>
      <c r="V926" s="50"/>
      <c r="W926" s="50"/>
      <c r="X926" s="50"/>
      <c r="Y926" s="50"/>
      <c r="Z926" s="50"/>
      <c r="AA926" s="50"/>
      <c r="AB926" s="50"/>
    </row>
    <row r="927" customFormat="false" ht="15.75" hidden="false" customHeight="false" outlineLevel="0" collapsed="false">
      <c r="A927" s="50"/>
      <c r="B927" s="50"/>
      <c r="C927" s="5"/>
      <c r="D927" s="48"/>
      <c r="E927" s="50"/>
      <c r="F927" s="5"/>
      <c r="G927" s="5"/>
      <c r="H927" s="5"/>
      <c r="I927" s="5"/>
      <c r="J927" s="5"/>
      <c r="K927" s="50"/>
      <c r="L927" s="50"/>
      <c r="M927" s="50"/>
      <c r="N927" s="50"/>
      <c r="O927" s="50"/>
      <c r="P927" s="50"/>
      <c r="Q927" s="50"/>
      <c r="R927" s="50"/>
      <c r="S927" s="50"/>
      <c r="T927" s="50"/>
      <c r="U927" s="50"/>
      <c r="V927" s="50"/>
      <c r="W927" s="50"/>
      <c r="X927" s="50"/>
      <c r="Y927" s="50"/>
      <c r="Z927" s="50"/>
      <c r="AA927" s="50"/>
      <c r="AB927" s="50"/>
    </row>
    <row r="928" customFormat="false" ht="15.75" hidden="false" customHeight="false" outlineLevel="0" collapsed="false">
      <c r="A928" s="50"/>
      <c r="B928" s="50"/>
      <c r="C928" s="5"/>
      <c r="D928" s="48"/>
      <c r="E928" s="50"/>
      <c r="F928" s="5"/>
      <c r="G928" s="5"/>
      <c r="H928" s="5"/>
      <c r="I928" s="5"/>
      <c r="J928" s="5"/>
      <c r="K928" s="50"/>
      <c r="L928" s="50"/>
      <c r="M928" s="50"/>
      <c r="N928" s="50"/>
      <c r="O928" s="50"/>
      <c r="P928" s="50"/>
      <c r="Q928" s="50"/>
      <c r="R928" s="50"/>
      <c r="S928" s="50"/>
      <c r="T928" s="50"/>
      <c r="U928" s="50"/>
      <c r="V928" s="50"/>
      <c r="W928" s="50"/>
      <c r="X928" s="50"/>
      <c r="Y928" s="50"/>
      <c r="Z928" s="50"/>
      <c r="AA928" s="50"/>
      <c r="AB928" s="50"/>
    </row>
    <row r="929" customFormat="false" ht="15.75" hidden="false" customHeight="false" outlineLevel="0" collapsed="false">
      <c r="A929" s="50"/>
      <c r="B929" s="50"/>
      <c r="C929" s="5"/>
      <c r="D929" s="48"/>
      <c r="E929" s="50"/>
      <c r="F929" s="5"/>
      <c r="G929" s="5"/>
      <c r="H929" s="5"/>
      <c r="I929" s="5"/>
      <c r="J929" s="5"/>
      <c r="K929" s="50"/>
      <c r="L929" s="50"/>
      <c r="M929" s="50"/>
      <c r="N929" s="50"/>
      <c r="O929" s="50"/>
      <c r="P929" s="50"/>
      <c r="Q929" s="50"/>
      <c r="R929" s="50"/>
      <c r="S929" s="50"/>
      <c r="T929" s="50"/>
      <c r="U929" s="50"/>
      <c r="V929" s="50"/>
      <c r="W929" s="50"/>
      <c r="X929" s="50"/>
      <c r="Y929" s="50"/>
      <c r="Z929" s="50"/>
      <c r="AA929" s="50"/>
      <c r="AB929" s="50"/>
    </row>
    <row r="930" customFormat="false" ht="15.75" hidden="false" customHeight="false" outlineLevel="0" collapsed="false">
      <c r="A930" s="50"/>
      <c r="B930" s="50"/>
      <c r="C930" s="5"/>
      <c r="D930" s="48"/>
      <c r="E930" s="50"/>
      <c r="F930" s="5"/>
      <c r="G930" s="5"/>
      <c r="H930" s="5"/>
      <c r="I930" s="5"/>
      <c r="J930" s="5"/>
      <c r="K930" s="50"/>
      <c r="L930" s="50"/>
      <c r="M930" s="50"/>
      <c r="N930" s="50"/>
      <c r="O930" s="50"/>
      <c r="P930" s="50"/>
      <c r="Q930" s="50"/>
      <c r="R930" s="50"/>
      <c r="S930" s="50"/>
      <c r="T930" s="50"/>
      <c r="U930" s="50"/>
      <c r="V930" s="50"/>
      <c r="W930" s="50"/>
      <c r="X930" s="50"/>
      <c r="Y930" s="50"/>
      <c r="Z930" s="50"/>
      <c r="AA930" s="50"/>
      <c r="AB930" s="50"/>
    </row>
    <row r="931" customFormat="false" ht="15.75" hidden="false" customHeight="false" outlineLevel="0" collapsed="false">
      <c r="A931" s="50"/>
      <c r="B931" s="50"/>
      <c r="C931" s="5"/>
      <c r="D931" s="48"/>
      <c r="E931" s="50"/>
      <c r="F931" s="5"/>
      <c r="G931" s="5"/>
      <c r="H931" s="5"/>
      <c r="I931" s="5"/>
      <c r="J931" s="5"/>
      <c r="K931" s="50"/>
      <c r="L931" s="50"/>
      <c r="M931" s="50"/>
      <c r="N931" s="50"/>
      <c r="O931" s="50"/>
      <c r="P931" s="50"/>
      <c r="Q931" s="50"/>
      <c r="R931" s="50"/>
      <c r="S931" s="50"/>
      <c r="T931" s="50"/>
      <c r="U931" s="50"/>
      <c r="V931" s="50"/>
      <c r="W931" s="50"/>
      <c r="X931" s="50"/>
      <c r="Y931" s="50"/>
      <c r="Z931" s="50"/>
      <c r="AA931" s="50"/>
      <c r="AB931" s="50"/>
    </row>
    <row r="932" customFormat="false" ht="15.75" hidden="false" customHeight="false" outlineLevel="0" collapsed="false">
      <c r="A932" s="50"/>
      <c r="B932" s="50"/>
      <c r="C932" s="5"/>
      <c r="D932" s="48"/>
      <c r="E932" s="50"/>
      <c r="F932" s="5"/>
      <c r="G932" s="5"/>
      <c r="H932" s="5"/>
      <c r="I932" s="5"/>
      <c r="J932" s="5"/>
      <c r="K932" s="50"/>
      <c r="L932" s="50"/>
      <c r="M932" s="50"/>
      <c r="N932" s="50"/>
      <c r="O932" s="50"/>
      <c r="P932" s="50"/>
      <c r="Q932" s="50"/>
      <c r="R932" s="50"/>
      <c r="S932" s="50"/>
      <c r="T932" s="50"/>
      <c r="U932" s="50"/>
      <c r="V932" s="50"/>
      <c r="W932" s="50"/>
      <c r="X932" s="50"/>
      <c r="Y932" s="50"/>
      <c r="Z932" s="50"/>
      <c r="AA932" s="50"/>
      <c r="AB932" s="50"/>
    </row>
    <row r="933" customFormat="false" ht="15.75" hidden="false" customHeight="false" outlineLevel="0" collapsed="false">
      <c r="A933" s="50"/>
      <c r="B933" s="50"/>
      <c r="C933" s="5"/>
      <c r="D933" s="48"/>
      <c r="E933" s="50"/>
      <c r="F933" s="5"/>
      <c r="G933" s="5"/>
      <c r="H933" s="5"/>
      <c r="I933" s="5"/>
      <c r="J933" s="5"/>
      <c r="K933" s="50"/>
      <c r="L933" s="50"/>
      <c r="M933" s="50"/>
      <c r="N933" s="50"/>
      <c r="O933" s="50"/>
      <c r="P933" s="50"/>
      <c r="Q933" s="50"/>
      <c r="R933" s="50"/>
      <c r="S933" s="50"/>
      <c r="T933" s="50"/>
      <c r="U933" s="50"/>
      <c r="V933" s="50"/>
      <c r="W933" s="50"/>
      <c r="X933" s="50"/>
      <c r="Y933" s="50"/>
      <c r="Z933" s="50"/>
      <c r="AA933" s="50"/>
      <c r="AB933" s="50"/>
    </row>
    <row r="934" customFormat="false" ht="15.75" hidden="false" customHeight="false" outlineLevel="0" collapsed="false">
      <c r="A934" s="50"/>
      <c r="B934" s="50"/>
      <c r="C934" s="5"/>
      <c r="D934" s="48"/>
      <c r="E934" s="50"/>
      <c r="F934" s="5"/>
      <c r="G934" s="5"/>
      <c r="H934" s="5"/>
      <c r="I934" s="5"/>
      <c r="J934" s="5"/>
      <c r="K934" s="50"/>
      <c r="L934" s="50"/>
      <c r="M934" s="50"/>
      <c r="N934" s="50"/>
      <c r="O934" s="50"/>
      <c r="P934" s="50"/>
      <c r="Q934" s="50"/>
      <c r="R934" s="50"/>
      <c r="S934" s="50"/>
      <c r="T934" s="50"/>
      <c r="U934" s="50"/>
      <c r="V934" s="50"/>
      <c r="W934" s="50"/>
      <c r="X934" s="50"/>
      <c r="Y934" s="50"/>
      <c r="Z934" s="50"/>
      <c r="AA934" s="50"/>
      <c r="AB934" s="50"/>
    </row>
    <row r="935" customFormat="false" ht="15.75" hidden="false" customHeight="false" outlineLevel="0" collapsed="false">
      <c r="A935" s="50"/>
      <c r="B935" s="50"/>
      <c r="C935" s="5"/>
      <c r="D935" s="48"/>
      <c r="E935" s="50"/>
      <c r="F935" s="5"/>
      <c r="G935" s="5"/>
      <c r="H935" s="5"/>
      <c r="I935" s="5"/>
      <c r="J935" s="5"/>
      <c r="K935" s="50"/>
      <c r="L935" s="50"/>
      <c r="M935" s="50"/>
      <c r="N935" s="50"/>
      <c r="O935" s="50"/>
      <c r="P935" s="50"/>
      <c r="Q935" s="50"/>
      <c r="R935" s="50"/>
      <c r="S935" s="50"/>
      <c r="T935" s="50"/>
      <c r="U935" s="50"/>
      <c r="V935" s="50"/>
      <c r="W935" s="50"/>
      <c r="X935" s="50"/>
      <c r="Y935" s="50"/>
      <c r="Z935" s="50"/>
      <c r="AA935" s="50"/>
      <c r="AB935" s="50"/>
    </row>
    <row r="936" customFormat="false" ht="15.75" hidden="false" customHeight="false" outlineLevel="0" collapsed="false">
      <c r="A936" s="50"/>
      <c r="B936" s="50"/>
      <c r="C936" s="5"/>
      <c r="D936" s="48"/>
      <c r="E936" s="50"/>
      <c r="F936" s="5"/>
      <c r="G936" s="5"/>
      <c r="H936" s="5"/>
      <c r="I936" s="5"/>
      <c r="J936" s="5"/>
      <c r="K936" s="50"/>
      <c r="L936" s="50"/>
      <c r="M936" s="50"/>
      <c r="N936" s="50"/>
      <c r="O936" s="50"/>
      <c r="P936" s="50"/>
      <c r="Q936" s="50"/>
      <c r="R936" s="50"/>
      <c r="S936" s="50"/>
      <c r="T936" s="50"/>
      <c r="U936" s="50"/>
      <c r="V936" s="50"/>
      <c r="W936" s="50"/>
      <c r="X936" s="50"/>
      <c r="Y936" s="50"/>
      <c r="Z936" s="50"/>
      <c r="AA936" s="50"/>
      <c r="AB936" s="50"/>
    </row>
    <row r="937" customFormat="false" ht="15.75" hidden="false" customHeight="false" outlineLevel="0" collapsed="false">
      <c r="A937" s="50"/>
      <c r="B937" s="50"/>
      <c r="C937" s="5"/>
      <c r="D937" s="48"/>
      <c r="E937" s="50"/>
      <c r="F937" s="5"/>
      <c r="G937" s="5"/>
      <c r="H937" s="5"/>
      <c r="I937" s="5"/>
      <c r="J937" s="5"/>
      <c r="K937" s="50"/>
      <c r="L937" s="50"/>
      <c r="M937" s="50"/>
      <c r="N937" s="50"/>
      <c r="O937" s="50"/>
      <c r="P937" s="50"/>
      <c r="Q937" s="50"/>
      <c r="R937" s="50"/>
      <c r="S937" s="50"/>
      <c r="T937" s="50"/>
      <c r="U937" s="50"/>
      <c r="V937" s="50"/>
      <c r="W937" s="50"/>
      <c r="X937" s="50"/>
      <c r="Y937" s="50"/>
      <c r="Z937" s="50"/>
      <c r="AA937" s="50"/>
      <c r="AB937" s="50"/>
    </row>
    <row r="938" customFormat="false" ht="15.75" hidden="false" customHeight="false" outlineLevel="0" collapsed="false">
      <c r="A938" s="50"/>
      <c r="B938" s="50"/>
      <c r="C938" s="5"/>
      <c r="D938" s="48"/>
      <c r="E938" s="50"/>
      <c r="F938" s="5"/>
      <c r="G938" s="5"/>
      <c r="H938" s="5"/>
      <c r="I938" s="5"/>
      <c r="J938" s="5"/>
      <c r="K938" s="50"/>
      <c r="L938" s="50"/>
      <c r="M938" s="50"/>
      <c r="N938" s="50"/>
      <c r="O938" s="50"/>
      <c r="P938" s="50"/>
      <c r="Q938" s="50"/>
      <c r="R938" s="50"/>
      <c r="S938" s="50"/>
      <c r="T938" s="50"/>
      <c r="U938" s="50"/>
      <c r="V938" s="50"/>
      <c r="W938" s="50"/>
      <c r="X938" s="50"/>
      <c r="Y938" s="50"/>
      <c r="Z938" s="50"/>
      <c r="AA938" s="50"/>
      <c r="AB938" s="50"/>
    </row>
    <row r="939" customFormat="false" ht="15.75" hidden="false" customHeight="false" outlineLevel="0" collapsed="false">
      <c r="A939" s="50"/>
      <c r="B939" s="50"/>
      <c r="C939" s="5"/>
      <c r="D939" s="48"/>
      <c r="E939" s="50"/>
      <c r="F939" s="5"/>
      <c r="G939" s="5"/>
      <c r="H939" s="5"/>
      <c r="I939" s="5"/>
      <c r="J939" s="5"/>
      <c r="K939" s="50"/>
      <c r="L939" s="50"/>
      <c r="M939" s="50"/>
      <c r="N939" s="50"/>
      <c r="O939" s="50"/>
      <c r="P939" s="50"/>
      <c r="Q939" s="50"/>
      <c r="R939" s="50"/>
      <c r="S939" s="50"/>
      <c r="T939" s="50"/>
      <c r="U939" s="50"/>
      <c r="V939" s="50"/>
      <c r="W939" s="50"/>
      <c r="X939" s="50"/>
      <c r="Y939" s="50"/>
      <c r="Z939" s="50"/>
      <c r="AA939" s="50"/>
      <c r="AB939" s="50"/>
    </row>
    <row r="940" customFormat="false" ht="15.75" hidden="false" customHeight="false" outlineLevel="0" collapsed="false">
      <c r="A940" s="50"/>
      <c r="B940" s="50"/>
      <c r="C940" s="5"/>
      <c r="D940" s="48"/>
      <c r="E940" s="50"/>
      <c r="F940" s="5"/>
      <c r="G940" s="5"/>
      <c r="H940" s="5"/>
      <c r="I940" s="5"/>
      <c r="J940" s="5"/>
      <c r="K940" s="50"/>
      <c r="L940" s="50"/>
      <c r="M940" s="50"/>
      <c r="N940" s="50"/>
      <c r="O940" s="50"/>
      <c r="P940" s="50"/>
      <c r="Q940" s="50"/>
      <c r="R940" s="50"/>
      <c r="S940" s="50"/>
      <c r="T940" s="50"/>
      <c r="U940" s="50"/>
      <c r="V940" s="50"/>
      <c r="W940" s="50"/>
      <c r="X940" s="50"/>
      <c r="Y940" s="50"/>
      <c r="Z940" s="50"/>
      <c r="AA940" s="50"/>
      <c r="AB940" s="50"/>
    </row>
    <row r="941" customFormat="false" ht="15.75" hidden="false" customHeight="false" outlineLevel="0" collapsed="false">
      <c r="A941" s="50"/>
      <c r="B941" s="50"/>
      <c r="C941" s="5"/>
      <c r="D941" s="48"/>
      <c r="E941" s="50"/>
      <c r="F941" s="5"/>
      <c r="G941" s="5"/>
      <c r="H941" s="5"/>
      <c r="I941" s="5"/>
      <c r="J941" s="5"/>
      <c r="K941" s="50"/>
      <c r="L941" s="50"/>
      <c r="M941" s="50"/>
      <c r="N941" s="50"/>
      <c r="O941" s="50"/>
      <c r="P941" s="50"/>
      <c r="Q941" s="50"/>
      <c r="R941" s="50"/>
      <c r="S941" s="50"/>
      <c r="T941" s="50"/>
      <c r="U941" s="50"/>
      <c r="V941" s="50"/>
      <c r="W941" s="50"/>
      <c r="X941" s="50"/>
      <c r="Y941" s="50"/>
      <c r="Z941" s="50"/>
      <c r="AA941" s="50"/>
      <c r="AB941" s="50"/>
    </row>
    <row r="942" customFormat="false" ht="15.75" hidden="false" customHeight="false" outlineLevel="0" collapsed="false">
      <c r="A942" s="50"/>
      <c r="B942" s="50"/>
      <c r="C942" s="5"/>
      <c r="D942" s="48"/>
      <c r="E942" s="50"/>
      <c r="F942" s="5"/>
      <c r="G942" s="5"/>
      <c r="H942" s="5"/>
      <c r="I942" s="5"/>
      <c r="J942" s="5"/>
      <c r="K942" s="50"/>
      <c r="L942" s="50"/>
      <c r="M942" s="50"/>
      <c r="N942" s="50"/>
      <c r="O942" s="50"/>
      <c r="P942" s="50"/>
      <c r="Q942" s="50"/>
      <c r="R942" s="50"/>
      <c r="S942" s="50"/>
      <c r="T942" s="50"/>
      <c r="U942" s="50"/>
      <c r="V942" s="50"/>
      <c r="W942" s="50"/>
      <c r="X942" s="50"/>
      <c r="Y942" s="50"/>
      <c r="Z942" s="50"/>
      <c r="AA942" s="50"/>
      <c r="AB942" s="50"/>
    </row>
    <row r="943" customFormat="false" ht="15.75" hidden="false" customHeight="false" outlineLevel="0" collapsed="false">
      <c r="A943" s="50"/>
      <c r="B943" s="50"/>
      <c r="C943" s="5"/>
      <c r="D943" s="48"/>
      <c r="E943" s="50"/>
      <c r="F943" s="5"/>
      <c r="G943" s="5"/>
      <c r="H943" s="5"/>
      <c r="I943" s="5"/>
      <c r="J943" s="5"/>
      <c r="K943" s="50"/>
      <c r="L943" s="50"/>
      <c r="M943" s="50"/>
      <c r="N943" s="50"/>
      <c r="O943" s="50"/>
      <c r="P943" s="50"/>
      <c r="Q943" s="50"/>
      <c r="R943" s="50"/>
      <c r="S943" s="50"/>
      <c r="T943" s="50"/>
      <c r="U943" s="50"/>
      <c r="V943" s="50"/>
      <c r="W943" s="50"/>
      <c r="X943" s="50"/>
      <c r="Y943" s="50"/>
      <c r="Z943" s="50"/>
      <c r="AA943" s="50"/>
      <c r="AB943" s="50"/>
    </row>
    <row r="944" customFormat="false" ht="15.75" hidden="false" customHeight="false" outlineLevel="0" collapsed="false">
      <c r="A944" s="50"/>
      <c r="B944" s="50"/>
      <c r="C944" s="5"/>
      <c r="D944" s="48"/>
      <c r="E944" s="50"/>
      <c r="F944" s="5"/>
      <c r="G944" s="5"/>
      <c r="H944" s="5"/>
      <c r="I944" s="5"/>
      <c r="J944" s="5"/>
      <c r="K944" s="50"/>
      <c r="L944" s="50"/>
      <c r="M944" s="50"/>
      <c r="N944" s="50"/>
      <c r="O944" s="50"/>
      <c r="P944" s="50"/>
      <c r="Q944" s="50"/>
      <c r="R944" s="50"/>
      <c r="S944" s="50"/>
      <c r="T944" s="50"/>
      <c r="U944" s="50"/>
      <c r="V944" s="50"/>
      <c r="W944" s="50"/>
      <c r="X944" s="50"/>
      <c r="Y944" s="50"/>
      <c r="Z944" s="50"/>
      <c r="AA944" s="50"/>
      <c r="AB944" s="50"/>
    </row>
    <row r="945" customFormat="false" ht="15.75" hidden="false" customHeight="false" outlineLevel="0" collapsed="false">
      <c r="A945" s="50"/>
      <c r="B945" s="50"/>
      <c r="C945" s="5"/>
      <c r="D945" s="48"/>
      <c r="E945" s="50"/>
      <c r="F945" s="5"/>
      <c r="G945" s="5"/>
      <c r="H945" s="5"/>
      <c r="I945" s="5"/>
      <c r="J945" s="5"/>
      <c r="K945" s="50"/>
      <c r="L945" s="50"/>
      <c r="M945" s="50"/>
      <c r="N945" s="50"/>
      <c r="O945" s="50"/>
      <c r="P945" s="50"/>
      <c r="Q945" s="50"/>
      <c r="R945" s="50"/>
      <c r="S945" s="50"/>
      <c r="T945" s="50"/>
      <c r="U945" s="50"/>
      <c r="V945" s="50"/>
      <c r="W945" s="50"/>
      <c r="X945" s="50"/>
      <c r="Y945" s="50"/>
      <c r="Z945" s="50"/>
      <c r="AA945" s="50"/>
      <c r="AB945" s="50"/>
    </row>
    <row r="946" customFormat="false" ht="15.75" hidden="false" customHeight="false" outlineLevel="0" collapsed="false">
      <c r="A946" s="50"/>
      <c r="B946" s="50"/>
      <c r="C946" s="5"/>
      <c r="D946" s="48"/>
      <c r="E946" s="50"/>
      <c r="F946" s="5"/>
      <c r="G946" s="5"/>
      <c r="H946" s="5"/>
      <c r="I946" s="5"/>
      <c r="J946" s="5"/>
      <c r="K946" s="50"/>
      <c r="L946" s="50"/>
      <c r="M946" s="50"/>
      <c r="N946" s="50"/>
      <c r="O946" s="50"/>
      <c r="P946" s="50"/>
      <c r="Q946" s="50"/>
      <c r="R946" s="50"/>
      <c r="S946" s="50"/>
      <c r="T946" s="50"/>
      <c r="U946" s="50"/>
      <c r="V946" s="50"/>
      <c r="W946" s="50"/>
      <c r="X946" s="50"/>
      <c r="Y946" s="50"/>
      <c r="Z946" s="50"/>
      <c r="AA946" s="50"/>
      <c r="AB946" s="50"/>
    </row>
    <row r="947" customFormat="false" ht="15.75" hidden="false" customHeight="false" outlineLevel="0" collapsed="false">
      <c r="A947" s="50"/>
      <c r="B947" s="50"/>
      <c r="C947" s="5"/>
      <c r="D947" s="48"/>
      <c r="E947" s="50"/>
      <c r="F947" s="5"/>
      <c r="G947" s="5"/>
      <c r="H947" s="5"/>
      <c r="I947" s="5"/>
      <c r="J947" s="5"/>
      <c r="K947" s="50"/>
      <c r="L947" s="50"/>
      <c r="M947" s="50"/>
      <c r="N947" s="50"/>
      <c r="O947" s="50"/>
      <c r="P947" s="50"/>
      <c r="Q947" s="50"/>
      <c r="R947" s="50"/>
      <c r="S947" s="50"/>
      <c r="T947" s="50"/>
      <c r="U947" s="50"/>
      <c r="V947" s="50"/>
      <c r="W947" s="50"/>
      <c r="X947" s="50"/>
      <c r="Y947" s="50"/>
      <c r="Z947" s="50"/>
      <c r="AA947" s="50"/>
      <c r="AB947" s="50"/>
    </row>
    <row r="948" customFormat="false" ht="15.75" hidden="false" customHeight="false" outlineLevel="0" collapsed="false">
      <c r="A948" s="50"/>
      <c r="B948" s="50"/>
      <c r="C948" s="5"/>
      <c r="D948" s="48"/>
      <c r="E948" s="50"/>
      <c r="F948" s="5"/>
      <c r="G948" s="5"/>
      <c r="H948" s="5"/>
      <c r="I948" s="5"/>
      <c r="J948" s="5"/>
      <c r="K948" s="50"/>
      <c r="L948" s="50"/>
      <c r="M948" s="50"/>
      <c r="N948" s="50"/>
      <c r="O948" s="50"/>
      <c r="P948" s="50"/>
      <c r="Q948" s="50"/>
      <c r="R948" s="50"/>
      <c r="S948" s="50"/>
      <c r="T948" s="50"/>
      <c r="U948" s="50"/>
      <c r="V948" s="50"/>
      <c r="W948" s="50"/>
      <c r="X948" s="50"/>
      <c r="Y948" s="50"/>
      <c r="Z948" s="50"/>
      <c r="AA948" s="50"/>
      <c r="AB948" s="50"/>
    </row>
    <row r="949" customFormat="false" ht="15.75" hidden="false" customHeight="false" outlineLevel="0" collapsed="false">
      <c r="A949" s="50"/>
      <c r="B949" s="50"/>
      <c r="C949" s="5"/>
      <c r="D949" s="48"/>
      <c r="E949" s="50"/>
      <c r="F949" s="5"/>
      <c r="G949" s="5"/>
      <c r="H949" s="5"/>
      <c r="I949" s="5"/>
      <c r="J949" s="5"/>
      <c r="K949" s="50"/>
      <c r="L949" s="50"/>
      <c r="M949" s="50"/>
      <c r="N949" s="50"/>
      <c r="O949" s="50"/>
      <c r="P949" s="50"/>
      <c r="Q949" s="50"/>
      <c r="R949" s="50"/>
      <c r="S949" s="50"/>
      <c r="T949" s="50"/>
      <c r="U949" s="50"/>
      <c r="V949" s="50"/>
      <c r="W949" s="50"/>
      <c r="X949" s="50"/>
      <c r="Y949" s="50"/>
      <c r="Z949" s="50"/>
      <c r="AA949" s="50"/>
      <c r="AB949" s="50"/>
    </row>
    <row r="950" customFormat="false" ht="15.75" hidden="false" customHeight="false" outlineLevel="0" collapsed="false">
      <c r="A950" s="50"/>
      <c r="B950" s="50"/>
      <c r="C950" s="5"/>
      <c r="D950" s="48"/>
      <c r="E950" s="50"/>
      <c r="F950" s="5"/>
      <c r="G950" s="5"/>
      <c r="H950" s="5"/>
      <c r="I950" s="5"/>
      <c r="J950" s="5"/>
      <c r="K950" s="50"/>
      <c r="L950" s="50"/>
      <c r="M950" s="50"/>
      <c r="N950" s="50"/>
      <c r="O950" s="50"/>
      <c r="P950" s="50"/>
      <c r="Q950" s="50"/>
      <c r="R950" s="50"/>
      <c r="S950" s="50"/>
      <c r="T950" s="50"/>
      <c r="U950" s="50"/>
      <c r="V950" s="50"/>
      <c r="W950" s="50"/>
      <c r="X950" s="50"/>
      <c r="Y950" s="50"/>
      <c r="Z950" s="50"/>
      <c r="AA950" s="50"/>
      <c r="AB950" s="50"/>
    </row>
    <row r="951" customFormat="false" ht="15.75" hidden="false" customHeight="false" outlineLevel="0" collapsed="false">
      <c r="A951" s="50"/>
      <c r="B951" s="50"/>
      <c r="C951" s="5"/>
      <c r="D951" s="48"/>
      <c r="E951" s="50"/>
      <c r="F951" s="5"/>
      <c r="G951" s="5"/>
      <c r="H951" s="5"/>
      <c r="I951" s="5"/>
      <c r="J951" s="5"/>
      <c r="K951" s="50"/>
      <c r="L951" s="50"/>
      <c r="M951" s="50"/>
      <c r="N951" s="50"/>
      <c r="O951" s="50"/>
      <c r="P951" s="50"/>
      <c r="Q951" s="50"/>
      <c r="R951" s="50"/>
      <c r="S951" s="50"/>
      <c r="T951" s="50"/>
      <c r="U951" s="50"/>
      <c r="V951" s="50"/>
      <c r="W951" s="50"/>
      <c r="X951" s="50"/>
      <c r="Y951" s="50"/>
      <c r="Z951" s="50"/>
      <c r="AA951" s="50"/>
      <c r="AB951" s="50"/>
    </row>
    <row r="952" customFormat="false" ht="15.75" hidden="false" customHeight="false" outlineLevel="0" collapsed="false">
      <c r="A952" s="50"/>
      <c r="B952" s="50"/>
      <c r="C952" s="5"/>
      <c r="D952" s="48"/>
      <c r="E952" s="50"/>
      <c r="F952" s="5"/>
      <c r="G952" s="5"/>
      <c r="H952" s="5"/>
      <c r="I952" s="5"/>
      <c r="J952" s="5"/>
      <c r="K952" s="50"/>
      <c r="L952" s="50"/>
      <c r="M952" s="50"/>
      <c r="N952" s="50"/>
      <c r="O952" s="50"/>
      <c r="P952" s="50"/>
      <c r="Q952" s="50"/>
      <c r="R952" s="50"/>
      <c r="S952" s="50"/>
      <c r="T952" s="50"/>
      <c r="U952" s="50"/>
      <c r="V952" s="50"/>
      <c r="W952" s="50"/>
      <c r="X952" s="50"/>
      <c r="Y952" s="50"/>
      <c r="Z952" s="50"/>
      <c r="AA952" s="50"/>
      <c r="AB952" s="50"/>
    </row>
    <row r="953" customFormat="false" ht="15.75" hidden="false" customHeight="false" outlineLevel="0" collapsed="false">
      <c r="A953" s="50"/>
      <c r="B953" s="50"/>
      <c r="C953" s="5"/>
      <c r="D953" s="48"/>
      <c r="E953" s="50"/>
      <c r="F953" s="5"/>
      <c r="G953" s="5"/>
      <c r="H953" s="5"/>
      <c r="I953" s="5"/>
      <c r="J953" s="5"/>
      <c r="K953" s="50"/>
      <c r="L953" s="50"/>
      <c r="M953" s="50"/>
      <c r="N953" s="50"/>
      <c r="O953" s="50"/>
      <c r="P953" s="50"/>
      <c r="Q953" s="50"/>
      <c r="R953" s="50"/>
      <c r="S953" s="50"/>
      <c r="T953" s="50"/>
      <c r="U953" s="50"/>
      <c r="V953" s="50"/>
      <c r="W953" s="50"/>
      <c r="X953" s="50"/>
      <c r="Y953" s="50"/>
      <c r="Z953" s="50"/>
      <c r="AA953" s="50"/>
      <c r="AB953" s="50"/>
    </row>
    <row r="954" customFormat="false" ht="15.75" hidden="false" customHeight="false" outlineLevel="0" collapsed="false">
      <c r="A954" s="50"/>
      <c r="B954" s="50"/>
      <c r="C954" s="5"/>
      <c r="D954" s="48"/>
      <c r="E954" s="50"/>
      <c r="F954" s="5"/>
      <c r="G954" s="5"/>
      <c r="H954" s="5"/>
      <c r="I954" s="5"/>
      <c r="J954" s="5"/>
      <c r="K954" s="50"/>
      <c r="L954" s="50"/>
      <c r="M954" s="50"/>
      <c r="N954" s="50"/>
      <c r="O954" s="50"/>
      <c r="P954" s="50"/>
      <c r="Q954" s="50"/>
      <c r="R954" s="50"/>
      <c r="S954" s="50"/>
      <c r="T954" s="50"/>
      <c r="U954" s="50"/>
      <c r="V954" s="50"/>
      <c r="W954" s="50"/>
      <c r="X954" s="50"/>
      <c r="Y954" s="50"/>
      <c r="Z954" s="50"/>
      <c r="AA954" s="50"/>
      <c r="AB954" s="50"/>
    </row>
    <row r="955" customFormat="false" ht="15.75" hidden="false" customHeight="false" outlineLevel="0" collapsed="false">
      <c r="A955" s="50"/>
      <c r="B955" s="50"/>
      <c r="C955" s="5"/>
      <c r="D955" s="48"/>
      <c r="E955" s="50"/>
      <c r="F955" s="5"/>
      <c r="G955" s="5"/>
      <c r="H955" s="5"/>
      <c r="I955" s="5"/>
      <c r="J955" s="5"/>
      <c r="K955" s="50"/>
      <c r="L955" s="50"/>
      <c r="M955" s="50"/>
      <c r="N955" s="50"/>
      <c r="O955" s="50"/>
      <c r="P955" s="50"/>
      <c r="Q955" s="50"/>
      <c r="R955" s="50"/>
      <c r="S955" s="50"/>
      <c r="T955" s="50"/>
      <c r="U955" s="50"/>
      <c r="V955" s="50"/>
      <c r="W955" s="50"/>
      <c r="X955" s="50"/>
      <c r="Y955" s="50"/>
      <c r="Z955" s="50"/>
      <c r="AA955" s="50"/>
      <c r="AB955" s="50"/>
    </row>
    <row r="956" customFormat="false" ht="15.75" hidden="false" customHeight="false" outlineLevel="0" collapsed="false">
      <c r="A956" s="50"/>
      <c r="B956" s="50"/>
      <c r="C956" s="5"/>
      <c r="D956" s="48"/>
      <c r="E956" s="50"/>
      <c r="F956" s="5"/>
      <c r="G956" s="5"/>
      <c r="H956" s="5"/>
      <c r="I956" s="5"/>
      <c r="J956" s="5"/>
      <c r="K956" s="50"/>
      <c r="L956" s="50"/>
      <c r="M956" s="50"/>
      <c r="N956" s="50"/>
      <c r="O956" s="50"/>
      <c r="P956" s="50"/>
      <c r="Q956" s="50"/>
      <c r="R956" s="50"/>
      <c r="S956" s="50"/>
      <c r="T956" s="50"/>
      <c r="U956" s="50"/>
      <c r="V956" s="50"/>
      <c r="W956" s="50"/>
      <c r="X956" s="50"/>
      <c r="Y956" s="50"/>
      <c r="Z956" s="50"/>
      <c r="AA956" s="50"/>
      <c r="AB956" s="50"/>
    </row>
    <row r="957" customFormat="false" ht="15.75" hidden="false" customHeight="false" outlineLevel="0" collapsed="false">
      <c r="A957" s="50"/>
      <c r="B957" s="50"/>
      <c r="C957" s="5"/>
      <c r="D957" s="48"/>
      <c r="E957" s="50"/>
      <c r="F957" s="5"/>
      <c r="G957" s="5"/>
      <c r="H957" s="5"/>
      <c r="I957" s="5"/>
      <c r="J957" s="5"/>
      <c r="K957" s="50"/>
      <c r="L957" s="50"/>
      <c r="M957" s="50"/>
      <c r="N957" s="50"/>
      <c r="O957" s="50"/>
      <c r="P957" s="50"/>
      <c r="Q957" s="50"/>
      <c r="R957" s="50"/>
      <c r="S957" s="50"/>
      <c r="T957" s="50"/>
      <c r="U957" s="50"/>
      <c r="V957" s="50"/>
      <c r="W957" s="50"/>
      <c r="X957" s="50"/>
      <c r="Y957" s="50"/>
      <c r="Z957" s="50"/>
      <c r="AA957" s="50"/>
      <c r="AB957" s="50"/>
    </row>
    <row r="958" customFormat="false" ht="15.75" hidden="false" customHeight="false" outlineLevel="0" collapsed="false">
      <c r="A958" s="50"/>
      <c r="B958" s="50"/>
      <c r="C958" s="5"/>
      <c r="D958" s="48"/>
      <c r="E958" s="50"/>
      <c r="F958" s="5"/>
      <c r="G958" s="5"/>
      <c r="H958" s="5"/>
      <c r="I958" s="5"/>
      <c r="J958" s="5"/>
      <c r="K958" s="50"/>
      <c r="L958" s="50"/>
      <c r="M958" s="50"/>
      <c r="N958" s="50"/>
      <c r="O958" s="50"/>
      <c r="P958" s="50"/>
      <c r="Q958" s="50"/>
      <c r="R958" s="50"/>
      <c r="S958" s="50"/>
      <c r="T958" s="50"/>
      <c r="U958" s="50"/>
      <c r="V958" s="50"/>
      <c r="W958" s="50"/>
      <c r="X958" s="50"/>
      <c r="Y958" s="50"/>
      <c r="Z958" s="50"/>
      <c r="AA958" s="50"/>
      <c r="AB958" s="50"/>
    </row>
    <row r="959" customFormat="false" ht="15.75" hidden="false" customHeight="false" outlineLevel="0" collapsed="false">
      <c r="A959" s="50"/>
      <c r="B959" s="50"/>
      <c r="C959" s="5"/>
      <c r="D959" s="48"/>
      <c r="E959" s="50"/>
      <c r="F959" s="5"/>
      <c r="G959" s="5"/>
      <c r="H959" s="5"/>
      <c r="I959" s="5"/>
      <c r="J959" s="5"/>
      <c r="K959" s="50"/>
      <c r="L959" s="50"/>
      <c r="M959" s="50"/>
      <c r="N959" s="50"/>
      <c r="O959" s="50"/>
      <c r="P959" s="50"/>
      <c r="Q959" s="50"/>
      <c r="R959" s="50"/>
      <c r="S959" s="50"/>
      <c r="T959" s="50"/>
      <c r="U959" s="50"/>
      <c r="V959" s="50"/>
      <c r="W959" s="50"/>
      <c r="X959" s="50"/>
      <c r="Y959" s="50"/>
      <c r="Z959" s="50"/>
      <c r="AA959" s="50"/>
      <c r="AB959" s="50"/>
    </row>
    <row r="960" customFormat="false" ht="15.75" hidden="false" customHeight="false" outlineLevel="0" collapsed="false">
      <c r="A960" s="50"/>
      <c r="B960" s="50"/>
      <c r="C960" s="5"/>
      <c r="D960" s="48"/>
      <c r="E960" s="50"/>
      <c r="F960" s="5"/>
      <c r="G960" s="5"/>
      <c r="H960" s="5"/>
      <c r="I960" s="5"/>
      <c r="J960" s="5"/>
      <c r="K960" s="50"/>
      <c r="L960" s="50"/>
      <c r="M960" s="50"/>
      <c r="N960" s="50"/>
      <c r="O960" s="50"/>
      <c r="P960" s="50"/>
      <c r="Q960" s="50"/>
      <c r="R960" s="50"/>
      <c r="S960" s="50"/>
      <c r="T960" s="50"/>
      <c r="U960" s="50"/>
      <c r="V960" s="50"/>
      <c r="W960" s="50"/>
      <c r="X960" s="50"/>
      <c r="Y960" s="50"/>
      <c r="Z960" s="50"/>
      <c r="AA960" s="50"/>
      <c r="AB960" s="50"/>
    </row>
    <row r="961" customFormat="false" ht="15.75" hidden="false" customHeight="false" outlineLevel="0" collapsed="false">
      <c r="A961" s="50"/>
      <c r="B961" s="50"/>
      <c r="C961" s="5"/>
      <c r="D961" s="48"/>
      <c r="E961" s="50"/>
      <c r="F961" s="5"/>
      <c r="G961" s="5"/>
      <c r="H961" s="5"/>
      <c r="I961" s="5"/>
      <c r="J961" s="5"/>
      <c r="K961" s="50"/>
      <c r="L961" s="50"/>
      <c r="M961" s="50"/>
      <c r="N961" s="50"/>
      <c r="O961" s="50"/>
      <c r="P961" s="50"/>
      <c r="Q961" s="50"/>
      <c r="R961" s="50"/>
      <c r="S961" s="50"/>
      <c r="T961" s="50"/>
      <c r="U961" s="50"/>
      <c r="V961" s="50"/>
      <c r="W961" s="50"/>
      <c r="X961" s="50"/>
      <c r="Y961" s="50"/>
      <c r="Z961" s="50"/>
      <c r="AA961" s="50"/>
      <c r="AB961" s="50"/>
    </row>
    <row r="962" customFormat="false" ht="15.75" hidden="false" customHeight="false" outlineLevel="0" collapsed="false">
      <c r="A962" s="50"/>
      <c r="B962" s="50"/>
      <c r="C962" s="5"/>
      <c r="D962" s="48"/>
      <c r="E962" s="50"/>
      <c r="F962" s="5"/>
      <c r="G962" s="5"/>
      <c r="H962" s="5"/>
      <c r="I962" s="5"/>
      <c r="J962" s="5"/>
      <c r="K962" s="50"/>
      <c r="L962" s="50"/>
      <c r="M962" s="50"/>
      <c r="N962" s="50"/>
      <c r="O962" s="50"/>
      <c r="P962" s="50"/>
      <c r="Q962" s="50"/>
      <c r="R962" s="50"/>
      <c r="S962" s="50"/>
      <c r="T962" s="50"/>
      <c r="U962" s="50"/>
      <c r="V962" s="50"/>
      <c r="W962" s="50"/>
      <c r="X962" s="50"/>
      <c r="Y962" s="50"/>
      <c r="Z962" s="50"/>
      <c r="AA962" s="50"/>
      <c r="AB962" s="50"/>
    </row>
    <row r="963" customFormat="false" ht="15.75" hidden="false" customHeight="false" outlineLevel="0" collapsed="false">
      <c r="A963" s="50"/>
      <c r="B963" s="50"/>
      <c r="C963" s="5"/>
      <c r="D963" s="48"/>
      <c r="E963" s="50"/>
      <c r="F963" s="5"/>
      <c r="G963" s="5"/>
      <c r="H963" s="5"/>
      <c r="I963" s="5"/>
      <c r="J963" s="5"/>
      <c r="K963" s="50"/>
      <c r="L963" s="50"/>
      <c r="M963" s="50"/>
      <c r="N963" s="50"/>
      <c r="O963" s="50"/>
      <c r="P963" s="50"/>
      <c r="Q963" s="50"/>
      <c r="R963" s="50"/>
      <c r="S963" s="50"/>
      <c r="T963" s="50"/>
      <c r="U963" s="50"/>
      <c r="V963" s="50"/>
      <c r="W963" s="50"/>
      <c r="X963" s="50"/>
      <c r="Y963" s="50"/>
      <c r="Z963" s="50"/>
      <c r="AA963" s="50"/>
      <c r="AB963" s="50"/>
    </row>
    <row r="964" customFormat="false" ht="15.75" hidden="false" customHeight="false" outlineLevel="0" collapsed="false">
      <c r="A964" s="50"/>
      <c r="B964" s="50"/>
      <c r="C964" s="5"/>
      <c r="D964" s="48"/>
      <c r="E964" s="50"/>
      <c r="F964" s="5"/>
      <c r="G964" s="5"/>
      <c r="H964" s="5"/>
      <c r="I964" s="5"/>
      <c r="J964" s="5"/>
      <c r="K964" s="50"/>
      <c r="L964" s="50"/>
      <c r="M964" s="50"/>
      <c r="N964" s="50"/>
      <c r="O964" s="50"/>
      <c r="P964" s="50"/>
      <c r="Q964" s="50"/>
      <c r="R964" s="50"/>
      <c r="S964" s="50"/>
      <c r="T964" s="50"/>
      <c r="U964" s="50"/>
      <c r="V964" s="50"/>
      <c r="W964" s="50"/>
      <c r="X964" s="50"/>
      <c r="Y964" s="50"/>
      <c r="Z964" s="50"/>
      <c r="AA964" s="50"/>
      <c r="AB964" s="50"/>
    </row>
    <row r="965" customFormat="false" ht="15.75" hidden="false" customHeight="false" outlineLevel="0" collapsed="false">
      <c r="A965" s="50"/>
      <c r="B965" s="50"/>
      <c r="C965" s="5"/>
      <c r="D965" s="48"/>
      <c r="E965" s="50"/>
      <c r="F965" s="5"/>
      <c r="G965" s="5"/>
      <c r="H965" s="5"/>
      <c r="I965" s="5"/>
      <c r="J965" s="5"/>
      <c r="K965" s="50"/>
      <c r="L965" s="50"/>
      <c r="M965" s="50"/>
      <c r="N965" s="50"/>
      <c r="O965" s="50"/>
      <c r="P965" s="50"/>
      <c r="Q965" s="50"/>
      <c r="R965" s="50"/>
      <c r="S965" s="50"/>
      <c r="T965" s="50"/>
      <c r="U965" s="50"/>
      <c r="V965" s="50"/>
      <c r="W965" s="50"/>
      <c r="X965" s="50"/>
      <c r="Y965" s="50"/>
      <c r="Z965" s="50"/>
      <c r="AA965" s="50"/>
      <c r="AB965" s="50"/>
    </row>
    <row r="966" customFormat="false" ht="15.75" hidden="false" customHeight="false" outlineLevel="0" collapsed="false">
      <c r="A966" s="50"/>
      <c r="B966" s="50"/>
      <c r="C966" s="5"/>
      <c r="D966" s="48"/>
      <c r="E966" s="50"/>
      <c r="F966" s="5"/>
      <c r="G966" s="5"/>
      <c r="H966" s="5"/>
      <c r="I966" s="5"/>
      <c r="J966" s="5"/>
      <c r="K966" s="50"/>
      <c r="L966" s="50"/>
      <c r="M966" s="50"/>
      <c r="N966" s="50"/>
      <c r="O966" s="50"/>
      <c r="P966" s="50"/>
      <c r="Q966" s="50"/>
      <c r="R966" s="50"/>
      <c r="S966" s="50"/>
      <c r="T966" s="50"/>
      <c r="U966" s="50"/>
      <c r="V966" s="50"/>
      <c r="W966" s="50"/>
      <c r="X966" s="50"/>
      <c r="Y966" s="50"/>
      <c r="Z966" s="50"/>
      <c r="AA966" s="50"/>
      <c r="AB966" s="50"/>
    </row>
    <row r="967" customFormat="false" ht="15.75" hidden="false" customHeight="false" outlineLevel="0" collapsed="false">
      <c r="A967" s="50"/>
      <c r="B967" s="50"/>
      <c r="C967" s="5"/>
      <c r="D967" s="48"/>
      <c r="E967" s="50"/>
      <c r="F967" s="5"/>
      <c r="G967" s="5"/>
      <c r="H967" s="5"/>
      <c r="I967" s="5"/>
      <c r="J967" s="5"/>
      <c r="K967" s="50"/>
      <c r="L967" s="50"/>
      <c r="M967" s="50"/>
      <c r="N967" s="50"/>
      <c r="O967" s="50"/>
      <c r="P967" s="50"/>
      <c r="Q967" s="50"/>
      <c r="R967" s="50"/>
      <c r="S967" s="50"/>
      <c r="T967" s="50"/>
      <c r="U967" s="50"/>
      <c r="V967" s="50"/>
      <c r="W967" s="50"/>
      <c r="X967" s="50"/>
      <c r="Y967" s="50"/>
      <c r="Z967" s="50"/>
      <c r="AA967" s="50"/>
      <c r="AB967" s="50"/>
    </row>
    <row r="968" customFormat="false" ht="15.75" hidden="false" customHeight="false" outlineLevel="0" collapsed="false">
      <c r="A968" s="50"/>
      <c r="B968" s="50"/>
      <c r="C968" s="5"/>
      <c r="D968" s="48"/>
      <c r="E968" s="50"/>
      <c r="F968" s="5"/>
      <c r="G968" s="5"/>
      <c r="H968" s="5"/>
      <c r="I968" s="5"/>
      <c r="J968" s="5"/>
      <c r="K968" s="50"/>
      <c r="L968" s="50"/>
      <c r="M968" s="50"/>
      <c r="N968" s="50"/>
      <c r="O968" s="50"/>
      <c r="P968" s="50"/>
      <c r="Q968" s="50"/>
      <c r="R968" s="50"/>
      <c r="S968" s="50"/>
      <c r="T968" s="50"/>
      <c r="U968" s="50"/>
      <c r="V968" s="50"/>
      <c r="W968" s="50"/>
      <c r="X968" s="50"/>
      <c r="Y968" s="50"/>
      <c r="Z968" s="50"/>
      <c r="AA968" s="50"/>
      <c r="AB968" s="50"/>
    </row>
    <row r="969" customFormat="false" ht="15.75" hidden="false" customHeight="false" outlineLevel="0" collapsed="false">
      <c r="A969" s="50"/>
      <c r="B969" s="50"/>
      <c r="C969" s="5"/>
      <c r="D969" s="48"/>
      <c r="E969" s="50"/>
      <c r="F969" s="5"/>
      <c r="G969" s="5"/>
      <c r="H969" s="5"/>
      <c r="I969" s="5"/>
      <c r="J969" s="5"/>
      <c r="K969" s="50"/>
      <c r="L969" s="50"/>
      <c r="M969" s="50"/>
      <c r="N969" s="50"/>
      <c r="O969" s="50"/>
      <c r="P969" s="50"/>
      <c r="Q969" s="50"/>
      <c r="R969" s="50"/>
      <c r="S969" s="50"/>
      <c r="T969" s="50"/>
      <c r="U969" s="50"/>
      <c r="V969" s="50"/>
      <c r="W969" s="50"/>
      <c r="X969" s="50"/>
      <c r="Y969" s="50"/>
      <c r="Z969" s="50"/>
      <c r="AA969" s="50"/>
      <c r="AB969" s="50"/>
    </row>
    <row r="970" customFormat="false" ht="15.75" hidden="false" customHeight="false" outlineLevel="0" collapsed="false">
      <c r="A970" s="50"/>
      <c r="B970" s="50"/>
      <c r="C970" s="5"/>
      <c r="D970" s="48"/>
      <c r="E970" s="50"/>
      <c r="F970" s="5"/>
      <c r="G970" s="5"/>
      <c r="H970" s="5"/>
      <c r="I970" s="5"/>
      <c r="J970" s="5"/>
      <c r="K970" s="50"/>
      <c r="L970" s="50"/>
      <c r="M970" s="50"/>
      <c r="N970" s="50"/>
      <c r="O970" s="50"/>
      <c r="P970" s="50"/>
      <c r="Q970" s="50"/>
      <c r="R970" s="50"/>
      <c r="S970" s="50"/>
      <c r="T970" s="50"/>
      <c r="U970" s="50"/>
      <c r="V970" s="50"/>
      <c r="W970" s="50"/>
      <c r="X970" s="50"/>
      <c r="Y970" s="50"/>
      <c r="Z970" s="50"/>
      <c r="AA970" s="50"/>
      <c r="AB970" s="50"/>
    </row>
    <row r="971" customFormat="false" ht="15.75" hidden="false" customHeight="false" outlineLevel="0" collapsed="false">
      <c r="A971" s="50"/>
      <c r="B971" s="50"/>
      <c r="C971" s="5"/>
      <c r="D971" s="48"/>
      <c r="E971" s="50"/>
      <c r="F971" s="5"/>
      <c r="G971" s="5"/>
      <c r="H971" s="5"/>
      <c r="I971" s="5"/>
      <c r="J971" s="5"/>
      <c r="K971" s="50"/>
      <c r="L971" s="50"/>
      <c r="M971" s="50"/>
      <c r="N971" s="50"/>
      <c r="O971" s="50"/>
      <c r="P971" s="50"/>
      <c r="Q971" s="50"/>
      <c r="R971" s="50"/>
      <c r="S971" s="50"/>
      <c r="T971" s="50"/>
      <c r="U971" s="50"/>
      <c r="V971" s="50"/>
      <c r="W971" s="50"/>
      <c r="X971" s="50"/>
      <c r="Y971" s="50"/>
      <c r="Z971" s="50"/>
      <c r="AA971" s="50"/>
      <c r="AB971" s="50"/>
    </row>
    <row r="972" customFormat="false" ht="15.75" hidden="false" customHeight="false" outlineLevel="0" collapsed="false">
      <c r="A972" s="50"/>
      <c r="B972" s="50"/>
      <c r="C972" s="5"/>
      <c r="D972" s="48"/>
      <c r="E972" s="50"/>
      <c r="F972" s="5"/>
      <c r="G972" s="5"/>
      <c r="H972" s="5"/>
      <c r="I972" s="5"/>
      <c r="J972" s="5"/>
      <c r="K972" s="50"/>
      <c r="L972" s="50"/>
      <c r="M972" s="50"/>
      <c r="N972" s="50"/>
      <c r="O972" s="50"/>
      <c r="P972" s="50"/>
      <c r="Q972" s="50"/>
      <c r="R972" s="50"/>
      <c r="S972" s="50"/>
      <c r="T972" s="50"/>
      <c r="U972" s="50"/>
      <c r="V972" s="50"/>
      <c r="W972" s="50"/>
      <c r="X972" s="50"/>
      <c r="Y972" s="50"/>
      <c r="Z972" s="50"/>
      <c r="AA972" s="50"/>
      <c r="AB972" s="50"/>
    </row>
    <row r="973" customFormat="false" ht="15.75" hidden="false" customHeight="false" outlineLevel="0" collapsed="false">
      <c r="A973" s="50"/>
      <c r="B973" s="50"/>
      <c r="C973" s="5"/>
      <c r="D973" s="48"/>
      <c r="E973" s="50"/>
      <c r="F973" s="5"/>
      <c r="G973" s="5"/>
      <c r="H973" s="5"/>
      <c r="I973" s="5"/>
      <c r="J973" s="5"/>
      <c r="K973" s="50"/>
      <c r="L973" s="50"/>
      <c r="M973" s="50"/>
      <c r="N973" s="50"/>
      <c r="O973" s="50"/>
      <c r="P973" s="50"/>
      <c r="Q973" s="50"/>
      <c r="R973" s="50"/>
      <c r="S973" s="50"/>
      <c r="T973" s="50"/>
      <c r="U973" s="50"/>
      <c r="V973" s="50"/>
      <c r="W973" s="50"/>
      <c r="X973" s="50"/>
      <c r="Y973" s="50"/>
      <c r="Z973" s="50"/>
      <c r="AA973" s="50"/>
      <c r="AB973" s="50"/>
    </row>
    <row r="974" customFormat="false" ht="15.75" hidden="false" customHeight="false" outlineLevel="0" collapsed="false">
      <c r="A974" s="50"/>
      <c r="B974" s="50"/>
      <c r="C974" s="5"/>
      <c r="D974" s="48"/>
      <c r="E974" s="50"/>
      <c r="F974" s="5"/>
      <c r="G974" s="5"/>
      <c r="H974" s="5"/>
      <c r="I974" s="5"/>
      <c r="J974" s="5"/>
      <c r="K974" s="50"/>
      <c r="L974" s="50"/>
      <c r="M974" s="50"/>
      <c r="N974" s="50"/>
      <c r="O974" s="50"/>
      <c r="P974" s="50"/>
      <c r="Q974" s="50"/>
      <c r="R974" s="50"/>
      <c r="S974" s="50"/>
      <c r="T974" s="50"/>
      <c r="U974" s="50"/>
      <c r="V974" s="50"/>
      <c r="W974" s="50"/>
      <c r="X974" s="50"/>
      <c r="Y974" s="50"/>
      <c r="Z974" s="50"/>
      <c r="AA974" s="50"/>
      <c r="AB974" s="50"/>
    </row>
    <row r="975" customFormat="false" ht="15.75" hidden="false" customHeight="false" outlineLevel="0" collapsed="false">
      <c r="A975" s="50"/>
      <c r="B975" s="50"/>
      <c r="C975" s="5"/>
      <c r="D975" s="48"/>
      <c r="E975" s="50"/>
      <c r="F975" s="5"/>
      <c r="G975" s="5"/>
      <c r="H975" s="5"/>
      <c r="I975" s="5"/>
      <c r="J975" s="5"/>
      <c r="K975" s="50"/>
      <c r="L975" s="50"/>
      <c r="M975" s="50"/>
      <c r="N975" s="50"/>
      <c r="O975" s="50"/>
      <c r="P975" s="50"/>
      <c r="Q975" s="50"/>
      <c r="R975" s="50"/>
      <c r="S975" s="50"/>
      <c r="T975" s="50"/>
      <c r="U975" s="50"/>
      <c r="V975" s="50"/>
      <c r="W975" s="50"/>
      <c r="X975" s="50"/>
      <c r="Y975" s="50"/>
      <c r="Z975" s="50"/>
      <c r="AA975" s="50"/>
      <c r="AB975" s="50"/>
    </row>
    <row r="976" customFormat="false" ht="15.75" hidden="false" customHeight="false" outlineLevel="0" collapsed="false">
      <c r="A976" s="50"/>
      <c r="B976" s="50"/>
      <c r="C976" s="5"/>
      <c r="D976" s="48"/>
      <c r="E976" s="50"/>
      <c r="F976" s="5"/>
      <c r="G976" s="5"/>
      <c r="H976" s="5"/>
      <c r="I976" s="5"/>
      <c r="J976" s="5"/>
      <c r="K976" s="50"/>
      <c r="L976" s="50"/>
      <c r="M976" s="50"/>
      <c r="N976" s="50"/>
      <c r="O976" s="50"/>
      <c r="P976" s="50"/>
      <c r="Q976" s="50"/>
      <c r="R976" s="50"/>
      <c r="S976" s="50"/>
      <c r="T976" s="50"/>
      <c r="U976" s="50"/>
      <c r="V976" s="50"/>
      <c r="W976" s="50"/>
      <c r="X976" s="50"/>
      <c r="Y976" s="50"/>
      <c r="Z976" s="50"/>
      <c r="AA976" s="50"/>
      <c r="AB976" s="50"/>
    </row>
    <row r="977" customFormat="false" ht="15.75" hidden="false" customHeight="false" outlineLevel="0" collapsed="false">
      <c r="A977" s="50"/>
      <c r="B977" s="50"/>
      <c r="C977" s="5"/>
      <c r="D977" s="48"/>
      <c r="E977" s="50"/>
      <c r="F977" s="5"/>
      <c r="G977" s="5"/>
      <c r="H977" s="5"/>
      <c r="I977" s="5"/>
      <c r="J977" s="5"/>
      <c r="K977" s="50"/>
      <c r="L977" s="50"/>
      <c r="M977" s="50"/>
      <c r="N977" s="50"/>
      <c r="O977" s="50"/>
      <c r="P977" s="50"/>
      <c r="Q977" s="50"/>
      <c r="R977" s="50"/>
      <c r="S977" s="50"/>
      <c r="T977" s="50"/>
      <c r="U977" s="50"/>
      <c r="V977" s="50"/>
      <c r="W977" s="50"/>
      <c r="X977" s="50"/>
      <c r="Y977" s="50"/>
      <c r="Z977" s="50"/>
      <c r="AA977" s="50"/>
      <c r="AB977" s="50"/>
    </row>
    <row r="978" customFormat="false" ht="15.75" hidden="false" customHeight="false" outlineLevel="0" collapsed="false">
      <c r="A978" s="50"/>
      <c r="B978" s="50"/>
      <c r="C978" s="5"/>
      <c r="D978" s="48"/>
      <c r="E978" s="50"/>
      <c r="F978" s="5"/>
      <c r="G978" s="5"/>
      <c r="H978" s="5"/>
      <c r="I978" s="5"/>
      <c r="J978" s="5"/>
      <c r="K978" s="50"/>
      <c r="L978" s="50"/>
      <c r="M978" s="50"/>
      <c r="N978" s="50"/>
      <c r="O978" s="50"/>
      <c r="P978" s="50"/>
      <c r="Q978" s="50"/>
      <c r="R978" s="50"/>
      <c r="S978" s="50"/>
      <c r="T978" s="50"/>
      <c r="U978" s="50"/>
      <c r="V978" s="50"/>
      <c r="W978" s="50"/>
      <c r="X978" s="50"/>
      <c r="Y978" s="50"/>
      <c r="Z978" s="50"/>
      <c r="AA978" s="50"/>
      <c r="AB978" s="50"/>
    </row>
    <row r="979" customFormat="false" ht="15.75" hidden="false" customHeight="false" outlineLevel="0" collapsed="false">
      <c r="A979" s="50"/>
      <c r="B979" s="50"/>
      <c r="C979" s="5"/>
      <c r="D979" s="48"/>
      <c r="E979" s="50"/>
      <c r="F979" s="5"/>
      <c r="G979" s="5"/>
      <c r="H979" s="5"/>
      <c r="I979" s="5"/>
      <c r="J979" s="5"/>
      <c r="K979" s="50"/>
      <c r="L979" s="50"/>
      <c r="M979" s="50"/>
      <c r="N979" s="50"/>
      <c r="O979" s="50"/>
      <c r="P979" s="50"/>
      <c r="Q979" s="50"/>
      <c r="R979" s="50"/>
      <c r="S979" s="50"/>
      <c r="T979" s="50"/>
      <c r="U979" s="50"/>
      <c r="V979" s="50"/>
      <c r="W979" s="50"/>
      <c r="X979" s="50"/>
      <c r="Y979" s="50"/>
      <c r="Z979" s="50"/>
      <c r="AA979" s="50"/>
      <c r="AB979" s="50"/>
    </row>
    <row r="980" customFormat="false" ht="15.75" hidden="false" customHeight="false" outlineLevel="0" collapsed="false">
      <c r="A980" s="50"/>
      <c r="B980" s="50"/>
      <c r="C980" s="5"/>
      <c r="D980" s="48"/>
      <c r="E980" s="50"/>
      <c r="F980" s="5"/>
      <c r="G980" s="5"/>
      <c r="H980" s="5"/>
      <c r="I980" s="5"/>
      <c r="J980" s="5"/>
      <c r="K980" s="50"/>
      <c r="L980" s="50"/>
      <c r="M980" s="50"/>
      <c r="N980" s="50"/>
      <c r="O980" s="50"/>
      <c r="P980" s="50"/>
      <c r="Q980" s="50"/>
      <c r="R980" s="50"/>
      <c r="S980" s="50"/>
      <c r="T980" s="50"/>
      <c r="U980" s="50"/>
      <c r="V980" s="50"/>
      <c r="W980" s="50"/>
      <c r="X980" s="50"/>
      <c r="Y980" s="50"/>
      <c r="Z980" s="50"/>
      <c r="AA980" s="50"/>
      <c r="AB980" s="50"/>
    </row>
    <row r="981" customFormat="false" ht="15.75" hidden="false" customHeight="false" outlineLevel="0" collapsed="false">
      <c r="A981" s="50"/>
      <c r="B981" s="50"/>
      <c r="C981" s="5"/>
      <c r="D981" s="48"/>
      <c r="E981" s="50"/>
      <c r="F981" s="5"/>
      <c r="G981" s="5"/>
      <c r="H981" s="5"/>
      <c r="I981" s="5"/>
      <c r="J981" s="5"/>
      <c r="K981" s="50"/>
      <c r="L981" s="50"/>
      <c r="M981" s="50"/>
      <c r="N981" s="50"/>
      <c r="O981" s="50"/>
      <c r="P981" s="50"/>
      <c r="Q981" s="50"/>
      <c r="R981" s="50"/>
      <c r="S981" s="50"/>
      <c r="T981" s="50"/>
      <c r="U981" s="50"/>
      <c r="V981" s="50"/>
      <c r="W981" s="50"/>
      <c r="X981" s="50"/>
      <c r="Y981" s="50"/>
      <c r="Z981" s="50"/>
      <c r="AA981" s="50"/>
      <c r="AB981" s="50"/>
    </row>
    <row r="982" customFormat="false" ht="15.75" hidden="false" customHeight="false" outlineLevel="0" collapsed="false">
      <c r="A982" s="50"/>
      <c r="B982" s="50"/>
      <c r="C982" s="5"/>
      <c r="D982" s="48"/>
      <c r="E982" s="50"/>
      <c r="F982" s="5"/>
      <c r="G982" s="5"/>
      <c r="H982" s="5"/>
      <c r="I982" s="5"/>
      <c r="J982" s="5"/>
      <c r="K982" s="50"/>
      <c r="L982" s="50"/>
      <c r="M982" s="50"/>
      <c r="N982" s="50"/>
      <c r="O982" s="50"/>
      <c r="P982" s="50"/>
      <c r="Q982" s="50"/>
      <c r="R982" s="50"/>
      <c r="S982" s="50"/>
      <c r="T982" s="50"/>
      <c r="U982" s="50"/>
      <c r="V982" s="50"/>
      <c r="W982" s="50"/>
      <c r="X982" s="50"/>
      <c r="Y982" s="50"/>
      <c r="Z982" s="50"/>
      <c r="AA982" s="50"/>
      <c r="AB982" s="50"/>
    </row>
    <row r="983" customFormat="false" ht="15.75" hidden="false" customHeight="false" outlineLevel="0" collapsed="false">
      <c r="A983" s="50"/>
      <c r="B983" s="50"/>
      <c r="C983" s="5"/>
      <c r="D983" s="48"/>
      <c r="E983" s="50"/>
      <c r="F983" s="5"/>
      <c r="G983" s="5"/>
      <c r="H983" s="5"/>
      <c r="I983" s="5"/>
      <c r="J983" s="5"/>
      <c r="K983" s="50"/>
      <c r="L983" s="50"/>
      <c r="M983" s="50"/>
      <c r="N983" s="50"/>
      <c r="O983" s="50"/>
      <c r="P983" s="50"/>
      <c r="Q983" s="50"/>
      <c r="R983" s="50"/>
      <c r="S983" s="50"/>
      <c r="T983" s="50"/>
      <c r="U983" s="50"/>
      <c r="V983" s="50"/>
      <c r="W983" s="50"/>
      <c r="X983" s="50"/>
      <c r="Y983" s="50"/>
      <c r="Z983" s="50"/>
      <c r="AA983" s="50"/>
      <c r="AB983" s="50"/>
    </row>
    <row r="984" customFormat="false" ht="15.75" hidden="false" customHeight="false" outlineLevel="0" collapsed="false">
      <c r="A984" s="50"/>
      <c r="B984" s="50"/>
      <c r="C984" s="5"/>
      <c r="D984" s="48"/>
      <c r="E984" s="50"/>
      <c r="F984" s="5"/>
      <c r="G984" s="5"/>
      <c r="H984" s="5"/>
      <c r="I984" s="5"/>
      <c r="J984" s="5"/>
      <c r="K984" s="50"/>
      <c r="L984" s="50"/>
      <c r="M984" s="50"/>
      <c r="N984" s="50"/>
      <c r="O984" s="50"/>
      <c r="P984" s="50"/>
      <c r="Q984" s="50"/>
      <c r="R984" s="50"/>
      <c r="S984" s="50"/>
      <c r="T984" s="50"/>
      <c r="U984" s="50"/>
      <c r="V984" s="50"/>
      <c r="W984" s="50"/>
      <c r="X984" s="50"/>
      <c r="Y984" s="50"/>
      <c r="Z984" s="50"/>
      <c r="AA984" s="50"/>
      <c r="AB984" s="50"/>
    </row>
    <row r="985" customFormat="false" ht="15.75" hidden="false" customHeight="false" outlineLevel="0" collapsed="false">
      <c r="A985" s="50"/>
      <c r="B985" s="50"/>
      <c r="C985" s="5"/>
      <c r="D985" s="48"/>
      <c r="E985" s="50"/>
      <c r="F985" s="5"/>
      <c r="G985" s="5"/>
      <c r="H985" s="5"/>
      <c r="I985" s="5"/>
      <c r="J985" s="5"/>
      <c r="K985" s="50"/>
      <c r="L985" s="50"/>
      <c r="M985" s="50"/>
      <c r="N985" s="50"/>
      <c r="O985" s="50"/>
      <c r="P985" s="50"/>
      <c r="Q985" s="50"/>
      <c r="R985" s="50"/>
      <c r="S985" s="50"/>
      <c r="T985" s="50"/>
      <c r="U985" s="50"/>
      <c r="V985" s="50"/>
      <c r="W985" s="50"/>
      <c r="X985" s="50"/>
      <c r="Y985" s="50"/>
      <c r="Z985" s="50"/>
      <c r="AA985" s="50"/>
      <c r="AB985" s="50"/>
    </row>
    <row r="986" customFormat="false" ht="15.75" hidden="false" customHeight="false" outlineLevel="0" collapsed="false">
      <c r="A986" s="50"/>
      <c r="B986" s="50"/>
      <c r="C986" s="5"/>
      <c r="D986" s="48"/>
      <c r="E986" s="50"/>
      <c r="F986" s="5"/>
      <c r="G986" s="5"/>
      <c r="H986" s="5"/>
      <c r="I986" s="5"/>
      <c r="J986" s="5"/>
      <c r="K986" s="50"/>
      <c r="L986" s="50"/>
      <c r="M986" s="50"/>
      <c r="N986" s="50"/>
      <c r="O986" s="50"/>
      <c r="P986" s="50"/>
      <c r="Q986" s="50"/>
      <c r="R986" s="50"/>
      <c r="S986" s="50"/>
      <c r="T986" s="50"/>
      <c r="U986" s="50"/>
      <c r="V986" s="50"/>
      <c r="W986" s="50"/>
      <c r="X986" s="50"/>
      <c r="Y986" s="50"/>
      <c r="Z986" s="50"/>
      <c r="AA986" s="50"/>
      <c r="AB986" s="50"/>
    </row>
    <row r="987" customFormat="false" ht="15.75" hidden="false" customHeight="false" outlineLevel="0" collapsed="false">
      <c r="A987" s="50"/>
      <c r="B987" s="50"/>
      <c r="C987" s="5"/>
      <c r="D987" s="48"/>
      <c r="E987" s="50"/>
      <c r="F987" s="5"/>
      <c r="G987" s="5"/>
      <c r="H987" s="5"/>
      <c r="I987" s="5"/>
      <c r="J987" s="5"/>
      <c r="K987" s="50"/>
      <c r="L987" s="50"/>
      <c r="M987" s="50"/>
      <c r="N987" s="50"/>
      <c r="O987" s="50"/>
      <c r="P987" s="50"/>
      <c r="Q987" s="50"/>
      <c r="R987" s="50"/>
      <c r="S987" s="50"/>
      <c r="T987" s="50"/>
      <c r="U987" s="50"/>
      <c r="V987" s="50"/>
      <c r="W987" s="50"/>
      <c r="X987" s="50"/>
      <c r="Y987" s="50"/>
      <c r="Z987" s="50"/>
      <c r="AA987" s="50"/>
      <c r="AB987" s="50"/>
    </row>
    <row r="988" customFormat="false" ht="15.75" hidden="false" customHeight="false" outlineLevel="0" collapsed="false">
      <c r="A988" s="50"/>
      <c r="B988" s="50"/>
      <c r="C988" s="5"/>
      <c r="D988" s="48"/>
      <c r="E988" s="50"/>
      <c r="F988" s="5"/>
      <c r="G988" s="5"/>
      <c r="H988" s="5"/>
      <c r="I988" s="5"/>
      <c r="J988" s="5"/>
      <c r="K988" s="50"/>
      <c r="L988" s="50"/>
      <c r="M988" s="50"/>
      <c r="N988" s="50"/>
      <c r="O988" s="50"/>
      <c r="P988" s="50"/>
      <c r="Q988" s="50"/>
      <c r="R988" s="50"/>
      <c r="S988" s="50"/>
      <c r="T988" s="50"/>
      <c r="U988" s="50"/>
      <c r="V988" s="50"/>
      <c r="W988" s="50"/>
      <c r="X988" s="50"/>
      <c r="Y988" s="50"/>
      <c r="Z988" s="50"/>
      <c r="AA988" s="50"/>
      <c r="AB988" s="50"/>
    </row>
    <row r="989" customFormat="false" ht="15.75" hidden="false" customHeight="false" outlineLevel="0" collapsed="false">
      <c r="A989" s="50"/>
      <c r="B989" s="50"/>
      <c r="C989" s="5"/>
      <c r="D989" s="48"/>
      <c r="E989" s="50"/>
      <c r="F989" s="5"/>
      <c r="G989" s="5"/>
      <c r="H989" s="5"/>
      <c r="I989" s="5"/>
      <c r="J989" s="5"/>
      <c r="K989" s="50"/>
      <c r="L989" s="50"/>
      <c r="M989" s="50"/>
      <c r="N989" s="50"/>
      <c r="O989" s="50"/>
      <c r="P989" s="50"/>
      <c r="Q989" s="50"/>
      <c r="R989" s="50"/>
      <c r="S989" s="50"/>
      <c r="T989" s="50"/>
      <c r="U989" s="50"/>
      <c r="V989" s="50"/>
      <c r="W989" s="50"/>
      <c r="X989" s="50"/>
      <c r="Y989" s="50"/>
      <c r="Z989" s="50"/>
      <c r="AA989" s="50"/>
      <c r="AB989" s="50"/>
    </row>
    <row r="990" customFormat="false" ht="15.75" hidden="false" customHeight="false" outlineLevel="0" collapsed="false">
      <c r="A990" s="50"/>
      <c r="B990" s="50"/>
      <c r="C990" s="5"/>
      <c r="D990" s="48"/>
      <c r="E990" s="50"/>
      <c r="F990" s="5"/>
      <c r="G990" s="5"/>
      <c r="H990" s="5"/>
      <c r="I990" s="5"/>
      <c r="J990" s="5"/>
      <c r="K990" s="50"/>
      <c r="L990" s="50"/>
      <c r="M990" s="50"/>
      <c r="N990" s="50"/>
      <c r="O990" s="50"/>
      <c r="P990" s="50"/>
      <c r="Q990" s="50"/>
      <c r="R990" s="50"/>
      <c r="S990" s="50"/>
      <c r="T990" s="50"/>
      <c r="U990" s="50"/>
      <c r="V990" s="50"/>
      <c r="W990" s="50"/>
      <c r="X990" s="50"/>
      <c r="Y990" s="50"/>
      <c r="Z990" s="50"/>
      <c r="AA990" s="50"/>
      <c r="AB990" s="50"/>
    </row>
    <row r="991" customFormat="false" ht="15.75" hidden="false" customHeight="false" outlineLevel="0" collapsed="false">
      <c r="A991" s="50"/>
      <c r="B991" s="50"/>
      <c r="C991" s="5"/>
      <c r="D991" s="48"/>
      <c r="E991" s="50"/>
      <c r="F991" s="5"/>
      <c r="G991" s="5"/>
      <c r="H991" s="5"/>
      <c r="I991" s="5"/>
      <c r="J991" s="5"/>
      <c r="K991" s="50"/>
      <c r="L991" s="50"/>
      <c r="M991" s="50"/>
      <c r="N991" s="50"/>
      <c r="O991" s="50"/>
      <c r="P991" s="50"/>
      <c r="Q991" s="50"/>
      <c r="R991" s="50"/>
      <c r="S991" s="50"/>
      <c r="T991" s="50"/>
      <c r="U991" s="50"/>
      <c r="V991" s="50"/>
      <c r="W991" s="50"/>
      <c r="X991" s="50"/>
      <c r="Y991" s="50"/>
      <c r="Z991" s="50"/>
      <c r="AA991" s="50"/>
      <c r="AB991" s="50"/>
    </row>
    <row r="992" customFormat="false" ht="15.75" hidden="false" customHeight="false" outlineLevel="0" collapsed="false">
      <c r="A992" s="50"/>
      <c r="B992" s="50"/>
      <c r="C992" s="5"/>
      <c r="D992" s="48"/>
      <c r="E992" s="50"/>
      <c r="F992" s="5"/>
      <c r="G992" s="5"/>
      <c r="H992" s="5"/>
      <c r="I992" s="5"/>
      <c r="J992" s="5"/>
      <c r="K992" s="50"/>
      <c r="L992" s="50"/>
      <c r="M992" s="50"/>
      <c r="N992" s="50"/>
      <c r="O992" s="50"/>
      <c r="P992" s="50"/>
      <c r="Q992" s="50"/>
      <c r="R992" s="50"/>
      <c r="S992" s="50"/>
      <c r="T992" s="50"/>
      <c r="U992" s="50"/>
      <c r="V992" s="50"/>
      <c r="W992" s="50"/>
      <c r="X992" s="50"/>
      <c r="Y992" s="50"/>
      <c r="Z992" s="50"/>
      <c r="AA992" s="50"/>
      <c r="AB992" s="50"/>
    </row>
    <row r="993" customFormat="false" ht="15.75" hidden="false" customHeight="false" outlineLevel="0" collapsed="false">
      <c r="A993" s="50"/>
      <c r="B993" s="50"/>
      <c r="C993" s="5"/>
      <c r="D993" s="48"/>
      <c r="E993" s="50"/>
      <c r="F993" s="5"/>
      <c r="G993" s="5"/>
      <c r="H993" s="5"/>
      <c r="I993" s="5"/>
      <c r="J993" s="5"/>
      <c r="K993" s="50"/>
      <c r="L993" s="50"/>
      <c r="M993" s="50"/>
      <c r="N993" s="50"/>
      <c r="O993" s="50"/>
      <c r="P993" s="50"/>
      <c r="Q993" s="50"/>
      <c r="R993" s="50"/>
      <c r="S993" s="50"/>
      <c r="T993" s="50"/>
      <c r="U993" s="50"/>
      <c r="V993" s="50"/>
      <c r="W993" s="50"/>
      <c r="X993" s="50"/>
      <c r="Y993" s="50"/>
      <c r="Z993" s="50"/>
      <c r="AA993" s="50"/>
      <c r="AB993" s="50"/>
    </row>
    <row r="994" customFormat="false" ht="15.75" hidden="false" customHeight="false" outlineLevel="0" collapsed="false">
      <c r="A994" s="50"/>
      <c r="B994" s="50"/>
      <c r="C994" s="5"/>
      <c r="D994" s="48"/>
      <c r="E994" s="50"/>
      <c r="F994" s="5"/>
      <c r="G994" s="5"/>
      <c r="H994" s="5"/>
      <c r="I994" s="5"/>
      <c r="J994" s="5"/>
      <c r="K994" s="50"/>
      <c r="L994" s="50"/>
      <c r="M994" s="50"/>
      <c r="N994" s="50"/>
      <c r="O994" s="50"/>
      <c r="P994" s="50"/>
      <c r="Q994" s="50"/>
      <c r="R994" s="50"/>
      <c r="S994" s="50"/>
      <c r="T994" s="50"/>
      <c r="U994" s="50"/>
      <c r="V994" s="50"/>
      <c r="W994" s="50"/>
      <c r="X994" s="50"/>
      <c r="Y994" s="50"/>
      <c r="Z994" s="50"/>
      <c r="AA994" s="50"/>
      <c r="AB994" s="50"/>
    </row>
    <row r="995" customFormat="false" ht="15.75" hidden="false" customHeight="false" outlineLevel="0" collapsed="false">
      <c r="A995" s="50"/>
      <c r="B995" s="50"/>
      <c r="C995" s="5"/>
      <c r="D995" s="48"/>
      <c r="E995" s="50"/>
      <c r="F995" s="5"/>
      <c r="G995" s="5"/>
      <c r="H995" s="5"/>
      <c r="I995" s="5"/>
      <c r="J995" s="5"/>
      <c r="K995" s="50"/>
      <c r="L995" s="50"/>
      <c r="M995" s="50"/>
      <c r="N995" s="50"/>
      <c r="O995" s="50"/>
      <c r="P995" s="50"/>
      <c r="Q995" s="50"/>
      <c r="R995" s="50"/>
      <c r="S995" s="50"/>
      <c r="T995" s="50"/>
      <c r="U995" s="50"/>
      <c r="V995" s="50"/>
      <c r="W995" s="50"/>
      <c r="X995" s="50"/>
      <c r="Y995" s="50"/>
      <c r="Z995" s="50"/>
      <c r="AA995" s="50"/>
      <c r="AB995" s="50"/>
    </row>
    <row r="996" customFormat="false" ht="15.75" hidden="false" customHeight="false" outlineLevel="0" collapsed="false">
      <c r="A996" s="50"/>
      <c r="B996" s="50"/>
      <c r="C996" s="5"/>
      <c r="D996" s="48"/>
      <c r="E996" s="50"/>
      <c r="F996" s="5"/>
      <c r="G996" s="5"/>
      <c r="H996" s="5"/>
      <c r="I996" s="5"/>
      <c r="J996" s="5"/>
      <c r="K996" s="50"/>
      <c r="L996" s="50"/>
      <c r="M996" s="50"/>
      <c r="N996" s="50"/>
      <c r="O996" s="50"/>
      <c r="P996" s="50"/>
      <c r="Q996" s="50"/>
      <c r="R996" s="50"/>
      <c r="S996" s="50"/>
      <c r="T996" s="50"/>
      <c r="U996" s="50"/>
      <c r="V996" s="50"/>
      <c r="W996" s="50"/>
      <c r="X996" s="50"/>
      <c r="Y996" s="50"/>
      <c r="Z996" s="50"/>
      <c r="AA996" s="50"/>
      <c r="AB996" s="50"/>
    </row>
    <row r="997" customFormat="false" ht="15.75" hidden="false" customHeight="false" outlineLevel="0" collapsed="false">
      <c r="A997" s="50"/>
      <c r="B997" s="50"/>
      <c r="C997" s="5"/>
      <c r="D997" s="48"/>
      <c r="E997" s="50"/>
      <c r="F997" s="5"/>
      <c r="G997" s="5"/>
      <c r="H997" s="5"/>
      <c r="I997" s="5"/>
      <c r="J997" s="5"/>
      <c r="K997" s="50"/>
      <c r="L997" s="50"/>
      <c r="M997" s="50"/>
      <c r="N997" s="50"/>
      <c r="O997" s="50"/>
      <c r="P997" s="50"/>
      <c r="Q997" s="50"/>
      <c r="R997" s="50"/>
      <c r="S997" s="50"/>
      <c r="T997" s="50"/>
      <c r="U997" s="50"/>
      <c r="V997" s="50"/>
      <c r="W997" s="50"/>
      <c r="X997" s="50"/>
      <c r="Y997" s="50"/>
      <c r="Z997" s="50"/>
      <c r="AA997" s="50"/>
      <c r="AB997" s="50"/>
    </row>
    <row r="998" customFormat="false" ht="15.75" hidden="false" customHeight="false" outlineLevel="0" collapsed="false">
      <c r="A998" s="50"/>
      <c r="B998" s="50"/>
      <c r="C998" s="5"/>
      <c r="D998" s="48"/>
      <c r="E998" s="50"/>
      <c r="F998" s="5"/>
      <c r="G998" s="5"/>
      <c r="H998" s="5"/>
      <c r="I998" s="5"/>
      <c r="J998" s="5"/>
      <c r="K998" s="50"/>
      <c r="L998" s="50"/>
      <c r="M998" s="50"/>
      <c r="N998" s="50"/>
      <c r="O998" s="50"/>
      <c r="P998" s="50"/>
      <c r="Q998" s="50"/>
      <c r="R998" s="50"/>
      <c r="S998" s="50"/>
      <c r="T998" s="50"/>
      <c r="U998" s="50"/>
      <c r="V998" s="50"/>
      <c r="W998" s="50"/>
      <c r="X998" s="50"/>
      <c r="Y998" s="50"/>
      <c r="Z998" s="50"/>
      <c r="AA998" s="50"/>
      <c r="AB998" s="50"/>
    </row>
    <row r="999" customFormat="false" ht="15.75" hidden="false" customHeight="false" outlineLevel="0" collapsed="false">
      <c r="A999" s="50"/>
      <c r="B999" s="50"/>
      <c r="C999" s="5"/>
      <c r="D999" s="48"/>
      <c r="E999" s="50"/>
      <c r="F999" s="5"/>
      <c r="G999" s="5"/>
      <c r="H999" s="5"/>
      <c r="I999" s="5"/>
      <c r="J999" s="5"/>
      <c r="K999" s="50"/>
      <c r="L999" s="50"/>
      <c r="M999" s="50"/>
      <c r="N999" s="50"/>
      <c r="O999" s="50"/>
      <c r="P999" s="50"/>
      <c r="Q999" s="50"/>
      <c r="R999" s="50"/>
      <c r="S999" s="50"/>
      <c r="T999" s="50"/>
      <c r="U999" s="50"/>
      <c r="V999" s="50"/>
      <c r="W999" s="50"/>
      <c r="X999" s="50"/>
      <c r="Y999" s="50"/>
      <c r="Z999" s="50"/>
      <c r="AA999" s="50"/>
      <c r="AB999" s="50"/>
    </row>
    <row r="1000" customFormat="false" ht="15.75" hidden="false" customHeight="false" outlineLevel="0" collapsed="false">
      <c r="A1000" s="50"/>
      <c r="B1000" s="50"/>
      <c r="C1000" s="5"/>
      <c r="D1000" s="48"/>
      <c r="E1000" s="50"/>
      <c r="F1000" s="5"/>
      <c r="G1000" s="5"/>
      <c r="H1000" s="5"/>
      <c r="I1000" s="5"/>
      <c r="J1000" s="5"/>
      <c r="K1000" s="50"/>
      <c r="L1000" s="50"/>
      <c r="M1000" s="50"/>
      <c r="N1000" s="50"/>
      <c r="O1000" s="50"/>
      <c r="P1000" s="50"/>
      <c r="Q1000" s="50"/>
      <c r="R1000" s="50"/>
      <c r="S1000" s="50"/>
      <c r="T1000" s="50"/>
      <c r="U1000" s="50"/>
      <c r="V1000" s="50"/>
      <c r="W1000" s="50"/>
      <c r="X1000" s="50"/>
      <c r="Y1000" s="50"/>
      <c r="Z1000" s="50"/>
      <c r="AA1000" s="50"/>
      <c r="AB1000" s="50"/>
    </row>
    <row r="1001" customFormat="false" ht="15.75" hidden="false" customHeight="false" outlineLevel="0" collapsed="false">
      <c r="A1001" s="50"/>
      <c r="B1001" s="50"/>
      <c r="C1001" s="5"/>
      <c r="D1001" s="48"/>
      <c r="E1001" s="50"/>
      <c r="F1001" s="5"/>
      <c r="G1001" s="5"/>
      <c r="H1001" s="5"/>
      <c r="I1001" s="5"/>
      <c r="J1001" s="5"/>
      <c r="K1001" s="50"/>
      <c r="L1001" s="50"/>
      <c r="M1001" s="50"/>
      <c r="N1001" s="50"/>
      <c r="O1001" s="50"/>
      <c r="P1001" s="50"/>
      <c r="Q1001" s="50"/>
      <c r="R1001" s="50"/>
      <c r="S1001" s="50"/>
      <c r="T1001" s="50"/>
      <c r="U1001" s="50"/>
      <c r="V1001" s="50"/>
      <c r="W1001" s="50"/>
      <c r="X1001" s="50"/>
      <c r="Y1001" s="50"/>
      <c r="Z1001" s="50"/>
      <c r="AA1001" s="50"/>
      <c r="AB1001" s="50"/>
    </row>
    <row r="1002" customFormat="false" ht="15.75" hidden="false" customHeight="false" outlineLevel="0" collapsed="false">
      <c r="A1002" s="50"/>
      <c r="B1002" s="50"/>
      <c r="C1002" s="5"/>
      <c r="D1002" s="48"/>
      <c r="E1002" s="50"/>
      <c r="F1002" s="5"/>
      <c r="G1002" s="5"/>
      <c r="H1002" s="5"/>
      <c r="I1002" s="5"/>
      <c r="J1002" s="5"/>
      <c r="K1002" s="50"/>
      <c r="L1002" s="50"/>
      <c r="M1002" s="50"/>
      <c r="N1002" s="50"/>
      <c r="O1002" s="50"/>
      <c r="P1002" s="50"/>
      <c r="Q1002" s="50"/>
      <c r="R1002" s="50"/>
      <c r="S1002" s="50"/>
      <c r="T1002" s="50"/>
      <c r="U1002" s="50"/>
      <c r="V1002" s="50"/>
      <c r="W1002" s="50"/>
      <c r="X1002" s="50"/>
      <c r="Y1002" s="50"/>
      <c r="Z1002" s="50"/>
      <c r="AA1002" s="50"/>
      <c r="AB1002" s="50"/>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7:E10 E12:E15 E17:E20 E22:E25 E27:E30 E32:E35 E37:E40 E42:E45 E47:E50 E52:E55 E57:E60 E62:E65 E67:E70 E72:E75 E77:E80 E82:E85 E87:E90 E92:E95 E97:E100 E102:E105 E107:E110 E112:E115 E117:E120 E122:E125 E127:E130 E132:E135 E137:E140 E142:E145 E147:E150 E152:E155 E157:E160 E162:E165">
    <cfRule type="colorScale" priority="2">
      <colorScale>
        <cfvo type="formula" val="0"/>
        <cfvo type="formula" val="0.5"/>
        <cfvo type="formula" val="1"/>
        <color rgb="FFFFFFFF"/>
        <color rgb="FFF3BEB9"/>
        <color rgb="FFE67C73"/>
      </colorScale>
    </cfRule>
  </conditionalFormatting>
  <conditionalFormatting sqref="E2:E1002">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"Heading,Jeremy,Naiara,Begoña,Alba"</formula1>
      <formula2>0</formula2>
    </dataValidation>
  </dataValidations>
  <hyperlinks>
    <hyperlink ref="A2" r:id="rId2" display="https://www.berria.eus/mundua/aragonesek-lehen-lerro-politikoa-utziko-du_2125045_102.html"/>
    <hyperlink ref="A7" r:id="rId3" display="https://www.berria.eus/kirola/derbi-bikoitza_2118881_102.html"/>
    <hyperlink ref="A12" r:id="rId4" display="https://www.berria.eus/kirola/berriro-etxean-sentitzeko_2117830_102.html"/>
    <hyperlink ref="A17" r:id="rId5" display="https://www.berria.eus/komunikazioa/generacion-porno-dokumental-saioa-egin-dute-etbk-eta-tv3ek_1341518_102.html"/>
    <hyperlink ref="A22" r:id="rId6" display="https://www.berria.eus/kirola/artolak-nagusitasunez-irabazi-dio-zabaleri_2124679_102.html"/>
    <hyperlink ref="A27" r:id="rId7" display="https://www.berria.eus/mundua/gutxienez-40-hildako-eta-dozenaka-zauritu-moskun-gertatutako-tiroketa-batean_2122731_102.html"/>
    <hyperlink ref="A32" r:id="rId8" display="https://www.berria.eus/bizigiro/ohartu-behar-dugu-bizi-garen-jendartea-dominazioaren-kultura-batean-oinarritzen-dela_2121952_102.html"/>
    <hyperlink ref="A37" r:id="rId9" display="https://www.berria.eus/ekonomia/energiaren-euskal-erakundea-energia-konpainien-zergaren-aurka_234607_102.html"/>
    <hyperlink ref="A42" r:id="rId10" display="https://www.berria.eus/kultura/benat-arrutik-irabazi-du-donostia-kultura-vii-poesia-lehiaketa_2122642_102.html"/>
    <hyperlink ref="A47" r:id="rId11" display="https://www.berria.eus/mundua/aleksei-navalni-hil-da_212084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4" t="s">
        <v>29</v>
      </c>
      <c r="E1" s="45"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76" t="s">
        <v>30</v>
      </c>
      <c r="B2" s="47" t="s">
        <v>31</v>
      </c>
      <c r="C2" s="5" t="s">
        <v>18</v>
      </c>
      <c r="D2" s="48" t="s">
        <v>71</v>
      </c>
      <c r="E2" s="77" t="n">
        <f aca="false">IFERROR(__xludf.dummyfunction("COUNTA(SPLIT(D2,"" ""))/COUNTA(SPLIT($B$2,"" ""))"),0.107579462102689)</f>
        <v>0.1075794621</v>
      </c>
      <c r="F2" s="5" t="n">
        <v>1</v>
      </c>
      <c r="G2" s="5" t="n">
        <v>5</v>
      </c>
      <c r="H2" s="5" t="n">
        <v>1</v>
      </c>
      <c r="I2" s="5" t="n">
        <v>2</v>
      </c>
      <c r="J2" s="5" t="n">
        <v>3</v>
      </c>
      <c r="K2" s="50"/>
      <c r="L2" s="50"/>
      <c r="M2" s="50"/>
      <c r="N2" s="50"/>
      <c r="O2" s="50"/>
      <c r="P2" s="50"/>
      <c r="Q2" s="50"/>
      <c r="R2" s="50"/>
      <c r="S2" s="50"/>
      <c r="T2" s="50"/>
      <c r="U2" s="50"/>
      <c r="V2" s="50"/>
      <c r="W2" s="50"/>
      <c r="X2" s="50"/>
      <c r="Y2" s="50"/>
      <c r="Z2" s="50"/>
      <c r="AA2" s="50"/>
      <c r="AB2" s="50"/>
    </row>
    <row r="3" customFormat="false" ht="225" hidden="false" customHeight="true" outlineLevel="0" collapsed="false">
      <c r="A3" s="76"/>
      <c r="B3" s="76"/>
      <c r="C3" s="5" t="s">
        <v>19</v>
      </c>
      <c r="D3" s="48" t="s">
        <v>72</v>
      </c>
      <c r="E3" s="78" t="n">
        <f aca="false">IFERROR(__xludf.dummyfunction("COUNTA(SPLIT(D3,"" ""))/COUNTA(SPLIT($B$2,"" ""))"),0.15158924205379)</f>
        <v>0.1515892421</v>
      </c>
      <c r="F3" s="5" t="n">
        <v>3</v>
      </c>
      <c r="G3" s="5" t="n">
        <v>4</v>
      </c>
      <c r="H3" s="5" t="n">
        <v>5</v>
      </c>
      <c r="I3" s="5" t="n">
        <v>3</v>
      </c>
      <c r="J3" s="5" t="n">
        <v>4</v>
      </c>
      <c r="K3" s="50"/>
      <c r="L3" s="50"/>
      <c r="M3" s="50"/>
      <c r="N3" s="50"/>
      <c r="O3" s="50"/>
      <c r="P3" s="50"/>
      <c r="Q3" s="50"/>
      <c r="R3" s="50"/>
      <c r="S3" s="50"/>
      <c r="T3" s="50"/>
      <c r="U3" s="50"/>
      <c r="V3" s="50"/>
      <c r="W3" s="50"/>
      <c r="X3" s="50"/>
      <c r="Y3" s="50"/>
      <c r="Z3" s="50"/>
      <c r="AA3" s="50"/>
      <c r="AB3" s="50"/>
    </row>
    <row r="4" customFormat="false" ht="225" hidden="false" customHeight="true" outlineLevel="0" collapsed="false">
      <c r="A4" s="76"/>
      <c r="B4" s="76"/>
      <c r="C4" s="5" t="s">
        <v>8</v>
      </c>
      <c r="D4" s="48" t="s">
        <v>73</v>
      </c>
      <c r="E4" s="79" t="n">
        <f aca="false">IFERROR(__xludf.dummyfunction("COUNTA(SPLIT(D4,"" ""))/COUNTA(SPLIT($B$2,"" ""))"),0.150366748166259)</f>
        <v>0.1503667482</v>
      </c>
      <c r="F4" s="5" t="n">
        <v>1</v>
      </c>
      <c r="G4" s="5" t="n">
        <v>4</v>
      </c>
      <c r="H4" s="5" t="n">
        <v>4</v>
      </c>
      <c r="I4" s="5" t="n">
        <v>4</v>
      </c>
      <c r="J4" s="5" t="n">
        <v>5</v>
      </c>
      <c r="K4" s="50"/>
      <c r="L4" s="50"/>
      <c r="M4" s="50"/>
      <c r="N4" s="50"/>
      <c r="O4" s="50"/>
      <c r="P4" s="50"/>
      <c r="Q4" s="50"/>
      <c r="R4" s="50"/>
      <c r="S4" s="50"/>
      <c r="T4" s="50"/>
      <c r="U4" s="50"/>
      <c r="V4" s="50"/>
      <c r="W4" s="50"/>
      <c r="X4" s="50"/>
      <c r="Y4" s="50"/>
      <c r="Z4" s="50"/>
      <c r="AA4" s="50"/>
      <c r="AB4" s="50"/>
    </row>
    <row r="5" customFormat="false" ht="225" hidden="false" customHeight="true" outlineLevel="0" collapsed="false">
      <c r="A5" s="76"/>
      <c r="B5" s="76"/>
      <c r="C5" s="5" t="s">
        <v>20</v>
      </c>
      <c r="D5" s="48" t="s">
        <v>74</v>
      </c>
      <c r="E5" s="80" t="n">
        <f aca="false">IFERROR(__xludf.dummyfunction("COUNTA(SPLIT(D5,"" ""))/COUNTA(SPLIT($B$2,"" ""))"),0.287286063569682)</f>
        <v>0.2872860636</v>
      </c>
      <c r="F5" s="5" t="n">
        <v>2</v>
      </c>
      <c r="G5" s="5" t="n">
        <v>5</v>
      </c>
      <c r="H5" s="5" t="n">
        <v>1</v>
      </c>
      <c r="I5" s="5" t="n">
        <v>4</v>
      </c>
      <c r="J5" s="5" t="n">
        <v>4</v>
      </c>
      <c r="K5" s="50"/>
      <c r="L5" s="50"/>
      <c r="M5" s="50"/>
      <c r="N5" s="50"/>
      <c r="O5" s="50"/>
      <c r="P5" s="50"/>
      <c r="Q5" s="50"/>
      <c r="R5" s="50"/>
      <c r="S5" s="50"/>
      <c r="T5" s="50"/>
      <c r="U5" s="50"/>
      <c r="V5" s="50"/>
      <c r="W5" s="50"/>
      <c r="X5" s="50"/>
      <c r="Y5" s="50"/>
      <c r="Z5" s="50"/>
      <c r="AA5" s="50"/>
      <c r="AB5" s="50"/>
    </row>
    <row r="6" customFormat="false" ht="15.75" hidden="false" customHeight="false" outlineLevel="0" collapsed="false">
      <c r="A6" s="50"/>
      <c r="B6" s="50"/>
      <c r="C6" s="5"/>
      <c r="D6" s="48"/>
      <c r="E6" s="52"/>
      <c r="F6" s="5"/>
      <c r="G6" s="5"/>
      <c r="H6" s="5"/>
      <c r="I6" s="5"/>
      <c r="J6" s="5"/>
      <c r="K6" s="50"/>
      <c r="L6" s="50"/>
      <c r="M6" s="50"/>
      <c r="N6" s="50"/>
      <c r="O6" s="50"/>
      <c r="P6" s="50"/>
      <c r="Q6" s="50"/>
      <c r="R6" s="50"/>
      <c r="S6" s="50"/>
      <c r="T6" s="50"/>
      <c r="U6" s="50"/>
      <c r="V6" s="50"/>
      <c r="W6" s="50"/>
      <c r="X6" s="50"/>
      <c r="Y6" s="50"/>
      <c r="Z6" s="50"/>
      <c r="AA6" s="50"/>
      <c r="AB6" s="50"/>
    </row>
    <row r="7" customFormat="false" ht="225" hidden="false" customHeight="true" outlineLevel="0" collapsed="false">
      <c r="A7" s="53" t="s">
        <v>35</v>
      </c>
      <c r="B7" s="54" t="s">
        <v>36</v>
      </c>
      <c r="C7" s="55" t="s">
        <v>18</v>
      </c>
      <c r="D7" s="56" t="s">
        <v>75</v>
      </c>
      <c r="E7" s="81" t="n">
        <f aca="false">IFERROR(__xludf.dummyfunction("COUNTA(SPLIT(D7,"" ""))/COUNTA(SPLIT($B$7,"" ""))"),0.420833333333333)</f>
        <v>0.4208333333</v>
      </c>
      <c r="F7" s="55" t="n">
        <v>3</v>
      </c>
      <c r="G7" s="55" t="n">
        <v>4</v>
      </c>
      <c r="H7" s="55" t="n">
        <v>4</v>
      </c>
      <c r="I7" s="55" t="n">
        <v>3</v>
      </c>
      <c r="J7" s="55" t="n">
        <v>4</v>
      </c>
      <c r="K7" s="58"/>
      <c r="L7" s="58"/>
      <c r="M7" s="58"/>
      <c r="N7" s="58"/>
      <c r="O7" s="58"/>
      <c r="P7" s="58"/>
      <c r="Q7" s="58"/>
      <c r="R7" s="58"/>
      <c r="S7" s="58"/>
      <c r="T7" s="58"/>
      <c r="U7" s="58"/>
      <c r="V7" s="58"/>
      <c r="W7" s="58"/>
      <c r="X7" s="58"/>
      <c r="Y7" s="58"/>
      <c r="Z7" s="58"/>
      <c r="AA7" s="58"/>
      <c r="AB7" s="58"/>
    </row>
    <row r="8" customFormat="false" ht="225" hidden="false" customHeight="true" outlineLevel="0" collapsed="false">
      <c r="A8" s="53"/>
      <c r="B8" s="53"/>
      <c r="C8" s="5" t="s">
        <v>19</v>
      </c>
      <c r="D8" s="48" t="s">
        <v>76</v>
      </c>
      <c r="E8" s="82" t="n">
        <f aca="false">IFERROR(__xludf.dummyfunction("COUNTA(SPLIT(D8,"" ""))/COUNTA(SPLIT($B$7,"" ""))"),0.329166666666667)</f>
        <v>0.3291666667</v>
      </c>
      <c r="F8" s="5" t="n">
        <v>4</v>
      </c>
      <c r="G8" s="5" t="n">
        <v>4</v>
      </c>
      <c r="H8" s="5" t="n">
        <v>4</v>
      </c>
      <c r="I8" s="5" t="n">
        <v>3</v>
      </c>
      <c r="J8" s="5" t="n">
        <v>4</v>
      </c>
      <c r="K8" s="50"/>
      <c r="L8" s="50"/>
      <c r="M8" s="50"/>
      <c r="N8" s="50"/>
      <c r="O8" s="50"/>
      <c r="P8" s="50"/>
      <c r="Q8" s="50"/>
      <c r="R8" s="50"/>
      <c r="S8" s="50"/>
      <c r="T8" s="50"/>
      <c r="U8" s="50"/>
      <c r="V8" s="50"/>
      <c r="W8" s="50"/>
      <c r="X8" s="50"/>
      <c r="Y8" s="50"/>
      <c r="Z8" s="50"/>
      <c r="AA8" s="50"/>
      <c r="AB8" s="50"/>
    </row>
    <row r="9" customFormat="false" ht="225" hidden="false" customHeight="true" outlineLevel="0" collapsed="false">
      <c r="A9" s="53"/>
      <c r="B9" s="53"/>
      <c r="C9" s="5" t="s">
        <v>8</v>
      </c>
      <c r="D9" s="48" t="s">
        <v>77</v>
      </c>
      <c r="E9" s="83" t="n">
        <f aca="false">IFERROR(__xludf.dummyfunction("COUNTA(SPLIT(D9,"" ""))/COUNTA(SPLIT($B$7,"" ""))"),0.379166666666667)</f>
        <v>0.3791666667</v>
      </c>
      <c r="F9" s="5" t="n">
        <v>1</v>
      </c>
      <c r="G9" s="5" t="n">
        <v>4</v>
      </c>
      <c r="H9" s="5" t="n">
        <v>4</v>
      </c>
      <c r="I9" s="5" t="n">
        <v>4</v>
      </c>
      <c r="J9" s="5" t="n">
        <v>5</v>
      </c>
      <c r="K9" s="50"/>
      <c r="L9" s="50"/>
      <c r="M9" s="50"/>
      <c r="N9" s="50"/>
      <c r="O9" s="50"/>
      <c r="P9" s="50"/>
      <c r="Q9" s="50"/>
      <c r="R9" s="50"/>
      <c r="S9" s="50"/>
      <c r="T9" s="50"/>
      <c r="U9" s="50"/>
      <c r="V9" s="50"/>
      <c r="W9" s="50"/>
      <c r="X9" s="50"/>
      <c r="Y9" s="50"/>
      <c r="Z9" s="50"/>
      <c r="AA9" s="50"/>
      <c r="AB9" s="50"/>
    </row>
    <row r="10" customFormat="false" ht="225" hidden="false" customHeight="true" outlineLevel="0" collapsed="false">
      <c r="A10" s="53"/>
      <c r="B10" s="53"/>
      <c r="C10" s="5" t="s">
        <v>20</v>
      </c>
      <c r="D10" s="48" t="s">
        <v>78</v>
      </c>
      <c r="E10" s="84" t="n">
        <f aca="false">IFERROR(__xludf.dummyfunction("COUNTA(SPLIT(D10,"" ""))/COUNTA(SPLIT($B$7,"" ""))"),0.433333333333333)</f>
        <v>0.4333333333</v>
      </c>
      <c r="F10" s="5" t="n">
        <v>1</v>
      </c>
      <c r="G10" s="5" t="n">
        <v>5</v>
      </c>
      <c r="H10" s="5" t="n">
        <v>1</v>
      </c>
      <c r="I10" s="5" t="n">
        <v>4</v>
      </c>
      <c r="J10" s="5" t="n">
        <v>5</v>
      </c>
      <c r="K10" s="50"/>
      <c r="L10" s="50"/>
      <c r="M10" s="50"/>
      <c r="N10" s="50"/>
      <c r="O10" s="50"/>
      <c r="P10" s="50"/>
      <c r="Q10" s="50"/>
      <c r="R10" s="50"/>
      <c r="S10" s="50"/>
      <c r="T10" s="50"/>
      <c r="U10" s="50"/>
      <c r="V10" s="50"/>
      <c r="W10" s="50"/>
      <c r="X10" s="50"/>
      <c r="Y10" s="50"/>
      <c r="Z10" s="50"/>
      <c r="AA10" s="50"/>
      <c r="AB10" s="50"/>
    </row>
    <row r="11" customFormat="false" ht="15.75" hidden="false" customHeight="false" outlineLevel="0" collapsed="false">
      <c r="A11" s="50"/>
      <c r="B11" s="50"/>
      <c r="C11" s="5"/>
      <c r="D11" s="48"/>
      <c r="E11" s="52"/>
      <c r="F11" s="5"/>
      <c r="G11" s="5"/>
      <c r="H11" s="5"/>
      <c r="I11" s="5"/>
      <c r="J11" s="5"/>
      <c r="K11" s="50"/>
      <c r="L11" s="50"/>
      <c r="M11" s="50"/>
      <c r="N11" s="50"/>
      <c r="O11" s="50"/>
      <c r="P11" s="50"/>
      <c r="Q11" s="50"/>
      <c r="R11" s="50"/>
      <c r="S11" s="50"/>
      <c r="T11" s="50"/>
      <c r="U11" s="50"/>
      <c r="V11" s="50"/>
      <c r="W11" s="50"/>
      <c r="X11" s="50"/>
      <c r="Y11" s="50"/>
      <c r="Z11" s="50"/>
      <c r="AA11" s="50"/>
      <c r="AB11" s="50"/>
    </row>
    <row r="12" customFormat="false" ht="225" hidden="false" customHeight="true" outlineLevel="0" collapsed="false">
      <c r="A12" s="53" t="s">
        <v>39</v>
      </c>
      <c r="B12" s="54" t="s">
        <v>40</v>
      </c>
      <c r="C12" s="55" t="s">
        <v>18</v>
      </c>
      <c r="D12" s="56" t="s">
        <v>79</v>
      </c>
      <c r="E12" s="85" t="n">
        <f aca="false">IFERROR(__xludf.dummyfunction("COUNTA(SPLIT(D12,"" ""))/COUNTA(SPLIT($B$12,"" ""))"),0.354545454545455)</f>
        <v>0.3545454545</v>
      </c>
      <c r="F12" s="55" t="n">
        <v>2</v>
      </c>
      <c r="G12" s="55" t="n">
        <v>4</v>
      </c>
      <c r="H12" s="55" t="n">
        <v>1</v>
      </c>
      <c r="I12" s="55" t="n">
        <v>3</v>
      </c>
      <c r="J12" s="55" t="n">
        <v>5</v>
      </c>
      <c r="K12" s="58"/>
      <c r="L12" s="58"/>
      <c r="M12" s="58"/>
      <c r="N12" s="58"/>
      <c r="O12" s="58"/>
      <c r="P12" s="58"/>
      <c r="Q12" s="58"/>
      <c r="R12" s="58"/>
      <c r="S12" s="58"/>
      <c r="T12" s="58"/>
      <c r="U12" s="58"/>
      <c r="V12" s="58"/>
      <c r="W12" s="58"/>
      <c r="X12" s="58"/>
      <c r="Y12" s="58"/>
      <c r="Z12" s="58"/>
      <c r="AA12" s="58"/>
      <c r="AB12" s="58"/>
    </row>
    <row r="13" customFormat="false" ht="225" hidden="false" customHeight="true" outlineLevel="0" collapsed="false">
      <c r="A13" s="53"/>
      <c r="B13" s="53"/>
      <c r="C13" s="5" t="s">
        <v>19</v>
      </c>
      <c r="D13" s="48" t="s">
        <v>80</v>
      </c>
      <c r="E13" s="85" t="n">
        <f aca="false">IFERROR(__xludf.dummyfunction("COUNTA(SPLIT(D13,"" ""))/COUNTA(SPLIT($B$12,"" ""))"),0.198181818181818)</f>
        <v>0.1981818182</v>
      </c>
      <c r="F13" s="5" t="n">
        <v>3</v>
      </c>
      <c r="G13" s="5" t="n">
        <v>5</v>
      </c>
      <c r="H13" s="5" t="n">
        <v>4</v>
      </c>
      <c r="I13" s="5" t="n">
        <v>4</v>
      </c>
      <c r="J13" s="5" t="n">
        <v>5</v>
      </c>
      <c r="K13" s="50"/>
      <c r="L13" s="50"/>
      <c r="M13" s="50"/>
      <c r="N13" s="50"/>
      <c r="O13" s="50"/>
      <c r="P13" s="50"/>
      <c r="Q13" s="50"/>
      <c r="R13" s="50"/>
      <c r="S13" s="50"/>
      <c r="T13" s="50"/>
      <c r="U13" s="50"/>
      <c r="V13" s="50"/>
      <c r="W13" s="50"/>
      <c r="X13" s="50"/>
      <c r="Y13" s="50"/>
      <c r="Z13" s="50"/>
      <c r="AA13" s="50"/>
      <c r="AB13" s="50"/>
    </row>
    <row r="14" customFormat="false" ht="225" hidden="false" customHeight="true" outlineLevel="0" collapsed="false">
      <c r="A14" s="53"/>
      <c r="B14" s="53"/>
      <c r="C14" s="5" t="s">
        <v>8</v>
      </c>
      <c r="D14" s="48" t="s">
        <v>81</v>
      </c>
      <c r="E14" s="86" t="n">
        <f aca="false">IFERROR(__xludf.dummyfunction("COUNTA(SPLIT(D14,"" ""))/COUNTA(SPLIT($B$12,"" ""))"),0.296363636363636)</f>
        <v>0.2963636364</v>
      </c>
      <c r="F14" s="5" t="n">
        <v>2</v>
      </c>
      <c r="G14" s="5" t="n">
        <v>4</v>
      </c>
      <c r="H14" s="5" t="n">
        <v>4</v>
      </c>
      <c r="I14" s="5" t="n">
        <v>4</v>
      </c>
      <c r="J14" s="5" t="n">
        <v>5</v>
      </c>
      <c r="K14" s="50"/>
      <c r="L14" s="50"/>
      <c r="M14" s="50"/>
      <c r="N14" s="50"/>
      <c r="O14" s="50"/>
      <c r="P14" s="50"/>
      <c r="Q14" s="50"/>
      <c r="R14" s="50"/>
      <c r="S14" s="50"/>
      <c r="T14" s="50"/>
      <c r="U14" s="50"/>
      <c r="V14" s="50"/>
      <c r="W14" s="50"/>
      <c r="X14" s="50"/>
      <c r="Y14" s="50"/>
      <c r="Z14" s="50"/>
      <c r="AA14" s="50"/>
      <c r="AB14" s="50"/>
    </row>
    <row r="15" customFormat="false" ht="225" hidden="false" customHeight="true" outlineLevel="0" collapsed="false">
      <c r="A15" s="53"/>
      <c r="B15" s="53"/>
      <c r="C15" s="5" t="s">
        <v>20</v>
      </c>
      <c r="D15" s="48" t="s">
        <v>82</v>
      </c>
      <c r="E15" s="87" t="n">
        <f aca="false">IFERROR(__xludf.dummyfunction("COUNTA(SPLIT(D15,"" ""))/COUNTA(SPLIT($B$12,"" ""))"),0.423636363636364)</f>
        <v>0.4236363636</v>
      </c>
      <c r="F15" s="5" t="n">
        <v>4</v>
      </c>
      <c r="G15" s="5" t="n">
        <v>5</v>
      </c>
      <c r="H15" s="5" t="n">
        <v>1</v>
      </c>
      <c r="I15" s="5" t="n">
        <v>4</v>
      </c>
      <c r="J15" s="5" t="n">
        <v>5</v>
      </c>
      <c r="K15" s="50"/>
      <c r="L15" s="50"/>
      <c r="M15" s="50"/>
      <c r="N15" s="50"/>
      <c r="O15" s="50"/>
      <c r="P15" s="50"/>
      <c r="Q15" s="50"/>
      <c r="R15" s="50"/>
      <c r="S15" s="50"/>
      <c r="T15" s="50"/>
      <c r="U15" s="50"/>
      <c r="V15" s="50"/>
      <c r="W15" s="50"/>
      <c r="X15" s="50"/>
      <c r="Y15" s="50"/>
      <c r="Z15" s="50"/>
      <c r="AA15" s="50"/>
      <c r="AB15" s="50"/>
    </row>
    <row r="16" customFormat="false" ht="15.75" hidden="false" customHeight="false" outlineLevel="0" collapsed="false">
      <c r="A16" s="50"/>
      <c r="B16" s="50"/>
      <c r="C16" s="5"/>
      <c r="D16" s="48"/>
      <c r="E16" s="52"/>
      <c r="F16" s="5"/>
      <c r="G16" s="5"/>
      <c r="H16" s="5"/>
      <c r="I16" s="5"/>
      <c r="J16" s="5"/>
      <c r="K16" s="50"/>
      <c r="L16" s="50"/>
      <c r="M16" s="50"/>
      <c r="N16" s="50"/>
      <c r="O16" s="50"/>
      <c r="P16" s="50"/>
      <c r="Q16" s="50"/>
      <c r="R16" s="50"/>
      <c r="S16" s="50"/>
      <c r="T16" s="50"/>
      <c r="U16" s="50"/>
      <c r="V16" s="50"/>
      <c r="W16" s="50"/>
      <c r="X16" s="50"/>
      <c r="Y16" s="50"/>
      <c r="Z16" s="50"/>
      <c r="AA16" s="50"/>
      <c r="AB16" s="50"/>
    </row>
    <row r="17" customFormat="false" ht="225" hidden="false" customHeight="true" outlineLevel="0" collapsed="false">
      <c r="A17" s="53" t="s">
        <v>43</v>
      </c>
      <c r="B17" s="54" t="s">
        <v>44</v>
      </c>
      <c r="C17" s="55" t="s">
        <v>18</v>
      </c>
      <c r="D17" s="56" t="s">
        <v>83</v>
      </c>
      <c r="E17" s="88" t="n">
        <f aca="false">IFERROR(__xludf.dummyfunction("COUNTA(SPLIT(D17,"" ""))/COUNTA(SPLIT($B$17,"" ""))"),0.648093841642229)</f>
        <v>0.6480938416</v>
      </c>
      <c r="F17" s="55" t="n">
        <v>3</v>
      </c>
      <c r="G17" s="55" t="n">
        <v>4</v>
      </c>
      <c r="H17" s="55" t="n">
        <v>1</v>
      </c>
      <c r="I17" s="55" t="n">
        <v>3</v>
      </c>
      <c r="J17" s="55" t="n">
        <v>4</v>
      </c>
      <c r="K17" s="58"/>
      <c r="L17" s="58"/>
      <c r="M17" s="58"/>
      <c r="N17" s="58"/>
      <c r="O17" s="58"/>
      <c r="P17" s="58"/>
      <c r="Q17" s="58"/>
      <c r="R17" s="58"/>
      <c r="S17" s="58"/>
      <c r="T17" s="58"/>
      <c r="U17" s="58"/>
      <c r="V17" s="58"/>
      <c r="W17" s="58"/>
      <c r="X17" s="58"/>
      <c r="Y17" s="58"/>
      <c r="Z17" s="58"/>
      <c r="AA17" s="58"/>
      <c r="AB17" s="58"/>
    </row>
    <row r="18" customFormat="false" ht="225" hidden="false" customHeight="true" outlineLevel="0" collapsed="false">
      <c r="A18" s="53"/>
      <c r="B18" s="53"/>
      <c r="C18" s="5" t="s">
        <v>19</v>
      </c>
      <c r="D18" s="48" t="s">
        <v>84</v>
      </c>
      <c r="E18" s="89" t="n">
        <f aca="false">IFERROR(__xludf.dummyfunction("COUNTA(SPLIT(D18,"" ""))/COUNTA(SPLIT($B$17,"" ""))"),0.313782991202346)</f>
        <v>0.3137829912</v>
      </c>
      <c r="F18" s="5" t="n">
        <v>3</v>
      </c>
      <c r="G18" s="5" t="n">
        <v>5</v>
      </c>
      <c r="H18" s="5" t="n">
        <v>4</v>
      </c>
      <c r="I18" s="5" t="n">
        <v>4</v>
      </c>
      <c r="J18" s="5" t="n">
        <v>4</v>
      </c>
      <c r="K18" s="50"/>
      <c r="L18" s="50"/>
      <c r="M18" s="50"/>
      <c r="N18" s="50"/>
      <c r="O18" s="50"/>
      <c r="P18" s="50"/>
      <c r="Q18" s="50"/>
      <c r="R18" s="50"/>
      <c r="S18" s="50"/>
      <c r="T18" s="50"/>
      <c r="U18" s="50"/>
      <c r="V18" s="50"/>
      <c r="W18" s="50"/>
      <c r="X18" s="50"/>
      <c r="Y18" s="50"/>
      <c r="Z18" s="50"/>
      <c r="AA18" s="50"/>
      <c r="AB18" s="50"/>
    </row>
    <row r="19" customFormat="false" ht="225" hidden="false" customHeight="true" outlineLevel="0" collapsed="false">
      <c r="A19" s="53"/>
      <c r="B19" s="53"/>
      <c r="C19" s="5" t="s">
        <v>8</v>
      </c>
      <c r="D19" s="48" t="s">
        <v>85</v>
      </c>
      <c r="E19" s="85" t="n">
        <f aca="false">IFERROR(__xludf.dummyfunction("COUNTA(SPLIT(D19,"" ""))/COUNTA(SPLIT($B$17,"" ""))"),0.460410557184751)</f>
        <v>0.4604105572</v>
      </c>
      <c r="F19" s="5" t="n">
        <v>1</v>
      </c>
      <c r="G19" s="5" t="n">
        <v>4</v>
      </c>
      <c r="H19" s="5" t="n">
        <v>4</v>
      </c>
      <c r="I19" s="5" t="n">
        <v>4</v>
      </c>
      <c r="J19" s="5" t="n">
        <v>5</v>
      </c>
      <c r="K19" s="50"/>
      <c r="L19" s="50"/>
      <c r="M19" s="50"/>
      <c r="N19" s="50"/>
      <c r="O19" s="50"/>
      <c r="P19" s="50"/>
      <c r="Q19" s="50"/>
      <c r="R19" s="50"/>
      <c r="S19" s="50"/>
      <c r="T19" s="50"/>
      <c r="U19" s="50"/>
      <c r="V19" s="50"/>
      <c r="W19" s="50"/>
      <c r="X19" s="50"/>
      <c r="Y19" s="50"/>
      <c r="Z19" s="50"/>
      <c r="AA19" s="50"/>
      <c r="AB19" s="50"/>
    </row>
    <row r="20" customFormat="false" ht="225" hidden="false" customHeight="true" outlineLevel="0" collapsed="false">
      <c r="A20" s="53"/>
      <c r="B20" s="53"/>
      <c r="C20" s="5" t="s">
        <v>20</v>
      </c>
      <c r="D20" s="48" t="s">
        <v>86</v>
      </c>
      <c r="E20" s="90" t="n">
        <f aca="false">IFERROR(__xludf.dummyfunction("COUNTA(SPLIT(D20,"" ""))/COUNTA(SPLIT($B$17,"" ""))"),0.319648093841642)</f>
        <v>0.3196480938</v>
      </c>
      <c r="F20" s="5" t="n">
        <v>2</v>
      </c>
      <c r="G20" s="5" t="n">
        <v>4</v>
      </c>
      <c r="H20" s="5" t="n">
        <v>4</v>
      </c>
      <c r="I20" s="5" t="n">
        <v>4</v>
      </c>
      <c r="J20" s="5" t="n">
        <v>3</v>
      </c>
      <c r="K20" s="50"/>
      <c r="L20" s="50"/>
      <c r="M20" s="50"/>
      <c r="N20" s="50"/>
      <c r="O20" s="50"/>
      <c r="P20" s="50"/>
      <c r="Q20" s="50"/>
      <c r="R20" s="50"/>
      <c r="S20" s="50"/>
      <c r="T20" s="50"/>
      <c r="U20" s="50"/>
      <c r="V20" s="50"/>
      <c r="W20" s="50"/>
      <c r="X20" s="50"/>
      <c r="Y20" s="50"/>
      <c r="Z20" s="50"/>
      <c r="AA20" s="50"/>
      <c r="AB20" s="50"/>
    </row>
    <row r="21" customFormat="false" ht="15.75" hidden="false" customHeight="false" outlineLevel="0" collapsed="false">
      <c r="A21" s="50"/>
      <c r="B21" s="50"/>
      <c r="C21" s="5"/>
      <c r="D21" s="48"/>
      <c r="E21" s="52"/>
      <c r="F21" s="5"/>
      <c r="G21" s="5"/>
      <c r="H21" s="5"/>
      <c r="I21" s="5"/>
      <c r="J21" s="5"/>
      <c r="K21" s="50"/>
      <c r="L21" s="50"/>
      <c r="M21" s="50"/>
      <c r="N21" s="50"/>
      <c r="O21" s="50"/>
      <c r="P21" s="50"/>
      <c r="Q21" s="50"/>
      <c r="R21" s="50"/>
      <c r="S21" s="50"/>
      <c r="T21" s="50"/>
      <c r="U21" s="50"/>
      <c r="V21" s="50"/>
      <c r="W21" s="50"/>
      <c r="X21" s="50"/>
      <c r="Y21" s="50"/>
      <c r="Z21" s="50"/>
      <c r="AA21" s="50"/>
      <c r="AB21" s="50"/>
    </row>
    <row r="22" customFormat="false" ht="225" hidden="false" customHeight="true" outlineLevel="0" collapsed="false">
      <c r="A22" s="53" t="s">
        <v>47</v>
      </c>
      <c r="B22" s="54" t="s">
        <v>48</v>
      </c>
      <c r="C22" s="55" t="s">
        <v>18</v>
      </c>
      <c r="D22" s="56" t="s">
        <v>87</v>
      </c>
      <c r="E22" s="91" t="n">
        <f aca="false">IFERROR(__xludf.dummyfunction("COUNTA(SPLIT(D22,"" ""))/COUNTA(SPLIT($B$22,"" ""))"),0.477386934673367)</f>
        <v>0.4773869347</v>
      </c>
      <c r="F22" s="55" t="n">
        <v>2</v>
      </c>
      <c r="G22" s="55" t="n">
        <v>4</v>
      </c>
      <c r="H22" s="55" t="n">
        <v>1</v>
      </c>
      <c r="I22" s="55" t="n">
        <v>4</v>
      </c>
      <c r="J22" s="55" t="n">
        <v>5</v>
      </c>
      <c r="K22" s="58"/>
      <c r="L22" s="58"/>
      <c r="M22" s="58"/>
      <c r="N22" s="58"/>
      <c r="O22" s="58"/>
      <c r="P22" s="58"/>
      <c r="Q22" s="58"/>
      <c r="R22" s="58"/>
      <c r="S22" s="58"/>
      <c r="T22" s="58"/>
      <c r="U22" s="58"/>
      <c r="V22" s="58"/>
      <c r="W22" s="58"/>
      <c r="X22" s="58"/>
      <c r="Y22" s="58"/>
      <c r="Z22" s="58"/>
      <c r="AA22" s="58"/>
      <c r="AB22" s="58"/>
    </row>
    <row r="23" customFormat="false" ht="225" hidden="false" customHeight="true" outlineLevel="0" collapsed="false">
      <c r="A23" s="53"/>
      <c r="B23" s="53"/>
      <c r="C23" s="5" t="s">
        <v>19</v>
      </c>
      <c r="D23" s="48" t="s">
        <v>88</v>
      </c>
      <c r="E23" s="92" t="n">
        <f aca="false">IFERROR(__xludf.dummyfunction("COUNTA(SPLIT(D23,"" ""))/COUNTA(SPLIT($B$22,"" ""))"),0.298994974874372)</f>
        <v>0.2989949749</v>
      </c>
      <c r="F23" s="5" t="n">
        <v>4</v>
      </c>
      <c r="G23" s="5" t="n">
        <v>4</v>
      </c>
      <c r="H23" s="5" t="n">
        <v>4</v>
      </c>
      <c r="I23" s="5" t="n">
        <v>5</v>
      </c>
      <c r="J23" s="5" t="n">
        <v>4</v>
      </c>
      <c r="K23" s="50"/>
      <c r="L23" s="50"/>
      <c r="M23" s="50"/>
      <c r="N23" s="50"/>
      <c r="O23" s="50"/>
      <c r="P23" s="50"/>
      <c r="Q23" s="50"/>
      <c r="R23" s="50"/>
      <c r="S23" s="50"/>
      <c r="T23" s="50"/>
      <c r="U23" s="50"/>
      <c r="V23" s="50"/>
      <c r="W23" s="50"/>
      <c r="X23" s="50"/>
      <c r="Y23" s="50"/>
      <c r="Z23" s="50"/>
      <c r="AA23" s="50"/>
      <c r="AB23" s="50"/>
    </row>
    <row r="24" customFormat="false" ht="225" hidden="false" customHeight="true" outlineLevel="0" collapsed="false">
      <c r="A24" s="53"/>
      <c r="B24" s="53"/>
      <c r="C24" s="5" t="s">
        <v>8</v>
      </c>
      <c r="D24" s="48" t="s">
        <v>89</v>
      </c>
      <c r="E24" s="93" t="n">
        <f aca="false">IFERROR(__xludf.dummyfunction("COUNTA(SPLIT(D24,"" ""))/COUNTA(SPLIT($B$22,"" ""))"),0.344221105527638)</f>
        <v>0.3442211055</v>
      </c>
      <c r="F24" s="5" t="n">
        <v>2</v>
      </c>
      <c r="G24" s="5" t="n">
        <v>4</v>
      </c>
      <c r="H24" s="5" t="n">
        <v>5</v>
      </c>
      <c r="I24" s="5" t="n">
        <v>4</v>
      </c>
      <c r="J24" s="5" t="n">
        <v>5</v>
      </c>
      <c r="K24" s="50"/>
      <c r="L24" s="50"/>
      <c r="M24" s="50"/>
      <c r="N24" s="50"/>
      <c r="O24" s="50"/>
      <c r="P24" s="50"/>
      <c r="Q24" s="50"/>
      <c r="R24" s="50"/>
      <c r="S24" s="50"/>
      <c r="T24" s="50"/>
      <c r="U24" s="50"/>
      <c r="V24" s="50"/>
      <c r="W24" s="50"/>
      <c r="X24" s="50"/>
      <c r="Y24" s="50"/>
      <c r="Z24" s="50"/>
      <c r="AA24" s="50"/>
      <c r="AB24" s="50"/>
    </row>
    <row r="25" customFormat="false" ht="225" hidden="false" customHeight="true" outlineLevel="0" collapsed="false">
      <c r="A25" s="53"/>
      <c r="B25" s="53"/>
      <c r="C25" s="5" t="s">
        <v>20</v>
      </c>
      <c r="D25" s="48" t="s">
        <v>90</v>
      </c>
      <c r="E25" s="69" t="n">
        <f aca="false">IFERROR(__xludf.dummyfunction("COUNTA(SPLIT(D25,"" ""))/COUNTA(SPLIT($B$22,"" ""))"),0.369346733668342)</f>
        <v>0.3693467337</v>
      </c>
      <c r="F25" s="5" t="n">
        <v>5</v>
      </c>
      <c r="G25" s="5" t="n">
        <v>5</v>
      </c>
      <c r="H25" s="5" t="n">
        <v>1</v>
      </c>
      <c r="I25" s="5" t="n">
        <v>4</v>
      </c>
      <c r="J25" s="5" t="n">
        <v>5</v>
      </c>
      <c r="K25" s="50"/>
      <c r="L25" s="50"/>
      <c r="M25" s="50"/>
      <c r="N25" s="50"/>
      <c r="O25" s="50"/>
      <c r="P25" s="50"/>
      <c r="Q25" s="50"/>
      <c r="R25" s="50"/>
      <c r="S25" s="50"/>
      <c r="T25" s="50"/>
      <c r="U25" s="50"/>
      <c r="V25" s="50"/>
      <c r="W25" s="50"/>
      <c r="X25" s="50"/>
      <c r="Y25" s="50"/>
      <c r="Z25" s="50"/>
      <c r="AA25" s="50"/>
      <c r="AB25" s="50"/>
    </row>
    <row r="26" customFormat="false" ht="15.75" hidden="false" customHeight="false" outlineLevel="0" collapsed="false">
      <c r="A26" s="50"/>
      <c r="B26" s="50"/>
      <c r="C26" s="5"/>
      <c r="D26" s="48"/>
      <c r="E26" s="52"/>
      <c r="F26" s="5"/>
      <c r="G26" s="5"/>
      <c r="H26" s="5"/>
      <c r="I26" s="5"/>
      <c r="J26" s="5"/>
      <c r="K26" s="50"/>
      <c r="L26" s="50"/>
      <c r="M26" s="50"/>
      <c r="N26" s="50"/>
      <c r="O26" s="50"/>
      <c r="P26" s="50"/>
      <c r="Q26" s="50"/>
      <c r="R26" s="50"/>
      <c r="S26" s="50"/>
      <c r="T26" s="50"/>
      <c r="U26" s="50"/>
      <c r="V26" s="50"/>
      <c r="W26" s="50"/>
      <c r="X26" s="50"/>
      <c r="Y26" s="50"/>
      <c r="Z26" s="50"/>
      <c r="AA26" s="50"/>
      <c r="AB26" s="50"/>
    </row>
    <row r="27" customFormat="false" ht="225" hidden="false" customHeight="true" outlineLevel="0" collapsed="false">
      <c r="A27" s="53" t="s">
        <v>51</v>
      </c>
      <c r="B27" s="54" t="s">
        <v>52</v>
      </c>
      <c r="C27" s="55" t="s">
        <v>18</v>
      </c>
      <c r="D27" s="94" t="s">
        <v>91</v>
      </c>
      <c r="E27" s="95" t="n">
        <f aca="false">IFERROR(__xludf.dummyfunction("COUNTA(SPLIT(D27,"" ""))/COUNTA(SPLIT($B$27,"" ""))"),1.17008797653959)</f>
        <v>1.170087977</v>
      </c>
      <c r="F27" s="55" t="n">
        <v>5</v>
      </c>
      <c r="G27" s="55" t="n">
        <v>5</v>
      </c>
      <c r="H27" s="55" t="n">
        <v>1</v>
      </c>
      <c r="I27" s="55" t="n">
        <v>1</v>
      </c>
      <c r="J27" s="55" t="n">
        <v>5</v>
      </c>
      <c r="K27" s="58"/>
      <c r="L27" s="58"/>
      <c r="M27" s="58"/>
      <c r="N27" s="58"/>
      <c r="O27" s="58"/>
      <c r="P27" s="58"/>
      <c r="Q27" s="58"/>
      <c r="R27" s="58"/>
      <c r="S27" s="58"/>
      <c r="T27" s="58"/>
      <c r="U27" s="58"/>
      <c r="V27" s="58"/>
      <c r="W27" s="58"/>
      <c r="X27" s="58"/>
      <c r="Y27" s="58"/>
      <c r="Z27" s="58"/>
      <c r="AA27" s="58"/>
      <c r="AB27" s="58"/>
    </row>
    <row r="28" customFormat="false" ht="225" hidden="false" customHeight="true" outlineLevel="0" collapsed="false">
      <c r="A28" s="53"/>
      <c r="B28" s="53"/>
      <c r="C28" s="5" t="s">
        <v>19</v>
      </c>
      <c r="D28" s="48" t="s">
        <v>92</v>
      </c>
      <c r="E28" s="96" t="n">
        <f aca="false">IFERROR(__xludf.dummyfunction("COUNTA(SPLIT(D28,"" ""))/COUNTA(SPLIT($B$27,"" ""))"),0.258064516129032)</f>
        <v>0.2580645161</v>
      </c>
      <c r="F28" s="5" t="n">
        <v>4</v>
      </c>
      <c r="G28" s="5" t="n">
        <v>4</v>
      </c>
      <c r="H28" s="5" t="n">
        <v>4</v>
      </c>
      <c r="I28" s="5" t="n">
        <v>4</v>
      </c>
      <c r="J28" s="5" t="n">
        <v>4</v>
      </c>
      <c r="K28" s="50"/>
      <c r="L28" s="50"/>
      <c r="M28" s="50"/>
      <c r="N28" s="50"/>
      <c r="O28" s="50"/>
      <c r="P28" s="50"/>
      <c r="Q28" s="50"/>
      <c r="R28" s="50"/>
      <c r="S28" s="50"/>
      <c r="T28" s="50"/>
      <c r="U28" s="50"/>
      <c r="V28" s="50"/>
      <c r="W28" s="50"/>
      <c r="X28" s="50"/>
      <c r="Y28" s="50"/>
      <c r="Z28" s="50"/>
      <c r="AA28" s="50"/>
      <c r="AB28" s="50"/>
    </row>
    <row r="29" customFormat="false" ht="225" hidden="false" customHeight="true" outlineLevel="0" collapsed="false">
      <c r="A29" s="53"/>
      <c r="B29" s="53"/>
      <c r="C29" s="5" t="s">
        <v>8</v>
      </c>
      <c r="D29" s="48" t="s">
        <v>93</v>
      </c>
      <c r="E29" s="90" t="n">
        <f aca="false">IFERROR(__xludf.dummyfunction("COUNTA(SPLIT(D29,"" ""))/COUNTA(SPLIT($B$27,"" ""))"),0.519061583577713)</f>
        <v>0.5190615836</v>
      </c>
      <c r="F29" s="5" t="n">
        <v>2</v>
      </c>
      <c r="G29" s="5" t="n">
        <v>4</v>
      </c>
      <c r="H29" s="5" t="n">
        <v>4</v>
      </c>
      <c r="I29" s="5" t="n">
        <v>4</v>
      </c>
      <c r="J29" s="5" t="n">
        <v>5</v>
      </c>
      <c r="K29" s="50"/>
      <c r="L29" s="50"/>
      <c r="M29" s="50"/>
      <c r="N29" s="50"/>
      <c r="O29" s="50"/>
      <c r="P29" s="50"/>
      <c r="Q29" s="50"/>
      <c r="R29" s="50"/>
      <c r="S29" s="50"/>
      <c r="T29" s="50"/>
      <c r="U29" s="50"/>
      <c r="V29" s="50"/>
      <c r="W29" s="50"/>
      <c r="X29" s="50"/>
      <c r="Y29" s="50"/>
      <c r="Z29" s="50"/>
      <c r="AA29" s="50"/>
      <c r="AB29" s="50"/>
    </row>
    <row r="30" customFormat="false" ht="225" hidden="false" customHeight="true" outlineLevel="0" collapsed="false">
      <c r="A30" s="53"/>
      <c r="B30" s="53"/>
      <c r="C30" s="5" t="s">
        <v>20</v>
      </c>
      <c r="D30" s="48" t="s">
        <v>94</v>
      </c>
      <c r="E30" s="97" t="n">
        <f aca="false">IFERROR(__xludf.dummyfunction("COUNTA(SPLIT(D30,"" ""))/COUNTA(SPLIT($B$27,"" ""))"),0.190615835777126)</f>
        <v>0.1906158358</v>
      </c>
      <c r="F30" s="5" t="n">
        <v>3</v>
      </c>
      <c r="G30" s="5" t="n">
        <v>4</v>
      </c>
      <c r="H30" s="5" t="n">
        <v>4</v>
      </c>
      <c r="I30" s="5" t="n">
        <v>5</v>
      </c>
      <c r="J30" s="5" t="n">
        <v>4</v>
      </c>
      <c r="K30" s="50"/>
      <c r="L30" s="50"/>
      <c r="M30" s="50"/>
      <c r="N30" s="50"/>
      <c r="O30" s="50"/>
      <c r="P30" s="50"/>
      <c r="Q30" s="50"/>
      <c r="R30" s="50"/>
      <c r="S30" s="50"/>
      <c r="T30" s="50"/>
      <c r="U30" s="50"/>
      <c r="V30" s="50"/>
      <c r="W30" s="50"/>
      <c r="X30" s="50"/>
      <c r="Y30" s="50"/>
      <c r="Z30" s="50"/>
      <c r="AA30" s="50"/>
      <c r="AB30" s="50"/>
    </row>
    <row r="31" customFormat="false" ht="15.75" hidden="false" customHeight="false" outlineLevel="0" collapsed="false">
      <c r="A31" s="50"/>
      <c r="B31" s="50"/>
      <c r="C31" s="5"/>
      <c r="D31" s="48"/>
      <c r="E31" s="52"/>
      <c r="F31" s="5"/>
      <c r="G31" s="5"/>
      <c r="H31" s="5"/>
      <c r="I31" s="5"/>
      <c r="J31" s="5"/>
      <c r="K31" s="50"/>
      <c r="L31" s="50"/>
      <c r="M31" s="50"/>
      <c r="N31" s="50"/>
      <c r="O31" s="50"/>
      <c r="P31" s="50"/>
      <c r="Q31" s="50"/>
      <c r="R31" s="50"/>
      <c r="S31" s="50"/>
      <c r="T31" s="50"/>
      <c r="U31" s="50"/>
      <c r="V31" s="50"/>
      <c r="W31" s="50"/>
      <c r="X31" s="50"/>
      <c r="Y31" s="50"/>
      <c r="Z31" s="50"/>
      <c r="AA31" s="50"/>
      <c r="AB31" s="50"/>
    </row>
    <row r="32" customFormat="false" ht="225" hidden="false" customHeight="true" outlineLevel="0" collapsed="false">
      <c r="A32" s="53" t="s">
        <v>55</v>
      </c>
      <c r="B32" s="54" t="s">
        <v>56</v>
      </c>
      <c r="C32" s="55" t="s">
        <v>18</v>
      </c>
      <c r="D32" s="56" t="s">
        <v>95</v>
      </c>
      <c r="E32" s="68" t="n">
        <f aca="false">IFERROR(__xludf.dummyfunction("COUNTA(SPLIT(D32,"" ""))/COUNTA(SPLIT($B$32,"" ""))"),0.392491467576792)</f>
        <v>0.3924914676</v>
      </c>
      <c r="F32" s="55" t="n">
        <v>2</v>
      </c>
      <c r="G32" s="55" t="n">
        <v>5</v>
      </c>
      <c r="H32" s="55" t="n">
        <v>1</v>
      </c>
      <c r="I32" s="55" t="n">
        <v>4</v>
      </c>
      <c r="J32" s="55" t="n">
        <v>3</v>
      </c>
      <c r="K32" s="58"/>
      <c r="L32" s="58"/>
      <c r="M32" s="58"/>
      <c r="N32" s="58"/>
      <c r="O32" s="58"/>
      <c r="P32" s="58"/>
      <c r="Q32" s="58"/>
      <c r="R32" s="58"/>
      <c r="S32" s="58"/>
      <c r="T32" s="58"/>
      <c r="U32" s="58"/>
      <c r="V32" s="58"/>
      <c r="W32" s="58"/>
      <c r="X32" s="58"/>
      <c r="Y32" s="58"/>
      <c r="Z32" s="58"/>
      <c r="AA32" s="58"/>
      <c r="AB32" s="58"/>
    </row>
    <row r="33" customFormat="false" ht="225" hidden="false" customHeight="true" outlineLevel="0" collapsed="false">
      <c r="A33" s="53"/>
      <c r="B33" s="53"/>
      <c r="C33" s="5" t="s">
        <v>19</v>
      </c>
      <c r="D33" s="48" t="s">
        <v>96</v>
      </c>
      <c r="E33" s="98" t="n">
        <f aca="false">IFERROR(__xludf.dummyfunction("COUNTA(SPLIT(D33,"" ""))/COUNTA(SPLIT($B$32,"" ""))"),0.175767918088737)</f>
        <v>0.1757679181</v>
      </c>
      <c r="F33" s="5" t="n">
        <v>4</v>
      </c>
      <c r="G33" s="5" t="n">
        <v>5</v>
      </c>
      <c r="H33" s="5" t="n">
        <v>4</v>
      </c>
      <c r="I33" s="5" t="n">
        <v>5</v>
      </c>
      <c r="J33" s="5" t="n">
        <v>4</v>
      </c>
      <c r="K33" s="50"/>
      <c r="L33" s="50"/>
      <c r="M33" s="50"/>
      <c r="N33" s="50"/>
      <c r="O33" s="50"/>
      <c r="P33" s="50"/>
      <c r="Q33" s="50"/>
      <c r="R33" s="50"/>
      <c r="S33" s="50"/>
      <c r="T33" s="50"/>
      <c r="U33" s="50"/>
      <c r="V33" s="50"/>
      <c r="W33" s="50"/>
      <c r="X33" s="50"/>
      <c r="Y33" s="50"/>
      <c r="Z33" s="50"/>
      <c r="AA33" s="50"/>
      <c r="AB33" s="50"/>
    </row>
    <row r="34" customFormat="false" ht="225" hidden="false" customHeight="true" outlineLevel="0" collapsed="false">
      <c r="A34" s="53"/>
      <c r="B34" s="65"/>
      <c r="C34" s="5" t="s">
        <v>8</v>
      </c>
      <c r="D34" s="48" t="s">
        <v>97</v>
      </c>
      <c r="E34" s="99" t="n">
        <f aca="false">IFERROR(__xludf.dummyfunction("COUNTA(SPLIT(D34,"" ""))/COUNTA(SPLIT($B$32,"" ""))"),0.206484641638225)</f>
        <v>0.2064846416</v>
      </c>
      <c r="F34" s="5" t="n">
        <v>1</v>
      </c>
      <c r="G34" s="5" t="n">
        <v>5</v>
      </c>
      <c r="H34" s="5" t="n">
        <v>5</v>
      </c>
      <c r="I34" s="5" t="n">
        <v>4</v>
      </c>
      <c r="J34" s="5" t="n">
        <v>5</v>
      </c>
      <c r="K34" s="50"/>
      <c r="L34" s="50"/>
      <c r="M34" s="50"/>
      <c r="N34" s="50"/>
      <c r="O34" s="50"/>
      <c r="P34" s="50"/>
      <c r="Q34" s="50"/>
      <c r="R34" s="50"/>
      <c r="S34" s="50"/>
      <c r="T34" s="50"/>
      <c r="U34" s="50"/>
      <c r="V34" s="50"/>
      <c r="W34" s="50"/>
      <c r="X34" s="50"/>
      <c r="Y34" s="50"/>
      <c r="Z34" s="50"/>
      <c r="AA34" s="50"/>
      <c r="AB34" s="50"/>
    </row>
    <row r="35" customFormat="false" ht="225" hidden="false" customHeight="true" outlineLevel="0" collapsed="false">
      <c r="A35" s="53"/>
      <c r="B35" s="65"/>
      <c r="C35" s="5" t="s">
        <v>20</v>
      </c>
      <c r="D35" s="48" t="s">
        <v>98</v>
      </c>
      <c r="E35" s="63" t="n">
        <f aca="false">IFERROR(__xludf.dummyfunction("COUNTA(SPLIT(D35,"" ""))/COUNTA(SPLIT($B$32,"" ""))"),0.385665529010239)</f>
        <v>0.385665529</v>
      </c>
      <c r="F35" s="5" t="n">
        <v>2</v>
      </c>
      <c r="G35" s="5" t="n">
        <v>5</v>
      </c>
      <c r="H35" s="5" t="n">
        <v>1</v>
      </c>
      <c r="I35" s="5" t="n">
        <v>4</v>
      </c>
      <c r="J35" s="5" t="n">
        <v>5</v>
      </c>
      <c r="K35" s="50"/>
      <c r="L35" s="50"/>
      <c r="M35" s="50"/>
      <c r="N35" s="50"/>
      <c r="O35" s="50"/>
      <c r="P35" s="50"/>
      <c r="Q35" s="50"/>
      <c r="R35" s="50"/>
      <c r="S35" s="50"/>
      <c r="T35" s="50"/>
      <c r="U35" s="50"/>
      <c r="V35" s="50"/>
      <c r="W35" s="50"/>
      <c r="X35" s="50"/>
      <c r="Y35" s="50"/>
      <c r="Z35" s="50"/>
      <c r="AA35" s="50"/>
      <c r="AB35" s="50"/>
    </row>
    <row r="36" customFormat="false" ht="15.75" hidden="false" customHeight="false" outlineLevel="0" collapsed="false">
      <c r="A36" s="50"/>
      <c r="B36" s="50"/>
      <c r="C36" s="5"/>
      <c r="D36" s="48"/>
      <c r="E36" s="52"/>
      <c r="F36" s="5"/>
      <c r="G36" s="5"/>
      <c r="H36" s="5"/>
      <c r="I36" s="5"/>
      <c r="J36" s="5"/>
      <c r="K36" s="50"/>
      <c r="L36" s="50"/>
      <c r="M36" s="50"/>
      <c r="N36" s="50"/>
      <c r="O36" s="50"/>
      <c r="P36" s="50"/>
      <c r="Q36" s="50"/>
      <c r="R36" s="50"/>
      <c r="S36" s="50"/>
      <c r="T36" s="50"/>
      <c r="U36" s="50"/>
      <c r="V36" s="50"/>
      <c r="W36" s="50"/>
      <c r="X36" s="50"/>
      <c r="Y36" s="50"/>
      <c r="Z36" s="50"/>
      <c r="AA36" s="50"/>
      <c r="AB36" s="50"/>
    </row>
    <row r="37" customFormat="false" ht="225" hidden="false" customHeight="true" outlineLevel="0" collapsed="false">
      <c r="A37" s="53" t="s">
        <v>59</v>
      </c>
      <c r="B37" s="54" t="s">
        <v>60</v>
      </c>
      <c r="C37" s="55" t="s">
        <v>18</v>
      </c>
      <c r="D37" s="56" t="s">
        <v>99</v>
      </c>
      <c r="E37" s="78" t="n">
        <f aca="false">IFERROR(__xludf.dummyfunction("COUNTA(SPLIT(D37,"" ""))/COUNTA(SPLIT($B$37,"" ""))"),0.651474530831099)</f>
        <v>0.6514745308</v>
      </c>
      <c r="F37" s="55" t="n">
        <v>2</v>
      </c>
      <c r="G37" s="55" t="n">
        <v>5</v>
      </c>
      <c r="H37" s="55" t="n">
        <v>1</v>
      </c>
      <c r="I37" s="55" t="n">
        <v>4</v>
      </c>
      <c r="J37" s="55" t="n">
        <v>5</v>
      </c>
      <c r="K37" s="58"/>
      <c r="L37" s="58"/>
      <c r="M37" s="58"/>
      <c r="N37" s="58"/>
      <c r="O37" s="58"/>
      <c r="P37" s="58"/>
      <c r="Q37" s="58"/>
      <c r="R37" s="58"/>
      <c r="S37" s="58"/>
      <c r="T37" s="58"/>
      <c r="U37" s="58"/>
      <c r="V37" s="58"/>
      <c r="W37" s="58"/>
      <c r="X37" s="58"/>
      <c r="Y37" s="58"/>
      <c r="Z37" s="58"/>
      <c r="AA37" s="58"/>
      <c r="AB37" s="58"/>
    </row>
    <row r="38" customFormat="false" ht="225" hidden="false" customHeight="true" outlineLevel="0" collapsed="false">
      <c r="A38" s="53"/>
      <c r="B38" s="53"/>
      <c r="C38" s="5" t="s">
        <v>19</v>
      </c>
      <c r="D38" s="48" t="s">
        <v>100</v>
      </c>
      <c r="E38" s="100" t="n">
        <f aca="false">IFERROR(__xludf.dummyfunction("COUNTA(SPLIT(D38,"" ""))/COUNTA(SPLIT($B$37,"" ""))"),0.308310991957105)</f>
        <v>0.308310992</v>
      </c>
      <c r="F38" s="5" t="n">
        <v>3</v>
      </c>
      <c r="G38" s="5" t="n">
        <v>4</v>
      </c>
      <c r="H38" s="5" t="n">
        <v>4</v>
      </c>
      <c r="I38" s="5" t="n">
        <v>4</v>
      </c>
      <c r="J38" s="5" t="n">
        <v>4</v>
      </c>
      <c r="K38" s="50"/>
      <c r="L38" s="50"/>
      <c r="M38" s="50"/>
      <c r="N38" s="50"/>
      <c r="O38" s="50"/>
      <c r="P38" s="50"/>
      <c r="Q38" s="50"/>
      <c r="R38" s="50"/>
      <c r="S38" s="50"/>
      <c r="T38" s="50"/>
      <c r="U38" s="50"/>
      <c r="V38" s="50"/>
      <c r="W38" s="50"/>
      <c r="X38" s="50"/>
      <c r="Y38" s="50"/>
      <c r="Z38" s="50"/>
      <c r="AA38" s="50"/>
      <c r="AB38" s="50"/>
    </row>
    <row r="39" customFormat="false" ht="225" hidden="false" customHeight="true" outlineLevel="0" collapsed="false">
      <c r="A39" s="53"/>
      <c r="B39" s="53"/>
      <c r="C39" s="5" t="s">
        <v>8</v>
      </c>
      <c r="D39" s="48" t="s">
        <v>101</v>
      </c>
      <c r="E39" s="87" t="n">
        <f aca="false">IFERROR(__xludf.dummyfunction("COUNTA(SPLIT(D39,"" ""))/COUNTA(SPLIT($B$37,"" ""))"),0.522788203753351)</f>
        <v>0.5227882038</v>
      </c>
      <c r="F39" s="5" t="n">
        <v>2</v>
      </c>
      <c r="G39" s="5" t="n">
        <v>4</v>
      </c>
      <c r="H39" s="5" t="n">
        <v>5</v>
      </c>
      <c r="I39" s="5" t="n">
        <v>3</v>
      </c>
      <c r="J39" s="5" t="n">
        <v>5</v>
      </c>
      <c r="K39" s="50"/>
      <c r="L39" s="50"/>
      <c r="M39" s="50"/>
      <c r="N39" s="50"/>
      <c r="O39" s="50"/>
      <c r="P39" s="50"/>
      <c r="Q39" s="50"/>
      <c r="R39" s="50"/>
      <c r="S39" s="50"/>
      <c r="T39" s="50"/>
      <c r="U39" s="50"/>
      <c r="V39" s="50"/>
      <c r="W39" s="50"/>
      <c r="X39" s="50"/>
      <c r="Y39" s="50"/>
      <c r="Z39" s="50"/>
      <c r="AA39" s="50"/>
      <c r="AB39" s="50"/>
    </row>
    <row r="40" customFormat="false" ht="225" hidden="false" customHeight="true" outlineLevel="0" collapsed="false">
      <c r="A40" s="53"/>
      <c r="B40" s="53"/>
      <c r="C40" s="5" t="s">
        <v>20</v>
      </c>
      <c r="D40" s="48" t="s">
        <v>102</v>
      </c>
      <c r="E40" s="80" t="n">
        <f aca="false">IFERROR(__xludf.dummyfunction("COUNTA(SPLIT(D40,"" ""))/COUNTA(SPLIT($B$37,"" ""))"),0.423592493297587)</f>
        <v>0.4235924933</v>
      </c>
      <c r="F40" s="5" t="n">
        <v>5</v>
      </c>
      <c r="G40" s="5" t="n">
        <v>5</v>
      </c>
      <c r="H40" s="5" t="n">
        <v>1</v>
      </c>
      <c r="I40" s="5" t="n">
        <v>4</v>
      </c>
      <c r="J40" s="5" t="n">
        <v>5</v>
      </c>
      <c r="K40" s="50"/>
      <c r="L40" s="50"/>
      <c r="M40" s="50"/>
      <c r="N40" s="50"/>
      <c r="O40" s="50"/>
      <c r="P40" s="50"/>
      <c r="Q40" s="50"/>
      <c r="R40" s="50"/>
      <c r="S40" s="50"/>
      <c r="T40" s="50"/>
      <c r="U40" s="50"/>
      <c r="V40" s="50"/>
      <c r="W40" s="50"/>
      <c r="X40" s="50"/>
      <c r="Y40" s="50"/>
      <c r="Z40" s="50"/>
      <c r="AA40" s="50"/>
      <c r="AB40" s="50"/>
    </row>
    <row r="41" customFormat="false" ht="15.75" hidden="false" customHeight="false" outlineLevel="0" collapsed="false">
      <c r="A41" s="50"/>
      <c r="B41" s="50"/>
      <c r="C41" s="5"/>
      <c r="D41" s="48"/>
      <c r="E41" s="52"/>
      <c r="F41" s="5"/>
      <c r="G41" s="5"/>
      <c r="H41" s="5"/>
      <c r="I41" s="5"/>
      <c r="J41" s="5"/>
      <c r="K41" s="50"/>
      <c r="L41" s="50"/>
      <c r="M41" s="50"/>
      <c r="N41" s="50"/>
      <c r="O41" s="50"/>
      <c r="P41" s="50"/>
      <c r="Q41" s="50"/>
      <c r="R41" s="50"/>
      <c r="S41" s="50"/>
      <c r="T41" s="50"/>
      <c r="U41" s="50"/>
      <c r="V41" s="50"/>
      <c r="W41" s="50"/>
      <c r="X41" s="50"/>
      <c r="Y41" s="50"/>
      <c r="Z41" s="50"/>
      <c r="AA41" s="50"/>
      <c r="AB41" s="50"/>
    </row>
    <row r="42" customFormat="false" ht="225" hidden="false" customHeight="true" outlineLevel="0" collapsed="false">
      <c r="A42" s="53" t="s">
        <v>63</v>
      </c>
      <c r="B42" s="54" t="s">
        <v>64</v>
      </c>
      <c r="C42" s="55" t="s">
        <v>18</v>
      </c>
      <c r="D42" s="56" t="s">
        <v>103</v>
      </c>
      <c r="E42" s="78" t="n">
        <f aca="false">IFERROR(__xludf.dummyfunction("COUNTA(SPLIT(D42,"" ""))/COUNTA(SPLIT($B$42,"" ""))"),1.30188679245283)</f>
        <v>1.301886792</v>
      </c>
      <c r="F42" s="55" t="n">
        <v>5</v>
      </c>
      <c r="G42" s="55" t="n">
        <v>4</v>
      </c>
      <c r="H42" s="55" t="n">
        <v>1</v>
      </c>
      <c r="I42" s="55" t="n">
        <v>1</v>
      </c>
      <c r="J42" s="55" t="n">
        <v>5</v>
      </c>
      <c r="K42" s="58"/>
      <c r="L42" s="58"/>
      <c r="M42" s="58"/>
      <c r="N42" s="58"/>
      <c r="O42" s="58"/>
      <c r="P42" s="58"/>
      <c r="Q42" s="58"/>
      <c r="R42" s="58"/>
      <c r="S42" s="58"/>
      <c r="T42" s="58"/>
      <c r="U42" s="58"/>
      <c r="V42" s="58"/>
      <c r="W42" s="58"/>
      <c r="X42" s="58"/>
      <c r="Y42" s="58"/>
      <c r="Z42" s="58"/>
      <c r="AA42" s="58"/>
      <c r="AB42" s="58"/>
    </row>
    <row r="43" customFormat="false" ht="225" hidden="false" customHeight="true" outlineLevel="0" collapsed="false">
      <c r="A43" s="53"/>
      <c r="B43" s="53"/>
      <c r="C43" s="5" t="s">
        <v>19</v>
      </c>
      <c r="D43" s="48" t="s">
        <v>104</v>
      </c>
      <c r="E43" s="78" t="n">
        <f aca="false">IFERROR(__xludf.dummyfunction("COUNTA(SPLIT(D43,"" ""))/COUNTA(SPLIT($B$42,"" ""))"),0.400943396226415)</f>
        <v>0.4009433962</v>
      </c>
      <c r="F43" s="5" t="n">
        <v>4</v>
      </c>
      <c r="G43" s="5" t="n">
        <v>5</v>
      </c>
      <c r="H43" s="5" t="n">
        <v>5</v>
      </c>
      <c r="I43" s="5" t="n">
        <v>3</v>
      </c>
      <c r="J43" s="5" t="n">
        <v>5</v>
      </c>
      <c r="K43" s="50"/>
      <c r="L43" s="50"/>
      <c r="M43" s="50"/>
      <c r="N43" s="50"/>
      <c r="O43" s="50"/>
      <c r="P43" s="50"/>
      <c r="Q43" s="50"/>
      <c r="R43" s="50"/>
      <c r="S43" s="50"/>
      <c r="T43" s="50"/>
      <c r="U43" s="50"/>
      <c r="V43" s="50"/>
      <c r="W43" s="50"/>
      <c r="X43" s="50"/>
      <c r="Y43" s="50"/>
      <c r="Z43" s="50"/>
      <c r="AA43" s="50"/>
      <c r="AB43" s="50"/>
    </row>
    <row r="44" customFormat="false" ht="225" hidden="false" customHeight="true" outlineLevel="0" collapsed="false">
      <c r="A44" s="53"/>
      <c r="B44" s="53"/>
      <c r="C44" s="5" t="s">
        <v>8</v>
      </c>
      <c r="D44" s="48" t="s">
        <v>105</v>
      </c>
      <c r="E44" s="101" t="n">
        <f aca="false">IFERROR(__xludf.dummyfunction("COUNTA(SPLIT(D44,"" ""))/COUNTA(SPLIT($B$42,"" ""))"),0.55188679245283)</f>
        <v>0.5518867925</v>
      </c>
      <c r="F44" s="5" t="n">
        <v>1</v>
      </c>
      <c r="G44" s="5" t="n">
        <v>5</v>
      </c>
      <c r="H44" s="5" t="n">
        <v>4</v>
      </c>
      <c r="I44" s="5" t="n">
        <v>3</v>
      </c>
      <c r="J44" s="5" t="n">
        <v>5</v>
      </c>
      <c r="K44" s="50"/>
      <c r="L44" s="50"/>
      <c r="M44" s="50"/>
      <c r="N44" s="50"/>
      <c r="O44" s="50"/>
      <c r="P44" s="50"/>
      <c r="Q44" s="50"/>
      <c r="R44" s="50"/>
      <c r="S44" s="50"/>
      <c r="T44" s="50"/>
      <c r="U44" s="50"/>
      <c r="V44" s="50"/>
      <c r="W44" s="50"/>
      <c r="X44" s="50"/>
      <c r="Y44" s="50"/>
      <c r="Z44" s="50"/>
      <c r="AA44" s="50"/>
      <c r="AB44" s="50"/>
    </row>
    <row r="45" customFormat="false" ht="225" hidden="false" customHeight="true" outlineLevel="0" collapsed="false">
      <c r="A45" s="53"/>
      <c r="B45" s="53"/>
      <c r="C45" s="5" t="s">
        <v>20</v>
      </c>
      <c r="D45" s="48" t="s">
        <v>106</v>
      </c>
      <c r="E45" s="97" t="n">
        <f aca="false">IFERROR(__xludf.dummyfunction("COUNTA(SPLIT(D45,"" ""))/COUNTA(SPLIT($B$42,"" ""))"),0.754716981132076)</f>
        <v>0.7547169811</v>
      </c>
      <c r="F45" s="5" t="n">
        <v>4</v>
      </c>
      <c r="G45" s="5" t="n">
        <v>5</v>
      </c>
      <c r="H45" s="5" t="n">
        <v>1</v>
      </c>
      <c r="I45" s="5" t="n">
        <v>3</v>
      </c>
      <c r="J45" s="5" t="n">
        <v>5</v>
      </c>
      <c r="K45" s="50"/>
      <c r="L45" s="50"/>
      <c r="M45" s="50"/>
      <c r="N45" s="50"/>
      <c r="O45" s="50"/>
      <c r="P45" s="50"/>
      <c r="Q45" s="50"/>
      <c r="R45" s="50"/>
      <c r="S45" s="50"/>
      <c r="T45" s="50"/>
      <c r="U45" s="50"/>
      <c r="V45" s="50"/>
      <c r="W45" s="50"/>
      <c r="X45" s="50"/>
      <c r="Y45" s="50"/>
      <c r="Z45" s="50"/>
      <c r="AA45" s="50"/>
      <c r="AB45" s="50"/>
    </row>
    <row r="46" customFormat="false" ht="15.75" hidden="false" customHeight="false" outlineLevel="0" collapsed="false">
      <c r="A46" s="50"/>
      <c r="B46" s="50"/>
      <c r="C46" s="5"/>
      <c r="D46" s="48"/>
      <c r="E46" s="52"/>
      <c r="F46" s="5"/>
      <c r="G46" s="5"/>
      <c r="H46" s="5"/>
      <c r="I46" s="5"/>
      <c r="J46" s="5"/>
      <c r="K46" s="50"/>
      <c r="L46" s="50"/>
      <c r="M46" s="50"/>
      <c r="N46" s="50"/>
      <c r="O46" s="50"/>
      <c r="P46" s="50"/>
      <c r="Q46" s="50"/>
      <c r="R46" s="50"/>
      <c r="S46" s="50"/>
      <c r="T46" s="50"/>
      <c r="U46" s="50"/>
      <c r="V46" s="50"/>
      <c r="W46" s="50"/>
      <c r="X46" s="50"/>
      <c r="Y46" s="50"/>
      <c r="Z46" s="50"/>
      <c r="AA46" s="50"/>
      <c r="AB46" s="50"/>
    </row>
    <row r="47" customFormat="false" ht="225" hidden="false" customHeight="true" outlineLevel="0" collapsed="false">
      <c r="A47" s="102" t="s">
        <v>67</v>
      </c>
      <c r="B47" s="54" t="s">
        <v>68</v>
      </c>
      <c r="C47" s="55" t="s">
        <v>18</v>
      </c>
      <c r="D47" s="56" t="s">
        <v>107</v>
      </c>
      <c r="E47" s="103" t="n">
        <f aca="false">IFERROR(__xludf.dummyfunction("COUNTA(SPLIT(D47,"" ""))/COUNTA(SPLIT($B$47,"" ""))"),0.524271844660194)</f>
        <v>0.5242718447</v>
      </c>
      <c r="F47" s="55" t="n">
        <v>3</v>
      </c>
      <c r="G47" s="55" t="n">
        <v>5</v>
      </c>
      <c r="H47" s="55" t="n">
        <v>1</v>
      </c>
      <c r="I47" s="55" t="n">
        <v>3</v>
      </c>
      <c r="J47" s="55" t="n">
        <v>5</v>
      </c>
      <c r="K47" s="58"/>
      <c r="L47" s="58"/>
      <c r="M47" s="58"/>
      <c r="N47" s="58"/>
      <c r="O47" s="58"/>
      <c r="P47" s="58"/>
      <c r="Q47" s="58"/>
      <c r="R47" s="58"/>
      <c r="S47" s="58"/>
      <c r="T47" s="58"/>
      <c r="U47" s="58"/>
      <c r="V47" s="58"/>
      <c r="W47" s="58"/>
      <c r="X47" s="58"/>
      <c r="Y47" s="58"/>
      <c r="Z47" s="58"/>
      <c r="AA47" s="58"/>
      <c r="AB47" s="58"/>
    </row>
    <row r="48" customFormat="false" ht="225" hidden="false" customHeight="true" outlineLevel="0" collapsed="false">
      <c r="A48" s="102"/>
      <c r="B48" s="102"/>
      <c r="C48" s="5" t="s">
        <v>19</v>
      </c>
      <c r="D48" s="48" t="s">
        <v>108</v>
      </c>
      <c r="E48" s="73" t="n">
        <f aca="false">IFERROR(__xludf.dummyfunction("COUNTA(SPLIT(D48,"" ""))/COUNTA(SPLIT($B$47,"" ""))"),0.296116504854369)</f>
        <v>0.2961165049</v>
      </c>
      <c r="F48" s="5" t="n">
        <v>4</v>
      </c>
      <c r="G48" s="5" t="n">
        <v>4</v>
      </c>
      <c r="H48" s="5" t="n">
        <v>5</v>
      </c>
      <c r="I48" s="5" t="n">
        <v>3</v>
      </c>
      <c r="J48" s="5" t="n">
        <v>5</v>
      </c>
      <c r="K48" s="50"/>
      <c r="L48" s="50"/>
      <c r="M48" s="50"/>
      <c r="N48" s="50"/>
      <c r="O48" s="50"/>
      <c r="P48" s="50"/>
      <c r="Q48" s="50"/>
      <c r="R48" s="50"/>
      <c r="S48" s="50"/>
      <c r="T48" s="50"/>
      <c r="U48" s="50"/>
      <c r="V48" s="50"/>
      <c r="W48" s="50"/>
      <c r="X48" s="50"/>
      <c r="Y48" s="50"/>
      <c r="Z48" s="50"/>
      <c r="AA48" s="50"/>
      <c r="AB48" s="50"/>
    </row>
    <row r="49" customFormat="false" ht="225" hidden="false" customHeight="true" outlineLevel="0" collapsed="false">
      <c r="A49" s="102"/>
      <c r="B49" s="102"/>
      <c r="C49" s="5" t="s">
        <v>8</v>
      </c>
      <c r="D49" s="48" t="s">
        <v>109</v>
      </c>
      <c r="E49" s="74" t="n">
        <f aca="false">IFERROR(__xludf.dummyfunction("COUNTA(SPLIT(D49,"" ""))/COUNTA(SPLIT($B$47,"" ""))"),0.327669902912621)</f>
        <v>0.3276699029</v>
      </c>
      <c r="F49" s="5" t="n">
        <v>2</v>
      </c>
      <c r="G49" s="5" t="n">
        <v>4</v>
      </c>
      <c r="H49" s="5" t="n">
        <v>4</v>
      </c>
      <c r="I49" s="5" t="n">
        <v>3</v>
      </c>
      <c r="J49" s="5" t="n">
        <v>5</v>
      </c>
      <c r="K49" s="50"/>
      <c r="L49" s="50"/>
      <c r="M49" s="50"/>
      <c r="N49" s="50"/>
      <c r="O49" s="50"/>
      <c r="P49" s="50"/>
      <c r="Q49" s="50"/>
      <c r="R49" s="50"/>
      <c r="S49" s="50"/>
      <c r="T49" s="50"/>
      <c r="U49" s="50"/>
      <c r="V49" s="50"/>
      <c r="W49" s="50"/>
      <c r="X49" s="50"/>
      <c r="Y49" s="50"/>
      <c r="Z49" s="50"/>
      <c r="AA49" s="50"/>
      <c r="AB49" s="50"/>
    </row>
    <row r="50" customFormat="false" ht="225" hidden="false" customHeight="true" outlineLevel="0" collapsed="false">
      <c r="A50" s="102"/>
      <c r="B50" s="102"/>
      <c r="C50" s="5" t="s">
        <v>20</v>
      </c>
      <c r="D50" s="48" t="s">
        <v>110</v>
      </c>
      <c r="E50" s="75" t="n">
        <f aca="false">IFERROR(__xludf.dummyfunction("COUNTA(SPLIT(D50,"" ""))/COUNTA(SPLIT($B$47,"" ""))"),0.269417475728155)</f>
        <v>0.2694174757</v>
      </c>
      <c r="F50" s="5" t="n">
        <v>2</v>
      </c>
      <c r="G50" s="5" t="n">
        <v>4</v>
      </c>
      <c r="H50" s="5" t="n">
        <v>5</v>
      </c>
      <c r="I50" s="5" t="n">
        <v>4</v>
      </c>
      <c r="J50" s="5" t="n">
        <v>5</v>
      </c>
      <c r="K50" s="50"/>
      <c r="L50" s="50"/>
      <c r="M50" s="50"/>
      <c r="N50" s="50"/>
      <c r="O50" s="50"/>
      <c r="P50" s="50"/>
      <c r="Q50" s="50"/>
      <c r="R50" s="50"/>
      <c r="S50" s="50"/>
      <c r="T50" s="50"/>
      <c r="U50" s="50"/>
      <c r="V50" s="50"/>
      <c r="W50" s="50"/>
      <c r="X50" s="50"/>
      <c r="Y50" s="50"/>
      <c r="Z50" s="50"/>
      <c r="AA50" s="50"/>
      <c r="AB50" s="50"/>
    </row>
    <row r="51" customFormat="false" ht="15.75" hidden="false" customHeight="false" outlineLevel="0" collapsed="false">
      <c r="A51" s="50"/>
      <c r="B51" s="50"/>
      <c r="C51" s="5"/>
      <c r="D51" s="48"/>
      <c r="E51" s="50"/>
      <c r="F51" s="5"/>
      <c r="G51" s="5"/>
      <c r="H51" s="5"/>
      <c r="I51" s="5"/>
      <c r="J51" s="5"/>
      <c r="K51" s="50"/>
      <c r="L51" s="50"/>
      <c r="M51" s="50"/>
      <c r="N51" s="50"/>
      <c r="O51" s="50"/>
      <c r="P51" s="50"/>
      <c r="Q51" s="50"/>
      <c r="R51" s="50"/>
      <c r="S51" s="50"/>
      <c r="T51" s="50"/>
      <c r="U51" s="50"/>
      <c r="V51" s="50"/>
      <c r="W51" s="50"/>
      <c r="X51" s="50"/>
      <c r="Y51" s="50"/>
      <c r="Z51" s="50"/>
      <c r="AA51" s="50"/>
      <c r="AB51" s="50"/>
    </row>
    <row r="52" customFormat="false" ht="15.75" hidden="false" customHeight="false" outlineLevel="0" collapsed="false">
      <c r="A52" s="71"/>
      <c r="B52" s="54"/>
      <c r="C52" s="55" t="s">
        <v>18</v>
      </c>
      <c r="D52" s="56"/>
      <c r="E52" s="72" t="n">
        <f aca="false">IFERROR(__xludf.dummyfunction("COUNTA(SPLIT(D52,"" ""))/COUNTA(SPLIT($B$47,"" ""))"),0.00242718446601942)</f>
        <v>0.002427184466</v>
      </c>
      <c r="F52" s="55"/>
      <c r="G52" s="55"/>
      <c r="H52" s="55"/>
      <c r="I52" s="55"/>
      <c r="J52" s="55"/>
      <c r="K52" s="58"/>
      <c r="L52" s="58"/>
      <c r="M52" s="58"/>
      <c r="N52" s="58"/>
      <c r="O52" s="58"/>
      <c r="P52" s="58"/>
      <c r="Q52" s="58"/>
      <c r="R52" s="58"/>
      <c r="S52" s="58"/>
      <c r="T52" s="58"/>
      <c r="U52" s="58"/>
      <c r="V52" s="58"/>
      <c r="W52" s="58"/>
      <c r="X52" s="58"/>
      <c r="Y52" s="58"/>
      <c r="Z52" s="58"/>
      <c r="AA52" s="58"/>
      <c r="AB52" s="58"/>
    </row>
    <row r="53" customFormat="false" ht="15.75" hidden="false" customHeight="false" outlineLevel="0" collapsed="false">
      <c r="A53" s="71"/>
      <c r="B53" s="71"/>
      <c r="C53" s="5" t="s">
        <v>19</v>
      </c>
      <c r="D53" s="48"/>
      <c r="E53" s="73" t="n">
        <f aca="false">IFERROR(__xludf.dummyfunction("COUNTA(SPLIT(D53,"" ""))/COUNTA(SPLIT($B$47,"" ""))"),0.00242718446601942)</f>
        <v>0.002427184466</v>
      </c>
      <c r="F53" s="5"/>
      <c r="G53" s="5"/>
      <c r="H53" s="5"/>
      <c r="I53" s="5"/>
      <c r="J53" s="5"/>
      <c r="K53" s="50"/>
      <c r="L53" s="50"/>
      <c r="M53" s="50"/>
      <c r="N53" s="50"/>
      <c r="O53" s="50"/>
      <c r="P53" s="50"/>
      <c r="Q53" s="50"/>
      <c r="R53" s="50"/>
      <c r="S53" s="50"/>
      <c r="T53" s="50"/>
      <c r="U53" s="50"/>
      <c r="V53" s="50"/>
      <c r="W53" s="50"/>
      <c r="X53" s="50"/>
      <c r="Y53" s="50"/>
      <c r="Z53" s="50"/>
      <c r="AA53" s="50"/>
      <c r="AB53" s="50"/>
    </row>
    <row r="54" customFormat="false" ht="15.75" hidden="false" customHeight="false" outlineLevel="0" collapsed="false">
      <c r="A54" s="71"/>
      <c r="B54" s="71"/>
      <c r="C54" s="5" t="s">
        <v>8</v>
      </c>
      <c r="D54" s="48"/>
      <c r="E54" s="74" t="n">
        <f aca="false">IFERROR(__xludf.dummyfunction("COUNTA(SPLIT(D54,"" ""))/COUNTA(SPLIT($B$47,"" ""))"),0.00242718446601942)</f>
        <v>0.002427184466</v>
      </c>
      <c r="F54" s="5"/>
      <c r="G54" s="5"/>
      <c r="H54" s="5"/>
      <c r="I54" s="5"/>
      <c r="J54" s="5"/>
      <c r="K54" s="50"/>
      <c r="L54" s="50"/>
      <c r="M54" s="50"/>
      <c r="N54" s="50"/>
      <c r="O54" s="50"/>
      <c r="P54" s="50"/>
      <c r="Q54" s="50"/>
      <c r="R54" s="50"/>
      <c r="S54" s="50"/>
      <c r="T54" s="50"/>
      <c r="U54" s="50"/>
      <c r="V54" s="50"/>
      <c r="W54" s="50"/>
      <c r="X54" s="50"/>
      <c r="Y54" s="50"/>
      <c r="Z54" s="50"/>
      <c r="AA54" s="50"/>
      <c r="AB54" s="50"/>
    </row>
    <row r="55" customFormat="false" ht="15.75" hidden="false" customHeight="false" outlineLevel="0" collapsed="false">
      <c r="A55" s="71"/>
      <c r="B55" s="71"/>
      <c r="C55" s="5" t="s">
        <v>20</v>
      </c>
      <c r="D55" s="48"/>
      <c r="E55" s="75" t="n">
        <f aca="false">IFERROR(__xludf.dummyfunction("COUNTA(SPLIT(D55,"" ""))/COUNTA(SPLIT($B$47,"" ""))"),0.00242718446601942)</f>
        <v>0.002427184466</v>
      </c>
      <c r="F55" s="5"/>
      <c r="G55" s="5"/>
      <c r="H55" s="5"/>
      <c r="I55" s="5"/>
      <c r="J55" s="5"/>
      <c r="K55" s="50"/>
      <c r="L55" s="50"/>
      <c r="M55" s="50"/>
      <c r="N55" s="50"/>
      <c r="O55" s="50"/>
      <c r="P55" s="50"/>
      <c r="Q55" s="50"/>
      <c r="R55" s="50"/>
      <c r="S55" s="50"/>
      <c r="T55" s="50"/>
      <c r="U55" s="50"/>
      <c r="V55" s="50"/>
      <c r="W55" s="50"/>
      <c r="X55" s="50"/>
      <c r="Y55" s="50"/>
      <c r="Z55" s="50"/>
      <c r="AA55" s="50"/>
      <c r="AB55" s="50"/>
    </row>
    <row r="56" customFormat="false" ht="15.75" hidden="false" customHeight="false" outlineLevel="0" collapsed="false">
      <c r="A56" s="50"/>
      <c r="B56" s="50"/>
      <c r="C56" s="5"/>
      <c r="D56" s="48"/>
      <c r="E56" s="50"/>
      <c r="F56" s="5"/>
      <c r="G56" s="5"/>
      <c r="H56" s="5"/>
      <c r="I56" s="5"/>
      <c r="J56" s="5"/>
      <c r="K56" s="50"/>
      <c r="L56" s="50"/>
      <c r="M56" s="50"/>
      <c r="N56" s="50"/>
      <c r="O56" s="50"/>
      <c r="P56" s="50"/>
      <c r="Q56" s="50"/>
      <c r="R56" s="50"/>
      <c r="S56" s="50"/>
      <c r="T56" s="50"/>
      <c r="U56" s="50"/>
      <c r="V56" s="50"/>
      <c r="W56" s="50"/>
      <c r="X56" s="50"/>
      <c r="Y56" s="50"/>
      <c r="Z56" s="50"/>
      <c r="AA56" s="50"/>
      <c r="AB56" s="50"/>
    </row>
    <row r="57" customFormat="false" ht="15.75" hidden="false" customHeight="false" outlineLevel="0" collapsed="false">
      <c r="A57" s="71"/>
      <c r="B57" s="54"/>
      <c r="C57" s="55" t="s">
        <v>18</v>
      </c>
      <c r="D57" s="56"/>
      <c r="E57" s="72" t="n">
        <f aca="false">IFERROR(__xludf.dummyfunction("COUNTA(SPLIT(D57,"" ""))/COUNTA(SPLIT($B$47,"" ""))"),0.00242718446601942)</f>
        <v>0.002427184466</v>
      </c>
      <c r="F57" s="55"/>
      <c r="G57" s="55"/>
      <c r="H57" s="55"/>
      <c r="I57" s="55"/>
      <c r="J57" s="55"/>
      <c r="K57" s="58"/>
      <c r="L57" s="58"/>
      <c r="M57" s="58"/>
      <c r="N57" s="58"/>
      <c r="O57" s="58"/>
      <c r="P57" s="58"/>
      <c r="Q57" s="58"/>
      <c r="R57" s="58"/>
      <c r="S57" s="58"/>
      <c r="T57" s="58"/>
      <c r="U57" s="58"/>
      <c r="V57" s="58"/>
      <c r="W57" s="58"/>
      <c r="X57" s="58"/>
      <c r="Y57" s="58"/>
      <c r="Z57" s="58"/>
      <c r="AA57" s="58"/>
      <c r="AB57" s="58"/>
    </row>
    <row r="58" customFormat="false" ht="15.75" hidden="false" customHeight="false" outlineLevel="0" collapsed="false">
      <c r="A58" s="71"/>
      <c r="B58" s="71"/>
      <c r="C58" s="5" t="s">
        <v>19</v>
      </c>
      <c r="D58" s="48"/>
      <c r="E58" s="73" t="n">
        <f aca="false">IFERROR(__xludf.dummyfunction("COUNTA(SPLIT(D58,"" ""))/COUNTA(SPLIT($B$47,"" ""))"),0.00242718446601942)</f>
        <v>0.002427184466</v>
      </c>
      <c r="F58" s="5"/>
      <c r="G58" s="5"/>
      <c r="H58" s="5"/>
      <c r="I58" s="5"/>
      <c r="J58" s="5"/>
      <c r="K58" s="50"/>
      <c r="L58" s="50"/>
      <c r="M58" s="50"/>
      <c r="N58" s="50"/>
      <c r="O58" s="50"/>
      <c r="P58" s="50"/>
      <c r="Q58" s="50"/>
      <c r="R58" s="50"/>
      <c r="S58" s="50"/>
      <c r="T58" s="50"/>
      <c r="U58" s="50"/>
      <c r="V58" s="50"/>
      <c r="W58" s="50"/>
      <c r="X58" s="50"/>
      <c r="Y58" s="50"/>
      <c r="Z58" s="50"/>
      <c r="AA58" s="50"/>
      <c r="AB58" s="50"/>
    </row>
    <row r="59" customFormat="false" ht="15.75" hidden="false" customHeight="false" outlineLevel="0" collapsed="false">
      <c r="A59" s="71"/>
      <c r="B59" s="71"/>
      <c r="C59" s="5" t="s">
        <v>8</v>
      </c>
      <c r="D59" s="48"/>
      <c r="E59" s="74" t="n">
        <f aca="false">IFERROR(__xludf.dummyfunction("COUNTA(SPLIT(D59,"" ""))/COUNTA(SPLIT($B$47,"" ""))"),0.00242718446601942)</f>
        <v>0.002427184466</v>
      </c>
      <c r="F59" s="5"/>
      <c r="G59" s="5"/>
      <c r="H59" s="5"/>
      <c r="I59" s="5"/>
      <c r="J59" s="5"/>
      <c r="K59" s="50"/>
      <c r="L59" s="50"/>
      <c r="M59" s="50"/>
      <c r="N59" s="50"/>
      <c r="O59" s="50"/>
      <c r="P59" s="50"/>
      <c r="Q59" s="50"/>
      <c r="R59" s="50"/>
      <c r="S59" s="50"/>
      <c r="T59" s="50"/>
      <c r="U59" s="50"/>
      <c r="V59" s="50"/>
      <c r="W59" s="50"/>
      <c r="X59" s="50"/>
      <c r="Y59" s="50"/>
      <c r="Z59" s="50"/>
      <c r="AA59" s="50"/>
      <c r="AB59" s="50"/>
    </row>
    <row r="60" customFormat="false" ht="15.75" hidden="false" customHeight="false" outlineLevel="0" collapsed="false">
      <c r="A60" s="71"/>
      <c r="B60" s="71"/>
      <c r="C60" s="5" t="s">
        <v>20</v>
      </c>
      <c r="D60" s="48"/>
      <c r="E60" s="75" t="n">
        <f aca="false">IFERROR(__xludf.dummyfunction("COUNTA(SPLIT(D60,"" ""))/COUNTA(SPLIT($B$47,"" ""))"),0.00242718446601942)</f>
        <v>0.002427184466</v>
      </c>
      <c r="F60" s="5"/>
      <c r="G60" s="5"/>
      <c r="H60" s="5"/>
      <c r="I60" s="5"/>
      <c r="J60" s="5"/>
      <c r="K60" s="50"/>
      <c r="L60" s="50"/>
      <c r="M60" s="50"/>
      <c r="N60" s="50"/>
      <c r="O60" s="50"/>
      <c r="P60" s="50"/>
      <c r="Q60" s="50"/>
      <c r="R60" s="50"/>
      <c r="S60" s="50"/>
      <c r="T60" s="50"/>
      <c r="U60" s="50"/>
      <c r="V60" s="50"/>
      <c r="W60" s="50"/>
      <c r="X60" s="50"/>
      <c r="Y60" s="50"/>
      <c r="Z60" s="50"/>
      <c r="AA60" s="50"/>
      <c r="AB60" s="50"/>
    </row>
    <row r="61" customFormat="false" ht="15.75" hidden="false" customHeight="false" outlineLevel="0" collapsed="false">
      <c r="A61" s="50"/>
      <c r="B61" s="50"/>
      <c r="C61" s="5"/>
      <c r="D61" s="48"/>
      <c r="E61" s="50"/>
      <c r="F61" s="5"/>
      <c r="G61" s="5"/>
      <c r="H61" s="5"/>
      <c r="I61" s="5"/>
      <c r="J61" s="5"/>
      <c r="K61" s="50"/>
      <c r="L61" s="50"/>
      <c r="M61" s="50"/>
      <c r="N61" s="50"/>
      <c r="O61" s="50"/>
      <c r="P61" s="50"/>
      <c r="Q61" s="50"/>
      <c r="R61" s="50"/>
      <c r="S61" s="50"/>
      <c r="T61" s="50"/>
      <c r="U61" s="50"/>
      <c r="V61" s="50"/>
      <c r="W61" s="50"/>
      <c r="X61" s="50"/>
      <c r="Y61" s="50"/>
      <c r="Z61" s="50"/>
      <c r="AA61" s="50"/>
      <c r="AB61" s="50"/>
    </row>
    <row r="62" customFormat="false" ht="15.75" hidden="false" customHeight="false" outlineLevel="0" collapsed="false">
      <c r="A62" s="71"/>
      <c r="B62" s="54"/>
      <c r="C62" s="55" t="s">
        <v>18</v>
      </c>
      <c r="D62" s="56"/>
      <c r="E62" s="72" t="n">
        <f aca="false">IFERROR(__xludf.dummyfunction("COUNTA(SPLIT(D62,"" ""))/COUNTA(SPLIT($B$47,"" ""))"),0.00242718446601942)</f>
        <v>0.002427184466</v>
      </c>
      <c r="F62" s="55"/>
      <c r="G62" s="55"/>
      <c r="H62" s="55"/>
      <c r="I62" s="55"/>
      <c r="J62" s="55"/>
      <c r="K62" s="58"/>
      <c r="L62" s="58"/>
      <c r="M62" s="58"/>
      <c r="N62" s="58"/>
      <c r="O62" s="58"/>
      <c r="P62" s="58"/>
      <c r="Q62" s="58"/>
      <c r="R62" s="58"/>
      <c r="S62" s="58"/>
      <c r="T62" s="58"/>
      <c r="U62" s="58"/>
      <c r="V62" s="58"/>
      <c r="W62" s="58"/>
      <c r="X62" s="58"/>
      <c r="Y62" s="58"/>
      <c r="Z62" s="58"/>
      <c r="AA62" s="58"/>
      <c r="AB62" s="58"/>
    </row>
    <row r="63" customFormat="false" ht="15.75" hidden="false" customHeight="false" outlineLevel="0" collapsed="false">
      <c r="A63" s="71"/>
      <c r="B63" s="71"/>
      <c r="C63" s="5" t="s">
        <v>19</v>
      </c>
      <c r="D63" s="48"/>
      <c r="E63" s="73" t="n">
        <f aca="false">IFERROR(__xludf.dummyfunction("COUNTA(SPLIT(D63,"" ""))/COUNTA(SPLIT($B$47,"" ""))"),0.00242718446601942)</f>
        <v>0.002427184466</v>
      </c>
      <c r="F63" s="5"/>
      <c r="G63" s="5"/>
      <c r="H63" s="5"/>
      <c r="I63" s="5"/>
      <c r="J63" s="5"/>
      <c r="K63" s="50"/>
      <c r="L63" s="50"/>
      <c r="M63" s="50"/>
      <c r="N63" s="50"/>
      <c r="O63" s="50"/>
      <c r="P63" s="50"/>
      <c r="Q63" s="50"/>
      <c r="R63" s="50"/>
      <c r="S63" s="50"/>
      <c r="T63" s="50"/>
      <c r="U63" s="50"/>
      <c r="V63" s="50"/>
      <c r="W63" s="50"/>
      <c r="X63" s="50"/>
      <c r="Y63" s="50"/>
      <c r="Z63" s="50"/>
      <c r="AA63" s="50"/>
      <c r="AB63" s="50"/>
    </row>
    <row r="64" customFormat="false" ht="15.75" hidden="false" customHeight="false" outlineLevel="0" collapsed="false">
      <c r="A64" s="71"/>
      <c r="B64" s="71"/>
      <c r="C64" s="5" t="s">
        <v>8</v>
      </c>
      <c r="D64" s="48"/>
      <c r="E64" s="74" t="n">
        <f aca="false">IFERROR(__xludf.dummyfunction("COUNTA(SPLIT(D64,"" ""))/COUNTA(SPLIT($B$47,"" ""))"),0.00242718446601942)</f>
        <v>0.002427184466</v>
      </c>
      <c r="F64" s="5"/>
      <c r="G64" s="5"/>
      <c r="H64" s="5"/>
      <c r="I64" s="5"/>
      <c r="J64" s="5"/>
      <c r="K64" s="50"/>
      <c r="L64" s="50"/>
      <c r="M64" s="50"/>
      <c r="N64" s="50"/>
      <c r="O64" s="50"/>
      <c r="P64" s="50"/>
      <c r="Q64" s="50"/>
      <c r="R64" s="50"/>
      <c r="S64" s="50"/>
      <c r="T64" s="50"/>
      <c r="U64" s="50"/>
      <c r="V64" s="50"/>
      <c r="W64" s="50"/>
      <c r="X64" s="50"/>
      <c r="Y64" s="50"/>
      <c r="Z64" s="50"/>
      <c r="AA64" s="50"/>
      <c r="AB64" s="50"/>
    </row>
    <row r="65" customFormat="false" ht="15.75" hidden="false" customHeight="false" outlineLevel="0" collapsed="false">
      <c r="A65" s="71"/>
      <c r="B65" s="71"/>
      <c r="C65" s="5" t="s">
        <v>20</v>
      </c>
      <c r="D65" s="48"/>
      <c r="E65" s="75" t="n">
        <f aca="false">IFERROR(__xludf.dummyfunction("COUNTA(SPLIT(D65,"" ""))/COUNTA(SPLIT($B$47,"" ""))"),0.00242718446601942)</f>
        <v>0.002427184466</v>
      </c>
      <c r="F65" s="5"/>
      <c r="G65" s="5"/>
      <c r="H65" s="5"/>
      <c r="I65" s="5"/>
      <c r="J65" s="5"/>
      <c r="K65" s="50"/>
      <c r="L65" s="50"/>
      <c r="M65" s="50"/>
      <c r="N65" s="50"/>
      <c r="O65" s="50"/>
      <c r="P65" s="50"/>
      <c r="Q65" s="50"/>
      <c r="R65" s="50"/>
      <c r="S65" s="50"/>
      <c r="T65" s="50"/>
      <c r="U65" s="50"/>
      <c r="V65" s="50"/>
      <c r="W65" s="50"/>
      <c r="X65" s="50"/>
      <c r="Y65" s="50"/>
      <c r="Z65" s="50"/>
      <c r="AA65" s="50"/>
      <c r="AB65" s="50"/>
    </row>
    <row r="66" customFormat="false" ht="15.75" hidden="false" customHeight="false" outlineLevel="0" collapsed="false">
      <c r="A66" s="50"/>
      <c r="B66" s="50"/>
      <c r="C66" s="5"/>
      <c r="D66" s="48"/>
      <c r="E66" s="50"/>
      <c r="F66" s="5"/>
      <c r="G66" s="5"/>
      <c r="H66" s="5"/>
      <c r="I66" s="5"/>
      <c r="J66" s="5"/>
      <c r="K66" s="50"/>
      <c r="L66" s="50"/>
      <c r="M66" s="50"/>
      <c r="N66" s="50"/>
      <c r="O66" s="50"/>
      <c r="P66" s="50"/>
      <c r="Q66" s="50"/>
      <c r="R66" s="50"/>
      <c r="S66" s="50"/>
      <c r="T66" s="50"/>
      <c r="U66" s="50"/>
      <c r="V66" s="50"/>
      <c r="W66" s="50"/>
      <c r="X66" s="50"/>
      <c r="Y66" s="50"/>
      <c r="Z66" s="50"/>
      <c r="AA66" s="50"/>
      <c r="AB66" s="50"/>
    </row>
    <row r="67" customFormat="false" ht="15.75" hidden="false" customHeight="false" outlineLevel="0" collapsed="false">
      <c r="A67" s="71"/>
      <c r="B67" s="54"/>
      <c r="C67" s="55" t="s">
        <v>18</v>
      </c>
      <c r="D67" s="56"/>
      <c r="E67" s="72" t="n">
        <f aca="false">IFERROR(__xludf.dummyfunction("COUNTA(SPLIT(D67,"" ""))/COUNTA(SPLIT($B$47,"" ""))"),0.00242718446601942)</f>
        <v>0.002427184466</v>
      </c>
      <c r="F67" s="55"/>
      <c r="G67" s="55"/>
      <c r="H67" s="55"/>
      <c r="I67" s="55"/>
      <c r="J67" s="55"/>
      <c r="K67" s="58"/>
      <c r="L67" s="58"/>
      <c r="M67" s="58"/>
      <c r="N67" s="58"/>
      <c r="O67" s="58"/>
      <c r="P67" s="58"/>
      <c r="Q67" s="58"/>
      <c r="R67" s="58"/>
      <c r="S67" s="58"/>
      <c r="T67" s="58"/>
      <c r="U67" s="58"/>
      <c r="V67" s="58"/>
      <c r="W67" s="58"/>
      <c r="X67" s="58"/>
      <c r="Y67" s="58"/>
      <c r="Z67" s="58"/>
      <c r="AA67" s="58"/>
      <c r="AB67" s="58"/>
    </row>
    <row r="68" customFormat="false" ht="15.75" hidden="false" customHeight="false" outlineLevel="0" collapsed="false">
      <c r="A68" s="71"/>
      <c r="B68" s="71"/>
      <c r="C68" s="5" t="s">
        <v>19</v>
      </c>
      <c r="D68" s="48"/>
      <c r="E68" s="73" t="n">
        <f aca="false">IFERROR(__xludf.dummyfunction("COUNTA(SPLIT(D68,"" ""))/COUNTA(SPLIT($B$47,"" ""))"),0.00242718446601942)</f>
        <v>0.002427184466</v>
      </c>
      <c r="F68" s="5"/>
      <c r="G68" s="5"/>
      <c r="H68" s="5"/>
      <c r="I68" s="5"/>
      <c r="J68" s="5"/>
      <c r="K68" s="50"/>
      <c r="L68" s="50"/>
      <c r="M68" s="50"/>
      <c r="N68" s="50"/>
      <c r="O68" s="50"/>
      <c r="P68" s="50"/>
      <c r="Q68" s="50"/>
      <c r="R68" s="50"/>
      <c r="S68" s="50"/>
      <c r="T68" s="50"/>
      <c r="U68" s="50"/>
      <c r="V68" s="50"/>
      <c r="W68" s="50"/>
      <c r="X68" s="50"/>
      <c r="Y68" s="50"/>
      <c r="Z68" s="50"/>
      <c r="AA68" s="50"/>
      <c r="AB68" s="50"/>
    </row>
    <row r="69" customFormat="false" ht="15.75" hidden="false" customHeight="false" outlineLevel="0" collapsed="false">
      <c r="A69" s="71"/>
      <c r="B69" s="71"/>
      <c r="C69" s="5" t="s">
        <v>8</v>
      </c>
      <c r="D69" s="48"/>
      <c r="E69" s="74" t="n">
        <f aca="false">IFERROR(__xludf.dummyfunction("COUNTA(SPLIT(D69,"" ""))/COUNTA(SPLIT($B$47,"" ""))"),0.00242718446601942)</f>
        <v>0.002427184466</v>
      </c>
      <c r="F69" s="5"/>
      <c r="G69" s="5"/>
      <c r="H69" s="5"/>
      <c r="I69" s="5"/>
      <c r="J69" s="5"/>
      <c r="K69" s="50"/>
      <c r="L69" s="50"/>
      <c r="M69" s="50"/>
      <c r="N69" s="50"/>
      <c r="O69" s="50"/>
      <c r="P69" s="50"/>
      <c r="Q69" s="50"/>
      <c r="R69" s="50"/>
      <c r="S69" s="50"/>
      <c r="T69" s="50"/>
      <c r="U69" s="50"/>
      <c r="V69" s="50"/>
      <c r="W69" s="50"/>
      <c r="X69" s="50"/>
      <c r="Y69" s="50"/>
      <c r="Z69" s="50"/>
      <c r="AA69" s="50"/>
      <c r="AB69" s="50"/>
    </row>
    <row r="70" customFormat="false" ht="15.75" hidden="false" customHeight="false" outlineLevel="0" collapsed="false">
      <c r="A70" s="71"/>
      <c r="B70" s="71"/>
      <c r="C70" s="5" t="s">
        <v>20</v>
      </c>
      <c r="D70" s="48"/>
      <c r="E70" s="75" t="n">
        <f aca="false">IFERROR(__xludf.dummyfunction("COUNTA(SPLIT(D70,"" ""))/COUNTA(SPLIT($B$47,"" ""))"),0.00242718446601942)</f>
        <v>0.002427184466</v>
      </c>
      <c r="F70" s="5"/>
      <c r="G70" s="5"/>
      <c r="H70" s="5"/>
      <c r="I70" s="5"/>
      <c r="J70" s="5"/>
      <c r="K70" s="50"/>
      <c r="L70" s="50"/>
      <c r="M70" s="50"/>
      <c r="N70" s="50"/>
      <c r="O70" s="50"/>
      <c r="P70" s="50"/>
      <c r="Q70" s="50"/>
      <c r="R70" s="50"/>
      <c r="S70" s="50"/>
      <c r="T70" s="50"/>
      <c r="U70" s="50"/>
      <c r="V70" s="50"/>
      <c r="W70" s="50"/>
      <c r="X70" s="50"/>
      <c r="Y70" s="50"/>
      <c r="Z70" s="50"/>
      <c r="AA70" s="50"/>
      <c r="AB70" s="50"/>
    </row>
    <row r="71" customFormat="false" ht="15.75" hidden="false" customHeight="false" outlineLevel="0" collapsed="false">
      <c r="A71" s="50"/>
      <c r="B71" s="50"/>
      <c r="C71" s="5"/>
      <c r="D71" s="48"/>
      <c r="E71" s="50"/>
      <c r="F71" s="5"/>
      <c r="G71" s="5"/>
      <c r="H71" s="5"/>
      <c r="I71" s="5"/>
      <c r="J71" s="5"/>
      <c r="K71" s="50"/>
      <c r="L71" s="50"/>
      <c r="M71" s="50"/>
      <c r="N71" s="50"/>
      <c r="O71" s="50"/>
      <c r="P71" s="50"/>
      <c r="Q71" s="50"/>
      <c r="R71" s="50"/>
      <c r="S71" s="50"/>
      <c r="T71" s="50"/>
      <c r="U71" s="50"/>
      <c r="V71" s="50"/>
      <c r="W71" s="50"/>
      <c r="X71" s="50"/>
      <c r="Y71" s="50"/>
      <c r="Z71" s="50"/>
      <c r="AA71" s="50"/>
      <c r="AB71" s="50"/>
    </row>
    <row r="72" customFormat="false" ht="15.75" hidden="false" customHeight="false" outlineLevel="0" collapsed="false">
      <c r="A72" s="71"/>
      <c r="B72" s="54"/>
      <c r="C72" s="55" t="s">
        <v>18</v>
      </c>
      <c r="D72" s="56"/>
      <c r="E72" s="72" t="n">
        <f aca="false">IFERROR(__xludf.dummyfunction("COUNTA(SPLIT(D72,"" ""))/COUNTA(SPLIT($B$47,"" ""))"),0.00242718446601942)</f>
        <v>0.002427184466</v>
      </c>
      <c r="F72" s="55"/>
      <c r="G72" s="55"/>
      <c r="H72" s="55"/>
      <c r="I72" s="55"/>
      <c r="J72" s="55"/>
      <c r="K72" s="58"/>
      <c r="L72" s="58"/>
      <c r="M72" s="58"/>
      <c r="N72" s="58"/>
      <c r="O72" s="58"/>
      <c r="P72" s="58"/>
      <c r="Q72" s="58"/>
      <c r="R72" s="58"/>
      <c r="S72" s="58"/>
      <c r="T72" s="58"/>
      <c r="U72" s="58"/>
      <c r="V72" s="58"/>
      <c r="W72" s="58"/>
      <c r="X72" s="58"/>
      <c r="Y72" s="58"/>
      <c r="Z72" s="58"/>
      <c r="AA72" s="58"/>
      <c r="AB72" s="58"/>
    </row>
    <row r="73" customFormat="false" ht="15.75" hidden="false" customHeight="false" outlineLevel="0" collapsed="false">
      <c r="A73" s="71"/>
      <c r="B73" s="71"/>
      <c r="C73" s="5" t="s">
        <v>19</v>
      </c>
      <c r="D73" s="48"/>
      <c r="E73" s="73" t="n">
        <f aca="false">IFERROR(__xludf.dummyfunction("COUNTA(SPLIT(D73,"" ""))/COUNTA(SPLIT($B$47,"" ""))"),0.00242718446601942)</f>
        <v>0.002427184466</v>
      </c>
      <c r="F73" s="5"/>
      <c r="G73" s="5"/>
      <c r="H73" s="5"/>
      <c r="I73" s="5"/>
      <c r="J73" s="5"/>
      <c r="K73" s="50"/>
      <c r="L73" s="50"/>
      <c r="M73" s="50"/>
      <c r="N73" s="50"/>
      <c r="O73" s="50"/>
      <c r="P73" s="50"/>
      <c r="Q73" s="50"/>
      <c r="R73" s="50"/>
      <c r="S73" s="50"/>
      <c r="T73" s="50"/>
      <c r="U73" s="50"/>
      <c r="V73" s="50"/>
      <c r="W73" s="50"/>
      <c r="X73" s="50"/>
      <c r="Y73" s="50"/>
      <c r="Z73" s="50"/>
      <c r="AA73" s="50"/>
      <c r="AB73" s="50"/>
    </row>
    <row r="74" customFormat="false" ht="15.75" hidden="false" customHeight="false" outlineLevel="0" collapsed="false">
      <c r="A74" s="71"/>
      <c r="B74" s="71"/>
      <c r="C74" s="5" t="s">
        <v>8</v>
      </c>
      <c r="D74" s="48"/>
      <c r="E74" s="74" t="n">
        <f aca="false">IFERROR(__xludf.dummyfunction("COUNTA(SPLIT(D74,"" ""))/COUNTA(SPLIT($B$47,"" ""))"),0.00242718446601942)</f>
        <v>0.002427184466</v>
      </c>
      <c r="F74" s="5"/>
      <c r="G74" s="5"/>
      <c r="H74" s="5"/>
      <c r="I74" s="5"/>
      <c r="J74" s="5"/>
      <c r="K74" s="50"/>
      <c r="L74" s="50"/>
      <c r="M74" s="50"/>
      <c r="N74" s="50"/>
      <c r="O74" s="50"/>
      <c r="P74" s="50"/>
      <c r="Q74" s="50"/>
      <c r="R74" s="50"/>
      <c r="S74" s="50"/>
      <c r="T74" s="50"/>
      <c r="U74" s="50"/>
      <c r="V74" s="50"/>
      <c r="W74" s="50"/>
      <c r="X74" s="50"/>
      <c r="Y74" s="50"/>
      <c r="Z74" s="50"/>
      <c r="AA74" s="50"/>
      <c r="AB74" s="50"/>
    </row>
    <row r="75" customFormat="false" ht="15.75" hidden="false" customHeight="false" outlineLevel="0" collapsed="false">
      <c r="A75" s="71"/>
      <c r="B75" s="71"/>
      <c r="C75" s="5" t="s">
        <v>20</v>
      </c>
      <c r="D75" s="48"/>
      <c r="E75" s="75" t="n">
        <f aca="false">IFERROR(__xludf.dummyfunction("COUNTA(SPLIT(D75,"" ""))/COUNTA(SPLIT($B$47,"" ""))"),0.00242718446601942)</f>
        <v>0.002427184466</v>
      </c>
      <c r="F75" s="5"/>
      <c r="G75" s="5"/>
      <c r="H75" s="5"/>
      <c r="I75" s="5"/>
      <c r="J75" s="5"/>
      <c r="K75" s="50"/>
      <c r="L75" s="50"/>
      <c r="M75" s="50"/>
      <c r="N75" s="50"/>
      <c r="O75" s="50"/>
      <c r="P75" s="50"/>
      <c r="Q75" s="50"/>
      <c r="R75" s="50"/>
      <c r="S75" s="50"/>
      <c r="T75" s="50"/>
      <c r="U75" s="50"/>
      <c r="V75" s="50"/>
      <c r="W75" s="50"/>
      <c r="X75" s="50"/>
      <c r="Y75" s="50"/>
      <c r="Z75" s="50"/>
      <c r="AA75" s="50"/>
      <c r="AB75" s="50"/>
    </row>
    <row r="76" customFormat="false" ht="15.75" hidden="false" customHeight="false" outlineLevel="0" collapsed="false">
      <c r="A76" s="50"/>
      <c r="B76" s="50"/>
      <c r="C76" s="5"/>
      <c r="D76" s="48"/>
      <c r="E76" s="50"/>
      <c r="F76" s="5"/>
      <c r="G76" s="5"/>
      <c r="H76" s="5"/>
      <c r="I76" s="5"/>
      <c r="J76" s="5"/>
      <c r="K76" s="50"/>
      <c r="L76" s="50"/>
      <c r="M76" s="50"/>
      <c r="N76" s="50"/>
      <c r="O76" s="50"/>
      <c r="P76" s="50"/>
      <c r="Q76" s="50"/>
      <c r="R76" s="50"/>
      <c r="S76" s="50"/>
      <c r="T76" s="50"/>
      <c r="U76" s="50"/>
      <c r="V76" s="50"/>
      <c r="W76" s="50"/>
      <c r="X76" s="50"/>
      <c r="Y76" s="50"/>
      <c r="Z76" s="50"/>
      <c r="AA76" s="50"/>
      <c r="AB76" s="50"/>
    </row>
    <row r="77" customFormat="false" ht="15.75" hidden="false" customHeight="false" outlineLevel="0" collapsed="false">
      <c r="A77" s="71"/>
      <c r="B77" s="54"/>
      <c r="C77" s="55" t="s">
        <v>18</v>
      </c>
      <c r="D77" s="56"/>
      <c r="E77" s="72" t="n">
        <f aca="false">IFERROR(__xludf.dummyfunction("COUNTA(SPLIT(D77,"" ""))/COUNTA(SPLIT($B$47,"" ""))"),0.00242718446601942)</f>
        <v>0.002427184466</v>
      </c>
      <c r="F77" s="55"/>
      <c r="G77" s="55"/>
      <c r="H77" s="55"/>
      <c r="I77" s="55"/>
      <c r="J77" s="55"/>
      <c r="K77" s="58"/>
      <c r="L77" s="58"/>
      <c r="M77" s="58"/>
      <c r="N77" s="58"/>
      <c r="O77" s="58"/>
      <c r="P77" s="58"/>
      <c r="Q77" s="58"/>
      <c r="R77" s="58"/>
      <c r="S77" s="58"/>
      <c r="T77" s="58"/>
      <c r="U77" s="58"/>
      <c r="V77" s="58"/>
      <c r="W77" s="58"/>
      <c r="X77" s="58"/>
      <c r="Y77" s="58"/>
      <c r="Z77" s="58"/>
      <c r="AA77" s="58"/>
      <c r="AB77" s="58"/>
    </row>
    <row r="78" customFormat="false" ht="15.75" hidden="false" customHeight="false" outlineLevel="0" collapsed="false">
      <c r="A78" s="71"/>
      <c r="B78" s="71"/>
      <c r="C78" s="5" t="s">
        <v>19</v>
      </c>
      <c r="D78" s="48"/>
      <c r="E78" s="73" t="n">
        <f aca="false">IFERROR(__xludf.dummyfunction("COUNTA(SPLIT(D78,"" ""))/COUNTA(SPLIT($B$47,"" ""))"),0.00242718446601942)</f>
        <v>0.002427184466</v>
      </c>
      <c r="F78" s="5"/>
      <c r="G78" s="5"/>
      <c r="H78" s="5"/>
      <c r="I78" s="5"/>
      <c r="J78" s="5"/>
      <c r="K78" s="50"/>
      <c r="L78" s="50"/>
      <c r="M78" s="50"/>
      <c r="N78" s="50"/>
      <c r="O78" s="50"/>
      <c r="P78" s="50"/>
      <c r="Q78" s="50"/>
      <c r="R78" s="50"/>
      <c r="S78" s="50"/>
      <c r="T78" s="50"/>
      <c r="U78" s="50"/>
      <c r="V78" s="50"/>
      <c r="W78" s="50"/>
      <c r="X78" s="50"/>
      <c r="Y78" s="50"/>
      <c r="Z78" s="50"/>
      <c r="AA78" s="50"/>
      <c r="AB78" s="50"/>
    </row>
    <row r="79" customFormat="false" ht="15.75" hidden="false" customHeight="false" outlineLevel="0" collapsed="false">
      <c r="A79" s="71"/>
      <c r="B79" s="71"/>
      <c r="C79" s="5" t="s">
        <v>8</v>
      </c>
      <c r="D79" s="48"/>
      <c r="E79" s="74" t="n">
        <f aca="false">IFERROR(__xludf.dummyfunction("COUNTA(SPLIT(D79,"" ""))/COUNTA(SPLIT($B$47,"" ""))"),0.00242718446601942)</f>
        <v>0.002427184466</v>
      </c>
      <c r="F79" s="5"/>
      <c r="G79" s="5"/>
      <c r="H79" s="5"/>
      <c r="I79" s="5"/>
      <c r="J79" s="5"/>
      <c r="K79" s="50"/>
      <c r="L79" s="50"/>
      <c r="M79" s="50"/>
      <c r="N79" s="50"/>
      <c r="O79" s="50"/>
      <c r="P79" s="50"/>
      <c r="Q79" s="50"/>
      <c r="R79" s="50"/>
      <c r="S79" s="50"/>
      <c r="T79" s="50"/>
      <c r="U79" s="50"/>
      <c r="V79" s="50"/>
      <c r="W79" s="50"/>
      <c r="X79" s="50"/>
      <c r="Y79" s="50"/>
      <c r="Z79" s="50"/>
      <c r="AA79" s="50"/>
      <c r="AB79" s="50"/>
    </row>
    <row r="80" customFormat="false" ht="15.75" hidden="false" customHeight="false" outlineLevel="0" collapsed="false">
      <c r="A80" s="71"/>
      <c r="B80" s="71"/>
      <c r="C80" s="5" t="s">
        <v>20</v>
      </c>
      <c r="D80" s="48"/>
      <c r="E80" s="75" t="n">
        <f aca="false">IFERROR(__xludf.dummyfunction("COUNTA(SPLIT(D80,"" ""))/COUNTA(SPLIT($B$47,"" ""))"),0.00242718446601942)</f>
        <v>0.002427184466</v>
      </c>
      <c r="F80" s="5"/>
      <c r="G80" s="5"/>
      <c r="H80" s="5"/>
      <c r="I80" s="5"/>
      <c r="J80" s="5"/>
      <c r="K80" s="50"/>
      <c r="L80" s="50"/>
      <c r="M80" s="50"/>
      <c r="N80" s="50"/>
      <c r="O80" s="50"/>
      <c r="P80" s="50"/>
      <c r="Q80" s="50"/>
      <c r="R80" s="50"/>
      <c r="S80" s="50"/>
      <c r="T80" s="50"/>
      <c r="U80" s="50"/>
      <c r="V80" s="50"/>
      <c r="W80" s="50"/>
      <c r="X80" s="50"/>
      <c r="Y80" s="50"/>
      <c r="Z80" s="50"/>
      <c r="AA80" s="50"/>
      <c r="AB80" s="50"/>
    </row>
    <row r="81" customFormat="false" ht="15.75" hidden="false" customHeight="false" outlineLevel="0" collapsed="false">
      <c r="A81" s="50"/>
      <c r="B81" s="50"/>
      <c r="C81" s="5"/>
      <c r="D81" s="48"/>
      <c r="E81" s="50"/>
      <c r="F81" s="5"/>
      <c r="G81" s="5"/>
      <c r="H81" s="5"/>
      <c r="I81" s="5"/>
      <c r="J81" s="5"/>
      <c r="K81" s="50"/>
      <c r="L81" s="50"/>
      <c r="M81" s="50"/>
      <c r="N81" s="50"/>
      <c r="O81" s="50"/>
      <c r="P81" s="50"/>
      <c r="Q81" s="50"/>
      <c r="R81" s="50"/>
      <c r="S81" s="50"/>
      <c r="T81" s="50"/>
      <c r="U81" s="50"/>
      <c r="V81" s="50"/>
      <c r="W81" s="50"/>
      <c r="X81" s="50"/>
      <c r="Y81" s="50"/>
      <c r="Z81" s="50"/>
      <c r="AA81" s="50"/>
      <c r="AB81" s="50"/>
    </row>
    <row r="82" customFormat="false" ht="15.75" hidden="false" customHeight="false" outlineLevel="0" collapsed="false">
      <c r="A82" s="71"/>
      <c r="B82" s="54"/>
      <c r="C82" s="55" t="s">
        <v>18</v>
      </c>
      <c r="D82" s="56"/>
      <c r="E82" s="72" t="n">
        <f aca="false">IFERROR(__xludf.dummyfunction("COUNTA(SPLIT(D82,"" ""))/COUNTA(SPLIT($B$47,"" ""))"),0.00242718446601942)</f>
        <v>0.002427184466</v>
      </c>
      <c r="F82" s="55"/>
      <c r="G82" s="55"/>
      <c r="H82" s="55"/>
      <c r="I82" s="55"/>
      <c r="J82" s="55"/>
      <c r="K82" s="58"/>
      <c r="L82" s="58"/>
      <c r="M82" s="58"/>
      <c r="N82" s="58"/>
      <c r="O82" s="58"/>
      <c r="P82" s="58"/>
      <c r="Q82" s="58"/>
      <c r="R82" s="58"/>
      <c r="S82" s="58"/>
      <c r="T82" s="58"/>
      <c r="U82" s="58"/>
      <c r="V82" s="58"/>
      <c r="W82" s="58"/>
      <c r="X82" s="58"/>
      <c r="Y82" s="58"/>
      <c r="Z82" s="58"/>
      <c r="AA82" s="58"/>
      <c r="AB82" s="58"/>
    </row>
    <row r="83" customFormat="false" ht="15.75" hidden="false" customHeight="false" outlineLevel="0" collapsed="false">
      <c r="A83" s="71"/>
      <c r="B83" s="71"/>
      <c r="C83" s="5" t="s">
        <v>19</v>
      </c>
      <c r="D83" s="48"/>
      <c r="E83" s="73" t="n">
        <f aca="false">IFERROR(__xludf.dummyfunction("COUNTA(SPLIT(D83,"" ""))/COUNTA(SPLIT($B$47,"" ""))"),0.00242718446601942)</f>
        <v>0.002427184466</v>
      </c>
      <c r="F83" s="5"/>
      <c r="G83" s="5"/>
      <c r="H83" s="5"/>
      <c r="I83" s="5"/>
      <c r="J83" s="5"/>
      <c r="K83" s="50"/>
      <c r="L83" s="50"/>
      <c r="M83" s="50"/>
      <c r="N83" s="50"/>
      <c r="O83" s="50"/>
      <c r="P83" s="50"/>
      <c r="Q83" s="50"/>
      <c r="R83" s="50"/>
      <c r="S83" s="50"/>
      <c r="T83" s="50"/>
      <c r="U83" s="50"/>
      <c r="V83" s="50"/>
      <c r="W83" s="50"/>
      <c r="X83" s="50"/>
      <c r="Y83" s="50"/>
      <c r="Z83" s="50"/>
      <c r="AA83" s="50"/>
      <c r="AB83" s="50"/>
    </row>
    <row r="84" customFormat="false" ht="15.75" hidden="false" customHeight="false" outlineLevel="0" collapsed="false">
      <c r="A84" s="71"/>
      <c r="B84" s="71"/>
      <c r="C84" s="5" t="s">
        <v>8</v>
      </c>
      <c r="D84" s="48"/>
      <c r="E84" s="74" t="n">
        <f aca="false">IFERROR(__xludf.dummyfunction("COUNTA(SPLIT(D84,"" ""))/COUNTA(SPLIT($B$47,"" ""))"),0.00242718446601942)</f>
        <v>0.002427184466</v>
      </c>
      <c r="F84" s="5"/>
      <c r="G84" s="5"/>
      <c r="H84" s="5"/>
      <c r="I84" s="5"/>
      <c r="J84" s="5"/>
      <c r="K84" s="50"/>
      <c r="L84" s="50"/>
      <c r="M84" s="50"/>
      <c r="N84" s="50"/>
      <c r="O84" s="50"/>
      <c r="P84" s="50"/>
      <c r="Q84" s="50"/>
      <c r="R84" s="50"/>
      <c r="S84" s="50"/>
      <c r="T84" s="50"/>
      <c r="U84" s="50"/>
      <c r="V84" s="50"/>
      <c r="W84" s="50"/>
      <c r="X84" s="50"/>
      <c r="Y84" s="50"/>
      <c r="Z84" s="50"/>
      <c r="AA84" s="50"/>
      <c r="AB84" s="50"/>
    </row>
    <row r="85" customFormat="false" ht="15.75" hidden="false" customHeight="false" outlineLevel="0" collapsed="false">
      <c r="A85" s="71"/>
      <c r="B85" s="71"/>
      <c r="C85" s="5" t="s">
        <v>20</v>
      </c>
      <c r="D85" s="48"/>
      <c r="E85" s="75" t="n">
        <f aca="false">IFERROR(__xludf.dummyfunction("COUNTA(SPLIT(D85,"" ""))/COUNTA(SPLIT($B$47,"" ""))"),0.00242718446601942)</f>
        <v>0.002427184466</v>
      </c>
      <c r="F85" s="5"/>
      <c r="G85" s="5"/>
      <c r="H85" s="5"/>
      <c r="I85" s="5"/>
      <c r="J85" s="5"/>
      <c r="K85" s="50"/>
      <c r="L85" s="50"/>
      <c r="M85" s="50"/>
      <c r="N85" s="50"/>
      <c r="O85" s="50"/>
      <c r="P85" s="50"/>
      <c r="Q85" s="50"/>
      <c r="R85" s="50"/>
      <c r="S85" s="50"/>
      <c r="T85" s="50"/>
      <c r="U85" s="50"/>
      <c r="V85" s="50"/>
      <c r="W85" s="50"/>
      <c r="X85" s="50"/>
      <c r="Y85" s="50"/>
      <c r="Z85" s="50"/>
      <c r="AA85" s="50"/>
      <c r="AB85" s="50"/>
    </row>
    <row r="86" customFormat="false" ht="15.75" hidden="false" customHeight="false" outlineLevel="0" collapsed="false">
      <c r="A86" s="50"/>
      <c r="B86" s="50"/>
      <c r="C86" s="5"/>
      <c r="D86" s="48"/>
      <c r="E86" s="50"/>
      <c r="F86" s="5"/>
      <c r="G86" s="5"/>
      <c r="H86" s="5"/>
      <c r="I86" s="5"/>
      <c r="J86" s="5"/>
      <c r="K86" s="50"/>
      <c r="L86" s="50"/>
      <c r="M86" s="50"/>
      <c r="N86" s="50"/>
      <c r="O86" s="50"/>
      <c r="P86" s="50"/>
      <c r="Q86" s="50"/>
      <c r="R86" s="50"/>
      <c r="S86" s="50"/>
      <c r="T86" s="50"/>
      <c r="U86" s="50"/>
      <c r="V86" s="50"/>
      <c r="W86" s="50"/>
      <c r="X86" s="50"/>
      <c r="Y86" s="50"/>
      <c r="Z86" s="50"/>
      <c r="AA86" s="50"/>
      <c r="AB86" s="50"/>
    </row>
    <row r="87" customFormat="false" ht="15.75" hidden="false" customHeight="false" outlineLevel="0" collapsed="false">
      <c r="A87" s="71"/>
      <c r="B87" s="54"/>
      <c r="C87" s="55" t="s">
        <v>18</v>
      </c>
      <c r="D87" s="56"/>
      <c r="E87" s="72" t="n">
        <f aca="false">IFERROR(__xludf.dummyfunction("COUNTA(SPLIT(D87,"" ""))/COUNTA(SPLIT($B$47,"" ""))"),0.00242718446601942)</f>
        <v>0.002427184466</v>
      </c>
      <c r="F87" s="55"/>
      <c r="G87" s="55"/>
      <c r="H87" s="55"/>
      <c r="I87" s="55"/>
      <c r="J87" s="55"/>
      <c r="K87" s="58"/>
      <c r="L87" s="58"/>
      <c r="M87" s="58"/>
      <c r="N87" s="58"/>
      <c r="O87" s="58"/>
      <c r="P87" s="58"/>
      <c r="Q87" s="58"/>
      <c r="R87" s="58"/>
      <c r="S87" s="58"/>
      <c r="T87" s="58"/>
      <c r="U87" s="58"/>
      <c r="V87" s="58"/>
      <c r="W87" s="58"/>
      <c r="X87" s="58"/>
      <c r="Y87" s="58"/>
      <c r="Z87" s="58"/>
      <c r="AA87" s="58"/>
      <c r="AB87" s="58"/>
    </row>
    <row r="88" customFormat="false" ht="15.75" hidden="false" customHeight="false" outlineLevel="0" collapsed="false">
      <c r="A88" s="71"/>
      <c r="B88" s="71"/>
      <c r="C88" s="5" t="s">
        <v>19</v>
      </c>
      <c r="D88" s="48"/>
      <c r="E88" s="73" t="n">
        <f aca="false">IFERROR(__xludf.dummyfunction("COUNTA(SPLIT(D88,"" ""))/COUNTA(SPLIT($B$47,"" ""))"),0.00242718446601942)</f>
        <v>0.002427184466</v>
      </c>
      <c r="F88" s="5"/>
      <c r="G88" s="5"/>
      <c r="H88" s="5"/>
      <c r="I88" s="5"/>
      <c r="J88" s="5"/>
      <c r="K88" s="50"/>
      <c r="L88" s="50"/>
      <c r="M88" s="50"/>
      <c r="N88" s="50"/>
      <c r="O88" s="50"/>
      <c r="P88" s="50"/>
      <c r="Q88" s="50"/>
      <c r="R88" s="50"/>
      <c r="S88" s="50"/>
      <c r="T88" s="50"/>
      <c r="U88" s="50"/>
      <c r="V88" s="50"/>
      <c r="W88" s="50"/>
      <c r="X88" s="50"/>
      <c r="Y88" s="50"/>
      <c r="Z88" s="50"/>
      <c r="AA88" s="50"/>
      <c r="AB88" s="50"/>
    </row>
    <row r="89" customFormat="false" ht="15.75" hidden="false" customHeight="false" outlineLevel="0" collapsed="false">
      <c r="A89" s="71"/>
      <c r="B89" s="71"/>
      <c r="C89" s="5" t="s">
        <v>8</v>
      </c>
      <c r="D89" s="48"/>
      <c r="E89" s="74" t="n">
        <f aca="false">IFERROR(__xludf.dummyfunction("COUNTA(SPLIT(D89,"" ""))/COUNTA(SPLIT($B$47,"" ""))"),0.00242718446601942)</f>
        <v>0.002427184466</v>
      </c>
      <c r="F89" s="5"/>
      <c r="G89" s="5"/>
      <c r="H89" s="5"/>
      <c r="I89" s="5"/>
      <c r="J89" s="5"/>
      <c r="K89" s="50"/>
      <c r="L89" s="50"/>
      <c r="M89" s="50"/>
      <c r="N89" s="50"/>
      <c r="O89" s="50"/>
      <c r="P89" s="50"/>
      <c r="Q89" s="50"/>
      <c r="R89" s="50"/>
      <c r="S89" s="50"/>
      <c r="T89" s="50"/>
      <c r="U89" s="50"/>
      <c r="V89" s="50"/>
      <c r="W89" s="50"/>
      <c r="X89" s="50"/>
      <c r="Y89" s="50"/>
      <c r="Z89" s="50"/>
      <c r="AA89" s="50"/>
      <c r="AB89" s="50"/>
    </row>
    <row r="90" customFormat="false" ht="15.75" hidden="false" customHeight="false" outlineLevel="0" collapsed="false">
      <c r="A90" s="71"/>
      <c r="B90" s="71"/>
      <c r="C90" s="5" t="s">
        <v>20</v>
      </c>
      <c r="D90" s="48"/>
      <c r="E90" s="75" t="n">
        <f aca="false">IFERROR(__xludf.dummyfunction("COUNTA(SPLIT(D90,"" ""))/COUNTA(SPLIT($B$47,"" ""))"),0.00242718446601942)</f>
        <v>0.002427184466</v>
      </c>
      <c r="F90" s="5"/>
      <c r="G90" s="5"/>
      <c r="H90" s="5"/>
      <c r="I90" s="5"/>
      <c r="J90" s="5"/>
      <c r="K90" s="50"/>
      <c r="L90" s="50"/>
      <c r="M90" s="50"/>
      <c r="N90" s="50"/>
      <c r="O90" s="50"/>
      <c r="P90" s="50"/>
      <c r="Q90" s="50"/>
      <c r="R90" s="50"/>
      <c r="S90" s="50"/>
      <c r="T90" s="50"/>
      <c r="U90" s="50"/>
      <c r="V90" s="50"/>
      <c r="W90" s="50"/>
      <c r="X90" s="50"/>
      <c r="Y90" s="50"/>
      <c r="Z90" s="50"/>
      <c r="AA90" s="50"/>
      <c r="AB90" s="50"/>
    </row>
    <row r="91" customFormat="false" ht="15.75" hidden="false" customHeight="false" outlineLevel="0" collapsed="false">
      <c r="A91" s="50"/>
      <c r="B91" s="50"/>
      <c r="C91" s="5"/>
      <c r="D91" s="48"/>
      <c r="E91" s="50"/>
      <c r="F91" s="5"/>
      <c r="G91" s="5"/>
      <c r="H91" s="5"/>
      <c r="I91" s="5"/>
      <c r="J91" s="5"/>
      <c r="K91" s="50"/>
      <c r="L91" s="50"/>
      <c r="M91" s="50"/>
      <c r="N91" s="50"/>
      <c r="O91" s="50"/>
      <c r="P91" s="50"/>
      <c r="Q91" s="50"/>
      <c r="R91" s="50"/>
      <c r="S91" s="50"/>
      <c r="T91" s="50"/>
      <c r="U91" s="50"/>
      <c r="V91" s="50"/>
      <c r="W91" s="50"/>
      <c r="X91" s="50"/>
      <c r="Y91" s="50"/>
      <c r="Z91" s="50"/>
      <c r="AA91" s="50"/>
      <c r="AB91" s="50"/>
    </row>
    <row r="92" customFormat="false" ht="15.75" hidden="false" customHeight="false" outlineLevel="0" collapsed="false">
      <c r="A92" s="71"/>
      <c r="B92" s="54"/>
      <c r="C92" s="55" t="s">
        <v>18</v>
      </c>
      <c r="D92" s="56"/>
      <c r="E92" s="72" t="n">
        <f aca="false">IFERROR(__xludf.dummyfunction("COUNTA(SPLIT(D92,"" ""))/COUNTA(SPLIT($B$47,"" ""))"),0.00242718446601942)</f>
        <v>0.002427184466</v>
      </c>
      <c r="F92" s="55"/>
      <c r="G92" s="55"/>
      <c r="H92" s="55"/>
      <c r="I92" s="55"/>
      <c r="J92" s="55"/>
      <c r="K92" s="58"/>
      <c r="L92" s="58"/>
      <c r="M92" s="58"/>
      <c r="N92" s="58"/>
      <c r="O92" s="58"/>
      <c r="P92" s="58"/>
      <c r="Q92" s="58"/>
      <c r="R92" s="58"/>
      <c r="S92" s="58"/>
      <c r="T92" s="58"/>
      <c r="U92" s="58"/>
      <c r="V92" s="58"/>
      <c r="W92" s="58"/>
      <c r="X92" s="58"/>
      <c r="Y92" s="58"/>
      <c r="Z92" s="58"/>
      <c r="AA92" s="58"/>
      <c r="AB92" s="58"/>
    </row>
    <row r="93" customFormat="false" ht="15.75" hidden="false" customHeight="false" outlineLevel="0" collapsed="false">
      <c r="A93" s="71"/>
      <c r="B93" s="71"/>
      <c r="C93" s="5" t="s">
        <v>19</v>
      </c>
      <c r="D93" s="48"/>
      <c r="E93" s="73" t="n">
        <f aca="false">IFERROR(__xludf.dummyfunction("COUNTA(SPLIT(D93,"" ""))/COUNTA(SPLIT($B$47,"" ""))"),0.00242718446601942)</f>
        <v>0.002427184466</v>
      </c>
      <c r="F93" s="5"/>
      <c r="G93" s="5"/>
      <c r="H93" s="5"/>
      <c r="I93" s="5"/>
      <c r="J93" s="5"/>
      <c r="K93" s="50"/>
      <c r="L93" s="50"/>
      <c r="M93" s="50"/>
      <c r="N93" s="50"/>
      <c r="O93" s="50"/>
      <c r="P93" s="50"/>
      <c r="Q93" s="50"/>
      <c r="R93" s="50"/>
      <c r="S93" s="50"/>
      <c r="T93" s="50"/>
      <c r="U93" s="50"/>
      <c r="V93" s="50"/>
      <c r="W93" s="50"/>
      <c r="X93" s="50"/>
      <c r="Y93" s="50"/>
      <c r="Z93" s="50"/>
      <c r="AA93" s="50"/>
      <c r="AB93" s="50"/>
    </row>
    <row r="94" customFormat="false" ht="15.75" hidden="false" customHeight="false" outlineLevel="0" collapsed="false">
      <c r="A94" s="71"/>
      <c r="B94" s="71"/>
      <c r="C94" s="5" t="s">
        <v>8</v>
      </c>
      <c r="D94" s="48"/>
      <c r="E94" s="74" t="n">
        <f aca="false">IFERROR(__xludf.dummyfunction("COUNTA(SPLIT(D94,"" ""))/COUNTA(SPLIT($B$47,"" ""))"),0.00242718446601942)</f>
        <v>0.002427184466</v>
      </c>
      <c r="F94" s="5"/>
      <c r="G94" s="5"/>
      <c r="H94" s="5"/>
      <c r="I94" s="5"/>
      <c r="J94" s="5"/>
      <c r="K94" s="50"/>
      <c r="L94" s="50"/>
      <c r="M94" s="50"/>
      <c r="N94" s="50"/>
      <c r="O94" s="50"/>
      <c r="P94" s="50"/>
      <c r="Q94" s="50"/>
      <c r="R94" s="50"/>
      <c r="S94" s="50"/>
      <c r="T94" s="50"/>
      <c r="U94" s="50"/>
      <c r="V94" s="50"/>
      <c r="W94" s="50"/>
      <c r="X94" s="50"/>
      <c r="Y94" s="50"/>
      <c r="Z94" s="50"/>
      <c r="AA94" s="50"/>
      <c r="AB94" s="50"/>
    </row>
    <row r="95" customFormat="false" ht="15.75" hidden="false" customHeight="false" outlineLevel="0" collapsed="false">
      <c r="A95" s="71"/>
      <c r="B95" s="71"/>
      <c r="C95" s="5" t="s">
        <v>20</v>
      </c>
      <c r="D95" s="48"/>
      <c r="E95" s="75" t="n">
        <f aca="false">IFERROR(__xludf.dummyfunction("COUNTA(SPLIT(D95,"" ""))/COUNTA(SPLIT($B$47,"" ""))"),0.00242718446601942)</f>
        <v>0.002427184466</v>
      </c>
      <c r="F95" s="5"/>
      <c r="G95" s="5"/>
      <c r="H95" s="5"/>
      <c r="I95" s="5"/>
      <c r="J95" s="5"/>
      <c r="K95" s="50"/>
      <c r="L95" s="50"/>
      <c r="M95" s="50"/>
      <c r="N95" s="50"/>
      <c r="O95" s="50"/>
      <c r="P95" s="50"/>
      <c r="Q95" s="50"/>
      <c r="R95" s="50"/>
      <c r="S95" s="50"/>
      <c r="T95" s="50"/>
      <c r="U95" s="50"/>
      <c r="V95" s="50"/>
      <c r="W95" s="50"/>
      <c r="X95" s="50"/>
      <c r="Y95" s="50"/>
      <c r="Z95" s="50"/>
      <c r="AA95" s="50"/>
      <c r="AB95" s="50"/>
    </row>
    <row r="96" customFormat="false" ht="15.75" hidden="false" customHeight="false" outlineLevel="0" collapsed="false">
      <c r="A96" s="50"/>
      <c r="B96" s="50"/>
      <c r="C96" s="5"/>
      <c r="D96" s="48"/>
      <c r="E96" s="50"/>
      <c r="F96" s="5"/>
      <c r="G96" s="5"/>
      <c r="H96" s="5"/>
      <c r="I96" s="5"/>
      <c r="J96" s="5"/>
      <c r="K96" s="50"/>
      <c r="L96" s="50"/>
      <c r="M96" s="50"/>
      <c r="N96" s="50"/>
      <c r="O96" s="50"/>
      <c r="P96" s="50"/>
      <c r="Q96" s="50"/>
      <c r="R96" s="50"/>
      <c r="S96" s="50"/>
      <c r="T96" s="50"/>
      <c r="U96" s="50"/>
      <c r="V96" s="50"/>
      <c r="W96" s="50"/>
      <c r="X96" s="50"/>
      <c r="Y96" s="50"/>
      <c r="Z96" s="50"/>
      <c r="AA96" s="50"/>
      <c r="AB96" s="50"/>
    </row>
    <row r="97" customFormat="false" ht="15.75" hidden="false" customHeight="false" outlineLevel="0" collapsed="false">
      <c r="A97" s="71"/>
      <c r="B97" s="54"/>
      <c r="C97" s="55" t="s">
        <v>18</v>
      </c>
      <c r="D97" s="56"/>
      <c r="E97" s="72" t="n">
        <f aca="false">IFERROR(__xludf.dummyfunction("COUNTA(SPLIT(D97,"" ""))/COUNTA(SPLIT($B$47,"" ""))"),0.00242718446601942)</f>
        <v>0.002427184466</v>
      </c>
      <c r="F97" s="55"/>
      <c r="G97" s="55"/>
      <c r="H97" s="55"/>
      <c r="I97" s="55"/>
      <c r="J97" s="55"/>
      <c r="K97" s="58"/>
      <c r="L97" s="58"/>
      <c r="M97" s="58"/>
      <c r="N97" s="58"/>
      <c r="O97" s="58"/>
      <c r="P97" s="58"/>
      <c r="Q97" s="58"/>
      <c r="R97" s="58"/>
      <c r="S97" s="58"/>
      <c r="T97" s="58"/>
      <c r="U97" s="58"/>
      <c r="V97" s="58"/>
      <c r="W97" s="58"/>
      <c r="X97" s="58"/>
      <c r="Y97" s="58"/>
      <c r="Z97" s="58"/>
      <c r="AA97" s="58"/>
      <c r="AB97" s="58"/>
    </row>
    <row r="98" customFormat="false" ht="15.75" hidden="false" customHeight="false" outlineLevel="0" collapsed="false">
      <c r="A98" s="71"/>
      <c r="B98" s="71"/>
      <c r="C98" s="5" t="s">
        <v>19</v>
      </c>
      <c r="D98" s="48"/>
      <c r="E98" s="73" t="n">
        <f aca="false">IFERROR(__xludf.dummyfunction("COUNTA(SPLIT(D98,"" ""))/COUNTA(SPLIT($B$47,"" ""))"),0.00242718446601942)</f>
        <v>0.002427184466</v>
      </c>
      <c r="F98" s="5"/>
      <c r="G98" s="5"/>
      <c r="H98" s="5"/>
      <c r="I98" s="5"/>
      <c r="J98" s="5"/>
      <c r="K98" s="50"/>
      <c r="L98" s="50"/>
      <c r="M98" s="50"/>
      <c r="N98" s="50"/>
      <c r="O98" s="50"/>
      <c r="P98" s="50"/>
      <c r="Q98" s="50"/>
      <c r="R98" s="50"/>
      <c r="S98" s="50"/>
      <c r="T98" s="50"/>
      <c r="U98" s="50"/>
      <c r="V98" s="50"/>
      <c r="W98" s="50"/>
      <c r="X98" s="50"/>
      <c r="Y98" s="50"/>
      <c r="Z98" s="50"/>
      <c r="AA98" s="50"/>
      <c r="AB98" s="50"/>
    </row>
    <row r="99" customFormat="false" ht="15.75" hidden="false" customHeight="false" outlineLevel="0" collapsed="false">
      <c r="A99" s="71"/>
      <c r="B99" s="71"/>
      <c r="C99" s="5" t="s">
        <v>8</v>
      </c>
      <c r="D99" s="48"/>
      <c r="E99" s="74" t="n">
        <f aca="false">IFERROR(__xludf.dummyfunction("COUNTA(SPLIT(D99,"" ""))/COUNTA(SPLIT($B$47,"" ""))"),0.00242718446601942)</f>
        <v>0.002427184466</v>
      </c>
      <c r="F99" s="5"/>
      <c r="G99" s="5"/>
      <c r="H99" s="5"/>
      <c r="I99" s="5"/>
      <c r="J99" s="5"/>
      <c r="K99" s="50"/>
      <c r="L99" s="50"/>
      <c r="M99" s="50"/>
      <c r="N99" s="50"/>
      <c r="O99" s="50"/>
      <c r="P99" s="50"/>
      <c r="Q99" s="50"/>
      <c r="R99" s="50"/>
      <c r="S99" s="50"/>
      <c r="T99" s="50"/>
      <c r="U99" s="50"/>
      <c r="V99" s="50"/>
      <c r="W99" s="50"/>
      <c r="X99" s="50"/>
      <c r="Y99" s="50"/>
      <c r="Z99" s="50"/>
      <c r="AA99" s="50"/>
      <c r="AB99" s="50"/>
    </row>
    <row r="100" customFormat="false" ht="15.75" hidden="false" customHeight="false" outlineLevel="0" collapsed="false">
      <c r="A100" s="71"/>
      <c r="B100" s="71"/>
      <c r="C100" s="5" t="s">
        <v>20</v>
      </c>
      <c r="D100" s="48"/>
      <c r="E100" s="75" t="n">
        <f aca="false">IFERROR(__xludf.dummyfunction("COUNTA(SPLIT(D100,"" ""))/COUNTA(SPLIT($B$47,"" ""))"),0.00242718446601942)</f>
        <v>0.002427184466</v>
      </c>
      <c r="F100" s="5"/>
      <c r="G100" s="5"/>
      <c r="H100" s="5"/>
      <c r="I100" s="5"/>
      <c r="J100" s="5"/>
      <c r="K100" s="50"/>
      <c r="L100" s="50"/>
      <c r="M100" s="50"/>
      <c r="N100" s="50"/>
      <c r="O100" s="50"/>
      <c r="P100" s="50"/>
      <c r="Q100" s="50"/>
      <c r="R100" s="50"/>
      <c r="S100" s="50"/>
      <c r="T100" s="50"/>
      <c r="U100" s="50"/>
      <c r="V100" s="50"/>
      <c r="W100" s="50"/>
      <c r="X100" s="50"/>
      <c r="Y100" s="50"/>
      <c r="Z100" s="50"/>
      <c r="AA100" s="50"/>
      <c r="AB100" s="50"/>
    </row>
    <row r="101" customFormat="false" ht="15.75" hidden="false" customHeight="false" outlineLevel="0" collapsed="false">
      <c r="A101" s="50"/>
      <c r="B101" s="50"/>
      <c r="C101" s="5"/>
      <c r="D101" s="48"/>
      <c r="E101" s="50"/>
      <c r="F101" s="5"/>
      <c r="G101" s="5"/>
      <c r="H101" s="5"/>
      <c r="I101" s="5"/>
      <c r="J101" s="5"/>
      <c r="K101" s="50"/>
      <c r="L101" s="50"/>
      <c r="M101" s="50"/>
      <c r="N101" s="50"/>
      <c r="O101" s="50"/>
      <c r="P101" s="50"/>
      <c r="Q101" s="50"/>
      <c r="R101" s="50"/>
      <c r="S101" s="50"/>
      <c r="T101" s="50"/>
      <c r="U101" s="50"/>
      <c r="V101" s="50"/>
      <c r="W101" s="50"/>
      <c r="X101" s="50"/>
      <c r="Y101" s="50"/>
      <c r="Z101" s="50"/>
      <c r="AA101" s="50"/>
      <c r="AB101" s="50"/>
    </row>
    <row r="102" customFormat="false" ht="15.75" hidden="false" customHeight="false" outlineLevel="0" collapsed="false">
      <c r="A102" s="71"/>
      <c r="B102" s="54"/>
      <c r="C102" s="55" t="s">
        <v>18</v>
      </c>
      <c r="D102" s="56"/>
      <c r="E102" s="72" t="n">
        <f aca="false">IFERROR(__xludf.dummyfunction("COUNTA(SPLIT(D102,"" ""))/COUNTA(SPLIT($B$47,"" ""))"),0.00242718446601942)</f>
        <v>0.002427184466</v>
      </c>
      <c r="F102" s="55"/>
      <c r="G102" s="55"/>
      <c r="H102" s="55"/>
      <c r="I102" s="55"/>
      <c r="J102" s="55"/>
      <c r="K102" s="58"/>
      <c r="L102" s="58"/>
      <c r="M102" s="58"/>
      <c r="N102" s="58"/>
      <c r="O102" s="58"/>
      <c r="P102" s="58"/>
      <c r="Q102" s="58"/>
      <c r="R102" s="58"/>
      <c r="S102" s="58"/>
      <c r="T102" s="58"/>
      <c r="U102" s="58"/>
      <c r="V102" s="58"/>
      <c r="W102" s="58"/>
      <c r="X102" s="58"/>
      <c r="Y102" s="58"/>
      <c r="Z102" s="58"/>
      <c r="AA102" s="58"/>
      <c r="AB102" s="58"/>
    </row>
    <row r="103" customFormat="false" ht="15.75" hidden="false" customHeight="false" outlineLevel="0" collapsed="false">
      <c r="A103" s="71"/>
      <c r="B103" s="71"/>
      <c r="C103" s="5" t="s">
        <v>19</v>
      </c>
      <c r="D103" s="48"/>
      <c r="E103" s="73" t="n">
        <f aca="false">IFERROR(__xludf.dummyfunction("COUNTA(SPLIT(D103,"" ""))/COUNTA(SPLIT($B$47,"" ""))"),0.00242718446601942)</f>
        <v>0.002427184466</v>
      </c>
      <c r="F103" s="5"/>
      <c r="G103" s="5"/>
      <c r="H103" s="5"/>
      <c r="I103" s="5"/>
      <c r="J103" s="5"/>
      <c r="K103" s="50"/>
      <c r="L103" s="50"/>
      <c r="M103" s="50"/>
      <c r="N103" s="50"/>
      <c r="O103" s="50"/>
      <c r="P103" s="50"/>
      <c r="Q103" s="50"/>
      <c r="R103" s="50"/>
      <c r="S103" s="50"/>
      <c r="T103" s="50"/>
      <c r="U103" s="50"/>
      <c r="V103" s="50"/>
      <c r="W103" s="50"/>
      <c r="X103" s="50"/>
      <c r="Y103" s="50"/>
      <c r="Z103" s="50"/>
      <c r="AA103" s="50"/>
      <c r="AB103" s="50"/>
    </row>
    <row r="104" customFormat="false" ht="15.75" hidden="false" customHeight="false" outlineLevel="0" collapsed="false">
      <c r="A104" s="71"/>
      <c r="B104" s="71"/>
      <c r="C104" s="5" t="s">
        <v>8</v>
      </c>
      <c r="D104" s="48"/>
      <c r="E104" s="74" t="n">
        <f aca="false">IFERROR(__xludf.dummyfunction("COUNTA(SPLIT(D104,"" ""))/COUNTA(SPLIT($B$47,"" ""))"),0.00242718446601942)</f>
        <v>0.002427184466</v>
      </c>
      <c r="F104" s="5"/>
      <c r="G104" s="5"/>
      <c r="H104" s="5"/>
      <c r="I104" s="5"/>
      <c r="J104" s="5"/>
      <c r="K104" s="50"/>
      <c r="L104" s="50"/>
      <c r="M104" s="50"/>
      <c r="N104" s="50"/>
      <c r="O104" s="50"/>
      <c r="P104" s="50"/>
      <c r="Q104" s="50"/>
      <c r="R104" s="50"/>
      <c r="S104" s="50"/>
      <c r="T104" s="50"/>
      <c r="U104" s="50"/>
      <c r="V104" s="50"/>
      <c r="W104" s="50"/>
      <c r="X104" s="50"/>
      <c r="Y104" s="50"/>
      <c r="Z104" s="50"/>
      <c r="AA104" s="50"/>
      <c r="AB104" s="50"/>
    </row>
    <row r="105" customFormat="false" ht="15.75" hidden="false" customHeight="false" outlineLevel="0" collapsed="false">
      <c r="A105" s="71"/>
      <c r="B105" s="71"/>
      <c r="C105" s="5" t="s">
        <v>20</v>
      </c>
      <c r="D105" s="48"/>
      <c r="E105" s="75" t="n">
        <f aca="false">IFERROR(__xludf.dummyfunction("COUNTA(SPLIT(D105,"" ""))/COUNTA(SPLIT($B$47,"" ""))"),0.00242718446601942)</f>
        <v>0.002427184466</v>
      </c>
      <c r="F105" s="5"/>
      <c r="G105" s="5"/>
      <c r="H105" s="5"/>
      <c r="I105" s="5"/>
      <c r="J105" s="5"/>
      <c r="K105" s="50"/>
      <c r="L105" s="50"/>
      <c r="M105" s="50"/>
      <c r="N105" s="50"/>
      <c r="O105" s="50"/>
      <c r="P105" s="50"/>
      <c r="Q105" s="50"/>
      <c r="R105" s="50"/>
      <c r="S105" s="50"/>
      <c r="T105" s="50"/>
      <c r="U105" s="50"/>
      <c r="V105" s="50"/>
      <c r="W105" s="50"/>
      <c r="X105" s="50"/>
      <c r="Y105" s="50"/>
      <c r="Z105" s="50"/>
      <c r="AA105" s="50"/>
      <c r="AB105" s="50"/>
    </row>
    <row r="106" customFormat="false" ht="15.75" hidden="false" customHeight="false" outlineLevel="0" collapsed="false">
      <c r="A106" s="50"/>
      <c r="B106" s="50"/>
      <c r="C106" s="5"/>
      <c r="D106" s="48"/>
      <c r="E106" s="50"/>
      <c r="F106" s="5"/>
      <c r="G106" s="5"/>
      <c r="H106" s="5"/>
      <c r="I106" s="5"/>
      <c r="J106" s="5"/>
      <c r="K106" s="50"/>
      <c r="L106" s="50"/>
      <c r="M106" s="50"/>
      <c r="N106" s="50"/>
      <c r="O106" s="50"/>
      <c r="P106" s="50"/>
      <c r="Q106" s="50"/>
      <c r="R106" s="50"/>
      <c r="S106" s="50"/>
      <c r="T106" s="50"/>
      <c r="U106" s="50"/>
      <c r="V106" s="50"/>
      <c r="W106" s="50"/>
      <c r="X106" s="50"/>
      <c r="Y106" s="50"/>
      <c r="Z106" s="50"/>
      <c r="AA106" s="50"/>
      <c r="AB106" s="50"/>
    </row>
    <row r="107" customFormat="false" ht="15.75" hidden="false" customHeight="false" outlineLevel="0" collapsed="false">
      <c r="A107" s="71"/>
      <c r="B107" s="54"/>
      <c r="C107" s="55" t="s">
        <v>18</v>
      </c>
      <c r="D107" s="56"/>
      <c r="E107" s="72" t="n">
        <f aca="false">IFERROR(__xludf.dummyfunction("COUNTA(SPLIT(D107,"" ""))/COUNTA(SPLIT($B$47,"" ""))"),0.00242718446601942)</f>
        <v>0.002427184466</v>
      </c>
      <c r="F107" s="55"/>
      <c r="G107" s="55"/>
      <c r="H107" s="55"/>
      <c r="I107" s="55"/>
      <c r="J107" s="55"/>
      <c r="K107" s="58"/>
      <c r="L107" s="58"/>
      <c r="M107" s="58"/>
      <c r="N107" s="58"/>
      <c r="O107" s="58"/>
      <c r="P107" s="58"/>
      <c r="Q107" s="58"/>
      <c r="R107" s="58"/>
      <c r="S107" s="58"/>
      <c r="T107" s="58"/>
      <c r="U107" s="58"/>
      <c r="V107" s="58"/>
      <c r="W107" s="58"/>
      <c r="X107" s="58"/>
      <c r="Y107" s="58"/>
      <c r="Z107" s="58"/>
      <c r="AA107" s="58"/>
      <c r="AB107" s="58"/>
    </row>
    <row r="108" customFormat="false" ht="15.75" hidden="false" customHeight="false" outlineLevel="0" collapsed="false">
      <c r="A108" s="71"/>
      <c r="B108" s="71"/>
      <c r="C108" s="5" t="s">
        <v>19</v>
      </c>
      <c r="D108" s="48"/>
      <c r="E108" s="73" t="n">
        <f aca="false">IFERROR(__xludf.dummyfunction("COUNTA(SPLIT(D108,"" ""))/COUNTA(SPLIT($B$47,"" ""))"),0.00242718446601942)</f>
        <v>0.002427184466</v>
      </c>
      <c r="F108" s="5"/>
      <c r="G108" s="5"/>
      <c r="H108" s="5"/>
      <c r="I108" s="5"/>
      <c r="J108" s="5"/>
      <c r="K108" s="50"/>
      <c r="L108" s="50"/>
      <c r="M108" s="50"/>
      <c r="N108" s="50"/>
      <c r="O108" s="50"/>
      <c r="P108" s="50"/>
      <c r="Q108" s="50"/>
      <c r="R108" s="50"/>
      <c r="S108" s="50"/>
      <c r="T108" s="50"/>
      <c r="U108" s="50"/>
      <c r="V108" s="50"/>
      <c r="W108" s="50"/>
      <c r="X108" s="50"/>
      <c r="Y108" s="50"/>
      <c r="Z108" s="50"/>
      <c r="AA108" s="50"/>
      <c r="AB108" s="50"/>
    </row>
    <row r="109" customFormat="false" ht="15.75" hidden="false" customHeight="false" outlineLevel="0" collapsed="false">
      <c r="A109" s="71"/>
      <c r="B109" s="71"/>
      <c r="C109" s="5" t="s">
        <v>8</v>
      </c>
      <c r="D109" s="48"/>
      <c r="E109" s="74" t="n">
        <f aca="false">IFERROR(__xludf.dummyfunction("COUNTA(SPLIT(D109,"" ""))/COUNTA(SPLIT($B$47,"" ""))"),0.00242718446601942)</f>
        <v>0.002427184466</v>
      </c>
      <c r="F109" s="5"/>
      <c r="G109" s="5"/>
      <c r="H109" s="5"/>
      <c r="I109" s="5"/>
      <c r="J109" s="5"/>
      <c r="K109" s="50"/>
      <c r="L109" s="50"/>
      <c r="M109" s="50"/>
      <c r="N109" s="50"/>
      <c r="O109" s="50"/>
      <c r="P109" s="50"/>
      <c r="Q109" s="50"/>
      <c r="R109" s="50"/>
      <c r="S109" s="50"/>
      <c r="T109" s="50"/>
      <c r="U109" s="50"/>
      <c r="V109" s="50"/>
      <c r="W109" s="50"/>
      <c r="X109" s="50"/>
      <c r="Y109" s="50"/>
      <c r="Z109" s="50"/>
      <c r="AA109" s="50"/>
      <c r="AB109" s="50"/>
    </row>
    <row r="110" customFormat="false" ht="15.75" hidden="false" customHeight="false" outlineLevel="0" collapsed="false">
      <c r="A110" s="71"/>
      <c r="B110" s="71"/>
      <c r="C110" s="5" t="s">
        <v>20</v>
      </c>
      <c r="D110" s="48"/>
      <c r="E110" s="75" t="n">
        <f aca="false">IFERROR(__xludf.dummyfunction("COUNTA(SPLIT(D110,"" ""))/COUNTA(SPLIT($B$47,"" ""))"),0.00242718446601942)</f>
        <v>0.002427184466</v>
      </c>
      <c r="F110" s="5"/>
      <c r="G110" s="5"/>
      <c r="H110" s="5"/>
      <c r="I110" s="5"/>
      <c r="J110" s="5"/>
      <c r="K110" s="50"/>
      <c r="L110" s="50"/>
      <c r="M110" s="50"/>
      <c r="N110" s="50"/>
      <c r="O110" s="50"/>
      <c r="P110" s="50"/>
      <c r="Q110" s="50"/>
      <c r="R110" s="50"/>
      <c r="S110" s="50"/>
      <c r="T110" s="50"/>
      <c r="U110" s="50"/>
      <c r="V110" s="50"/>
      <c r="W110" s="50"/>
      <c r="X110" s="50"/>
      <c r="Y110" s="50"/>
      <c r="Z110" s="50"/>
      <c r="AA110" s="50"/>
      <c r="AB110" s="50"/>
    </row>
    <row r="111" customFormat="false" ht="15.75" hidden="false" customHeight="false" outlineLevel="0" collapsed="false">
      <c r="A111" s="50"/>
      <c r="B111" s="50"/>
      <c r="C111" s="5"/>
      <c r="D111" s="48"/>
      <c r="E111" s="50"/>
      <c r="F111" s="5"/>
      <c r="G111" s="5"/>
      <c r="H111" s="5"/>
      <c r="I111" s="5"/>
      <c r="J111" s="5"/>
      <c r="K111" s="50"/>
      <c r="L111" s="50"/>
      <c r="M111" s="50"/>
      <c r="N111" s="50"/>
      <c r="O111" s="50"/>
      <c r="P111" s="50"/>
      <c r="Q111" s="50"/>
      <c r="R111" s="50"/>
      <c r="S111" s="50"/>
      <c r="T111" s="50"/>
      <c r="U111" s="50"/>
      <c r="V111" s="50"/>
      <c r="W111" s="50"/>
      <c r="X111" s="50"/>
      <c r="Y111" s="50"/>
      <c r="Z111" s="50"/>
      <c r="AA111" s="50"/>
      <c r="AB111" s="50"/>
    </row>
    <row r="112" customFormat="false" ht="15.75" hidden="false" customHeight="false" outlineLevel="0" collapsed="false">
      <c r="A112" s="71"/>
      <c r="B112" s="54"/>
      <c r="C112" s="55" t="s">
        <v>18</v>
      </c>
      <c r="D112" s="56"/>
      <c r="E112" s="72" t="n">
        <f aca="false">IFERROR(__xludf.dummyfunction("COUNTA(SPLIT(D112,"" ""))/COUNTA(SPLIT($B$47,"" ""))"),0.00242718446601942)</f>
        <v>0.002427184466</v>
      </c>
      <c r="F112" s="55"/>
      <c r="G112" s="55"/>
      <c r="H112" s="55"/>
      <c r="I112" s="55"/>
      <c r="J112" s="55"/>
      <c r="K112" s="58"/>
      <c r="L112" s="58"/>
      <c r="M112" s="58"/>
      <c r="N112" s="58"/>
      <c r="O112" s="58"/>
      <c r="P112" s="58"/>
      <c r="Q112" s="58"/>
      <c r="R112" s="58"/>
      <c r="S112" s="58"/>
      <c r="T112" s="58"/>
      <c r="U112" s="58"/>
      <c r="V112" s="58"/>
      <c r="W112" s="58"/>
      <c r="X112" s="58"/>
      <c r="Y112" s="58"/>
      <c r="Z112" s="58"/>
      <c r="AA112" s="58"/>
      <c r="AB112" s="58"/>
    </row>
    <row r="113" customFormat="false" ht="15.75" hidden="false" customHeight="false" outlineLevel="0" collapsed="false">
      <c r="A113" s="71"/>
      <c r="B113" s="71"/>
      <c r="C113" s="5" t="s">
        <v>19</v>
      </c>
      <c r="D113" s="48"/>
      <c r="E113" s="73" t="n">
        <f aca="false">IFERROR(__xludf.dummyfunction("COUNTA(SPLIT(D113,"" ""))/COUNTA(SPLIT($B$47,"" ""))"),0.00242718446601942)</f>
        <v>0.002427184466</v>
      </c>
      <c r="F113" s="5"/>
      <c r="G113" s="5"/>
      <c r="H113" s="5"/>
      <c r="I113" s="5"/>
      <c r="J113" s="5"/>
      <c r="K113" s="50"/>
      <c r="L113" s="50"/>
      <c r="M113" s="50"/>
      <c r="N113" s="50"/>
      <c r="O113" s="50"/>
      <c r="P113" s="50"/>
      <c r="Q113" s="50"/>
      <c r="R113" s="50"/>
      <c r="S113" s="50"/>
      <c r="T113" s="50"/>
      <c r="U113" s="50"/>
      <c r="V113" s="50"/>
      <c r="W113" s="50"/>
      <c r="X113" s="50"/>
      <c r="Y113" s="50"/>
      <c r="Z113" s="50"/>
      <c r="AA113" s="50"/>
      <c r="AB113" s="50"/>
    </row>
    <row r="114" customFormat="false" ht="15.75" hidden="false" customHeight="false" outlineLevel="0" collapsed="false">
      <c r="A114" s="71"/>
      <c r="B114" s="71"/>
      <c r="C114" s="5" t="s">
        <v>8</v>
      </c>
      <c r="D114" s="48"/>
      <c r="E114" s="74" t="n">
        <f aca="false">IFERROR(__xludf.dummyfunction("COUNTA(SPLIT(D114,"" ""))/COUNTA(SPLIT($B$47,"" ""))"),0.00242718446601942)</f>
        <v>0.002427184466</v>
      </c>
      <c r="F114" s="5"/>
      <c r="G114" s="5"/>
      <c r="H114" s="5"/>
      <c r="I114" s="5"/>
      <c r="J114" s="5"/>
      <c r="K114" s="50"/>
      <c r="L114" s="50"/>
      <c r="M114" s="50"/>
      <c r="N114" s="50"/>
      <c r="O114" s="50"/>
      <c r="P114" s="50"/>
      <c r="Q114" s="50"/>
      <c r="R114" s="50"/>
      <c r="S114" s="50"/>
      <c r="T114" s="50"/>
      <c r="U114" s="50"/>
      <c r="V114" s="50"/>
      <c r="W114" s="50"/>
      <c r="X114" s="50"/>
      <c r="Y114" s="50"/>
      <c r="Z114" s="50"/>
      <c r="AA114" s="50"/>
      <c r="AB114" s="50"/>
    </row>
    <row r="115" customFormat="false" ht="15.75" hidden="false" customHeight="false" outlineLevel="0" collapsed="false">
      <c r="A115" s="71"/>
      <c r="B115" s="71"/>
      <c r="C115" s="5" t="s">
        <v>20</v>
      </c>
      <c r="D115" s="48"/>
      <c r="E115" s="75" t="n">
        <f aca="false">IFERROR(__xludf.dummyfunction("COUNTA(SPLIT(D115,"" ""))/COUNTA(SPLIT($B$47,"" ""))"),0.00242718446601942)</f>
        <v>0.002427184466</v>
      </c>
      <c r="F115" s="5"/>
      <c r="G115" s="5"/>
      <c r="H115" s="5"/>
      <c r="I115" s="5"/>
      <c r="J115" s="5"/>
      <c r="K115" s="50"/>
      <c r="L115" s="50"/>
      <c r="M115" s="50"/>
      <c r="N115" s="50"/>
      <c r="O115" s="50"/>
      <c r="P115" s="50"/>
      <c r="Q115" s="50"/>
      <c r="R115" s="50"/>
      <c r="S115" s="50"/>
      <c r="T115" s="50"/>
      <c r="U115" s="50"/>
      <c r="V115" s="50"/>
      <c r="W115" s="50"/>
      <c r="X115" s="50"/>
      <c r="Y115" s="50"/>
      <c r="Z115" s="50"/>
      <c r="AA115" s="50"/>
      <c r="AB115" s="50"/>
    </row>
    <row r="116" customFormat="false" ht="15.75" hidden="false" customHeight="false" outlineLevel="0" collapsed="false">
      <c r="A116" s="50"/>
      <c r="B116" s="50"/>
      <c r="C116" s="5"/>
      <c r="D116" s="48"/>
      <c r="E116" s="50"/>
      <c r="F116" s="5"/>
      <c r="G116" s="5"/>
      <c r="H116" s="5"/>
      <c r="I116" s="5"/>
      <c r="J116" s="5"/>
      <c r="K116" s="50"/>
      <c r="L116" s="50"/>
      <c r="M116" s="50"/>
      <c r="N116" s="50"/>
      <c r="O116" s="50"/>
      <c r="P116" s="50"/>
      <c r="Q116" s="50"/>
      <c r="R116" s="50"/>
      <c r="S116" s="50"/>
      <c r="T116" s="50"/>
      <c r="U116" s="50"/>
      <c r="V116" s="50"/>
      <c r="W116" s="50"/>
      <c r="X116" s="50"/>
      <c r="Y116" s="50"/>
      <c r="Z116" s="50"/>
      <c r="AA116" s="50"/>
      <c r="AB116" s="50"/>
    </row>
    <row r="117" customFormat="false" ht="15.75" hidden="false" customHeight="false" outlineLevel="0" collapsed="false">
      <c r="A117" s="71"/>
      <c r="B117" s="54"/>
      <c r="C117" s="55" t="s">
        <v>18</v>
      </c>
      <c r="D117" s="56"/>
      <c r="E117" s="72" t="n">
        <f aca="false">IFERROR(__xludf.dummyfunction("COUNTA(SPLIT(D117,"" ""))/COUNTA(SPLIT($B$47,"" ""))"),0.00242718446601942)</f>
        <v>0.002427184466</v>
      </c>
      <c r="F117" s="55"/>
      <c r="G117" s="55"/>
      <c r="H117" s="55"/>
      <c r="I117" s="55"/>
      <c r="J117" s="55"/>
      <c r="K117" s="58"/>
      <c r="L117" s="58"/>
      <c r="M117" s="58"/>
      <c r="N117" s="58"/>
      <c r="O117" s="58"/>
      <c r="P117" s="58"/>
      <c r="Q117" s="58"/>
      <c r="R117" s="58"/>
      <c r="S117" s="58"/>
      <c r="T117" s="58"/>
      <c r="U117" s="58"/>
      <c r="V117" s="58"/>
      <c r="W117" s="58"/>
      <c r="X117" s="58"/>
      <c r="Y117" s="58"/>
      <c r="Z117" s="58"/>
      <c r="AA117" s="58"/>
      <c r="AB117" s="58"/>
    </row>
    <row r="118" customFormat="false" ht="15.75" hidden="false" customHeight="false" outlineLevel="0" collapsed="false">
      <c r="A118" s="71"/>
      <c r="B118" s="71"/>
      <c r="C118" s="5" t="s">
        <v>19</v>
      </c>
      <c r="D118" s="48"/>
      <c r="E118" s="73" t="n">
        <f aca="false">IFERROR(__xludf.dummyfunction("COUNTA(SPLIT(D118,"" ""))/COUNTA(SPLIT($B$47,"" ""))"),0.00242718446601942)</f>
        <v>0.002427184466</v>
      </c>
      <c r="F118" s="5"/>
      <c r="G118" s="5"/>
      <c r="H118" s="5"/>
      <c r="I118" s="5"/>
      <c r="J118" s="5"/>
      <c r="K118" s="50"/>
      <c r="L118" s="50"/>
      <c r="M118" s="50"/>
      <c r="N118" s="50"/>
      <c r="O118" s="50"/>
      <c r="P118" s="50"/>
      <c r="Q118" s="50"/>
      <c r="R118" s="50"/>
      <c r="S118" s="50"/>
      <c r="T118" s="50"/>
      <c r="U118" s="50"/>
      <c r="V118" s="50"/>
      <c r="W118" s="50"/>
      <c r="X118" s="50"/>
      <c r="Y118" s="50"/>
      <c r="Z118" s="50"/>
      <c r="AA118" s="50"/>
      <c r="AB118" s="50"/>
    </row>
    <row r="119" customFormat="false" ht="15.75" hidden="false" customHeight="false" outlineLevel="0" collapsed="false">
      <c r="A119" s="71"/>
      <c r="B119" s="71"/>
      <c r="C119" s="5" t="s">
        <v>8</v>
      </c>
      <c r="D119" s="48"/>
      <c r="E119" s="74" t="n">
        <f aca="false">IFERROR(__xludf.dummyfunction("COUNTA(SPLIT(D119,"" ""))/COUNTA(SPLIT($B$47,"" ""))"),0.00242718446601942)</f>
        <v>0.002427184466</v>
      </c>
      <c r="F119" s="5"/>
      <c r="G119" s="5"/>
      <c r="H119" s="5"/>
      <c r="I119" s="5"/>
      <c r="J119" s="5"/>
      <c r="K119" s="50"/>
      <c r="L119" s="50"/>
      <c r="M119" s="50"/>
      <c r="N119" s="50"/>
      <c r="O119" s="50"/>
      <c r="P119" s="50"/>
      <c r="Q119" s="50"/>
      <c r="R119" s="50"/>
      <c r="S119" s="50"/>
      <c r="T119" s="50"/>
      <c r="U119" s="50"/>
      <c r="V119" s="50"/>
      <c r="W119" s="50"/>
      <c r="X119" s="50"/>
      <c r="Y119" s="50"/>
      <c r="Z119" s="50"/>
      <c r="AA119" s="50"/>
      <c r="AB119" s="50"/>
    </row>
    <row r="120" customFormat="false" ht="15.75" hidden="false" customHeight="false" outlineLevel="0" collapsed="false">
      <c r="A120" s="71"/>
      <c r="B120" s="71"/>
      <c r="C120" s="5" t="s">
        <v>20</v>
      </c>
      <c r="D120" s="48"/>
      <c r="E120" s="75" t="n">
        <f aca="false">IFERROR(__xludf.dummyfunction("COUNTA(SPLIT(D120,"" ""))/COUNTA(SPLIT($B$47,"" ""))"),0.00242718446601942)</f>
        <v>0.002427184466</v>
      </c>
      <c r="F120" s="5"/>
      <c r="G120" s="5"/>
      <c r="H120" s="5"/>
      <c r="I120" s="5"/>
      <c r="J120" s="5"/>
      <c r="K120" s="50"/>
      <c r="L120" s="50"/>
      <c r="M120" s="50"/>
      <c r="N120" s="50"/>
      <c r="O120" s="50"/>
      <c r="P120" s="50"/>
      <c r="Q120" s="50"/>
      <c r="R120" s="50"/>
      <c r="S120" s="50"/>
      <c r="T120" s="50"/>
      <c r="U120" s="50"/>
      <c r="V120" s="50"/>
      <c r="W120" s="50"/>
      <c r="X120" s="50"/>
      <c r="Y120" s="50"/>
      <c r="Z120" s="50"/>
      <c r="AA120" s="50"/>
      <c r="AB120" s="50"/>
    </row>
    <row r="121" customFormat="false" ht="15.75" hidden="false" customHeight="false" outlineLevel="0" collapsed="false">
      <c r="A121" s="50"/>
      <c r="B121" s="50"/>
      <c r="C121" s="5"/>
      <c r="D121" s="48"/>
      <c r="E121" s="50"/>
      <c r="F121" s="5"/>
      <c r="G121" s="5"/>
      <c r="H121" s="5"/>
      <c r="I121" s="5"/>
      <c r="J121" s="5"/>
      <c r="K121" s="50"/>
      <c r="L121" s="50"/>
      <c r="M121" s="50"/>
      <c r="N121" s="50"/>
      <c r="O121" s="50"/>
      <c r="P121" s="50"/>
      <c r="Q121" s="50"/>
      <c r="R121" s="50"/>
      <c r="S121" s="50"/>
      <c r="T121" s="50"/>
      <c r="U121" s="50"/>
      <c r="V121" s="50"/>
      <c r="W121" s="50"/>
      <c r="X121" s="50"/>
      <c r="Y121" s="50"/>
      <c r="Z121" s="50"/>
      <c r="AA121" s="50"/>
      <c r="AB121" s="50"/>
    </row>
    <row r="122" customFormat="false" ht="15.75" hidden="false" customHeight="false" outlineLevel="0" collapsed="false">
      <c r="A122" s="71"/>
      <c r="B122" s="54"/>
      <c r="C122" s="55" t="s">
        <v>18</v>
      </c>
      <c r="D122" s="56"/>
      <c r="E122" s="72" t="n">
        <f aca="false">IFERROR(__xludf.dummyfunction("COUNTA(SPLIT(D122,"" ""))/COUNTA(SPLIT($B$47,"" ""))"),0.00242718446601942)</f>
        <v>0.002427184466</v>
      </c>
      <c r="F122" s="55"/>
      <c r="G122" s="55"/>
      <c r="H122" s="55"/>
      <c r="I122" s="55"/>
      <c r="J122" s="55"/>
      <c r="K122" s="58"/>
      <c r="L122" s="58"/>
      <c r="M122" s="58"/>
      <c r="N122" s="58"/>
      <c r="O122" s="58"/>
      <c r="P122" s="58"/>
      <c r="Q122" s="58"/>
      <c r="R122" s="58"/>
      <c r="S122" s="58"/>
      <c r="T122" s="58"/>
      <c r="U122" s="58"/>
      <c r="V122" s="58"/>
      <c r="W122" s="58"/>
      <c r="X122" s="58"/>
      <c r="Y122" s="58"/>
      <c r="Z122" s="58"/>
      <c r="AA122" s="58"/>
      <c r="AB122" s="58"/>
    </row>
    <row r="123" customFormat="false" ht="15.75" hidden="false" customHeight="false" outlineLevel="0" collapsed="false">
      <c r="A123" s="71"/>
      <c r="B123" s="71"/>
      <c r="C123" s="5" t="s">
        <v>19</v>
      </c>
      <c r="D123" s="48"/>
      <c r="E123" s="73" t="n">
        <f aca="false">IFERROR(__xludf.dummyfunction("COUNTA(SPLIT(D123,"" ""))/COUNTA(SPLIT($B$47,"" ""))"),0.00242718446601942)</f>
        <v>0.002427184466</v>
      </c>
      <c r="F123" s="5"/>
      <c r="G123" s="5"/>
      <c r="H123" s="5"/>
      <c r="I123" s="5"/>
      <c r="J123" s="5"/>
      <c r="K123" s="50"/>
      <c r="L123" s="50"/>
      <c r="M123" s="50"/>
      <c r="N123" s="50"/>
      <c r="O123" s="50"/>
      <c r="P123" s="50"/>
      <c r="Q123" s="50"/>
      <c r="R123" s="50"/>
      <c r="S123" s="50"/>
      <c r="T123" s="50"/>
      <c r="U123" s="50"/>
      <c r="V123" s="50"/>
      <c r="W123" s="50"/>
      <c r="X123" s="50"/>
      <c r="Y123" s="50"/>
      <c r="Z123" s="50"/>
      <c r="AA123" s="50"/>
      <c r="AB123" s="50"/>
    </row>
    <row r="124" customFormat="false" ht="15.75" hidden="false" customHeight="false" outlineLevel="0" collapsed="false">
      <c r="A124" s="71"/>
      <c r="B124" s="71"/>
      <c r="C124" s="5" t="s">
        <v>8</v>
      </c>
      <c r="D124" s="48"/>
      <c r="E124" s="74" t="n">
        <f aca="false">IFERROR(__xludf.dummyfunction("COUNTA(SPLIT(D124,"" ""))/COUNTA(SPLIT($B$47,"" ""))"),0.00242718446601942)</f>
        <v>0.002427184466</v>
      </c>
      <c r="F124" s="5"/>
      <c r="G124" s="5"/>
      <c r="H124" s="5"/>
      <c r="I124" s="5"/>
      <c r="J124" s="5"/>
      <c r="K124" s="50"/>
      <c r="L124" s="50"/>
      <c r="M124" s="50"/>
      <c r="N124" s="50"/>
      <c r="O124" s="50"/>
      <c r="P124" s="50"/>
      <c r="Q124" s="50"/>
      <c r="R124" s="50"/>
      <c r="S124" s="50"/>
      <c r="T124" s="50"/>
      <c r="U124" s="50"/>
      <c r="V124" s="50"/>
      <c r="W124" s="50"/>
      <c r="X124" s="50"/>
      <c r="Y124" s="50"/>
      <c r="Z124" s="50"/>
      <c r="AA124" s="50"/>
      <c r="AB124" s="50"/>
    </row>
    <row r="125" customFormat="false" ht="15.75" hidden="false" customHeight="false" outlineLevel="0" collapsed="false">
      <c r="A125" s="71"/>
      <c r="B125" s="71"/>
      <c r="C125" s="5" t="s">
        <v>20</v>
      </c>
      <c r="D125" s="48"/>
      <c r="E125" s="75" t="n">
        <f aca="false">IFERROR(__xludf.dummyfunction("COUNTA(SPLIT(D125,"" ""))/COUNTA(SPLIT($B$47,"" ""))"),0.00242718446601942)</f>
        <v>0.002427184466</v>
      </c>
      <c r="F125" s="5"/>
      <c r="G125" s="5"/>
      <c r="H125" s="5"/>
      <c r="I125" s="5"/>
      <c r="J125" s="5"/>
      <c r="K125" s="50"/>
      <c r="L125" s="50"/>
      <c r="M125" s="50"/>
      <c r="N125" s="50"/>
      <c r="O125" s="50"/>
      <c r="P125" s="50"/>
      <c r="Q125" s="50"/>
      <c r="R125" s="50"/>
      <c r="S125" s="50"/>
      <c r="T125" s="50"/>
      <c r="U125" s="50"/>
      <c r="V125" s="50"/>
      <c r="W125" s="50"/>
      <c r="X125" s="50"/>
      <c r="Y125" s="50"/>
      <c r="Z125" s="50"/>
      <c r="AA125" s="50"/>
      <c r="AB125" s="50"/>
    </row>
    <row r="126" customFormat="false" ht="15.75" hidden="false" customHeight="false" outlineLevel="0" collapsed="false">
      <c r="A126" s="50"/>
      <c r="B126" s="50"/>
      <c r="C126" s="5"/>
      <c r="D126" s="48"/>
      <c r="E126" s="50"/>
      <c r="F126" s="5"/>
      <c r="G126" s="5"/>
      <c r="H126" s="5"/>
      <c r="I126" s="5"/>
      <c r="J126" s="5"/>
      <c r="K126" s="50"/>
      <c r="L126" s="50"/>
      <c r="M126" s="50"/>
      <c r="N126" s="50"/>
      <c r="O126" s="50"/>
      <c r="P126" s="50"/>
      <c r="Q126" s="50"/>
      <c r="R126" s="50"/>
      <c r="S126" s="50"/>
      <c r="T126" s="50"/>
      <c r="U126" s="50"/>
      <c r="V126" s="50"/>
      <c r="W126" s="50"/>
      <c r="X126" s="50"/>
      <c r="Y126" s="50"/>
      <c r="Z126" s="50"/>
      <c r="AA126" s="50"/>
      <c r="AB126" s="50"/>
    </row>
    <row r="127" customFormat="false" ht="15.75" hidden="false" customHeight="false" outlineLevel="0" collapsed="false">
      <c r="A127" s="71"/>
      <c r="B127" s="54"/>
      <c r="C127" s="55" t="s">
        <v>18</v>
      </c>
      <c r="D127" s="56"/>
      <c r="E127" s="72" t="n">
        <f aca="false">IFERROR(__xludf.dummyfunction("COUNTA(SPLIT(D127,"" ""))/COUNTA(SPLIT($B$47,"" ""))"),0.00242718446601942)</f>
        <v>0.002427184466</v>
      </c>
      <c r="F127" s="55"/>
      <c r="G127" s="55"/>
      <c r="H127" s="55"/>
      <c r="I127" s="55"/>
      <c r="J127" s="55"/>
      <c r="K127" s="58"/>
      <c r="L127" s="58"/>
      <c r="M127" s="58"/>
      <c r="N127" s="58"/>
      <c r="O127" s="58"/>
      <c r="P127" s="58"/>
      <c r="Q127" s="58"/>
      <c r="R127" s="58"/>
      <c r="S127" s="58"/>
      <c r="T127" s="58"/>
      <c r="U127" s="58"/>
      <c r="V127" s="58"/>
      <c r="W127" s="58"/>
      <c r="X127" s="58"/>
      <c r="Y127" s="58"/>
      <c r="Z127" s="58"/>
      <c r="AA127" s="58"/>
      <c r="AB127" s="58"/>
    </row>
    <row r="128" customFormat="false" ht="15.75" hidden="false" customHeight="false" outlineLevel="0" collapsed="false">
      <c r="A128" s="71"/>
      <c r="B128" s="71"/>
      <c r="C128" s="5" t="s">
        <v>19</v>
      </c>
      <c r="D128" s="48"/>
      <c r="E128" s="73" t="n">
        <f aca="false">IFERROR(__xludf.dummyfunction("COUNTA(SPLIT(D128,"" ""))/COUNTA(SPLIT($B$47,"" ""))"),0.00242718446601942)</f>
        <v>0.002427184466</v>
      </c>
      <c r="F128" s="5"/>
      <c r="G128" s="5"/>
      <c r="H128" s="5"/>
      <c r="I128" s="5"/>
      <c r="J128" s="5"/>
      <c r="K128" s="50"/>
      <c r="L128" s="50"/>
      <c r="M128" s="50"/>
      <c r="N128" s="50"/>
      <c r="O128" s="50"/>
      <c r="P128" s="50"/>
      <c r="Q128" s="50"/>
      <c r="R128" s="50"/>
      <c r="S128" s="50"/>
      <c r="T128" s="50"/>
      <c r="U128" s="50"/>
      <c r="V128" s="50"/>
      <c r="W128" s="50"/>
      <c r="X128" s="50"/>
      <c r="Y128" s="50"/>
      <c r="Z128" s="50"/>
      <c r="AA128" s="50"/>
      <c r="AB128" s="50"/>
    </row>
    <row r="129" customFormat="false" ht="15.75" hidden="false" customHeight="false" outlineLevel="0" collapsed="false">
      <c r="A129" s="71"/>
      <c r="B129" s="71"/>
      <c r="C129" s="5" t="s">
        <v>8</v>
      </c>
      <c r="D129" s="48"/>
      <c r="E129" s="74" t="n">
        <f aca="false">IFERROR(__xludf.dummyfunction("COUNTA(SPLIT(D129,"" ""))/COUNTA(SPLIT($B$47,"" ""))"),0.00242718446601942)</f>
        <v>0.002427184466</v>
      </c>
      <c r="F129" s="5"/>
      <c r="G129" s="5"/>
      <c r="H129" s="5"/>
      <c r="I129" s="5"/>
      <c r="J129" s="5"/>
      <c r="K129" s="50"/>
      <c r="L129" s="50"/>
      <c r="M129" s="50"/>
      <c r="N129" s="50"/>
      <c r="O129" s="50"/>
      <c r="P129" s="50"/>
      <c r="Q129" s="50"/>
      <c r="R129" s="50"/>
      <c r="S129" s="50"/>
      <c r="T129" s="50"/>
      <c r="U129" s="50"/>
      <c r="V129" s="50"/>
      <c r="W129" s="50"/>
      <c r="X129" s="50"/>
      <c r="Y129" s="50"/>
      <c r="Z129" s="50"/>
      <c r="AA129" s="50"/>
      <c r="AB129" s="50"/>
    </row>
    <row r="130" customFormat="false" ht="15.75" hidden="false" customHeight="false" outlineLevel="0" collapsed="false">
      <c r="A130" s="71"/>
      <c r="B130" s="71"/>
      <c r="C130" s="5" t="s">
        <v>20</v>
      </c>
      <c r="D130" s="48"/>
      <c r="E130" s="75" t="n">
        <f aca="false">IFERROR(__xludf.dummyfunction("COUNTA(SPLIT(D130,"" ""))/COUNTA(SPLIT($B$47,"" ""))"),0.00242718446601942)</f>
        <v>0.002427184466</v>
      </c>
      <c r="F130" s="5"/>
      <c r="G130" s="5"/>
      <c r="H130" s="5"/>
      <c r="I130" s="5"/>
      <c r="J130" s="5"/>
      <c r="K130" s="50"/>
      <c r="L130" s="50"/>
      <c r="M130" s="50"/>
      <c r="N130" s="50"/>
      <c r="O130" s="50"/>
      <c r="P130" s="50"/>
      <c r="Q130" s="50"/>
      <c r="R130" s="50"/>
      <c r="S130" s="50"/>
      <c r="T130" s="50"/>
      <c r="U130" s="50"/>
      <c r="V130" s="50"/>
      <c r="W130" s="50"/>
      <c r="X130" s="50"/>
      <c r="Y130" s="50"/>
      <c r="Z130" s="50"/>
      <c r="AA130" s="50"/>
      <c r="AB130" s="50"/>
    </row>
    <row r="131" customFormat="false" ht="15.75" hidden="false" customHeight="false" outlineLevel="0" collapsed="false">
      <c r="A131" s="50"/>
      <c r="B131" s="50"/>
      <c r="C131" s="5"/>
      <c r="D131" s="48"/>
      <c r="E131" s="50"/>
      <c r="F131" s="5"/>
      <c r="G131" s="5"/>
      <c r="H131" s="5"/>
      <c r="I131" s="5"/>
      <c r="J131" s="5"/>
      <c r="K131" s="50"/>
      <c r="L131" s="50"/>
      <c r="M131" s="50"/>
      <c r="N131" s="50"/>
      <c r="O131" s="50"/>
      <c r="P131" s="50"/>
      <c r="Q131" s="50"/>
      <c r="R131" s="50"/>
      <c r="S131" s="50"/>
      <c r="T131" s="50"/>
      <c r="U131" s="50"/>
      <c r="V131" s="50"/>
      <c r="W131" s="50"/>
      <c r="X131" s="50"/>
      <c r="Y131" s="50"/>
      <c r="Z131" s="50"/>
      <c r="AA131" s="50"/>
      <c r="AB131" s="50"/>
    </row>
    <row r="132" customFormat="false" ht="15.75" hidden="false" customHeight="false" outlineLevel="0" collapsed="false">
      <c r="A132" s="71"/>
      <c r="B132" s="54"/>
      <c r="C132" s="55" t="s">
        <v>18</v>
      </c>
      <c r="D132" s="56"/>
      <c r="E132" s="72" t="n">
        <f aca="false">IFERROR(__xludf.dummyfunction("COUNTA(SPLIT(D132,"" ""))/COUNTA(SPLIT($B$47,"" ""))"),0.00242718446601942)</f>
        <v>0.002427184466</v>
      </c>
      <c r="F132" s="55"/>
      <c r="G132" s="55"/>
      <c r="H132" s="55"/>
      <c r="I132" s="55"/>
      <c r="J132" s="55"/>
      <c r="K132" s="58"/>
      <c r="L132" s="58"/>
      <c r="M132" s="58"/>
      <c r="N132" s="58"/>
      <c r="O132" s="58"/>
      <c r="P132" s="58"/>
      <c r="Q132" s="58"/>
      <c r="R132" s="58"/>
      <c r="S132" s="58"/>
      <c r="T132" s="58"/>
      <c r="U132" s="58"/>
      <c r="V132" s="58"/>
      <c r="W132" s="58"/>
      <c r="X132" s="58"/>
      <c r="Y132" s="58"/>
      <c r="Z132" s="58"/>
      <c r="AA132" s="58"/>
      <c r="AB132" s="58"/>
    </row>
    <row r="133" customFormat="false" ht="15.75" hidden="false" customHeight="false" outlineLevel="0" collapsed="false">
      <c r="A133" s="71"/>
      <c r="B133" s="71"/>
      <c r="C133" s="5" t="s">
        <v>19</v>
      </c>
      <c r="D133" s="48"/>
      <c r="E133" s="73" t="n">
        <f aca="false">IFERROR(__xludf.dummyfunction("COUNTA(SPLIT(D133,"" ""))/COUNTA(SPLIT($B$47,"" ""))"),0.00242718446601942)</f>
        <v>0.002427184466</v>
      </c>
      <c r="F133" s="5"/>
      <c r="G133" s="5"/>
      <c r="H133" s="5"/>
      <c r="I133" s="5"/>
      <c r="J133" s="5"/>
      <c r="K133" s="50"/>
      <c r="L133" s="50"/>
      <c r="M133" s="50"/>
      <c r="N133" s="50"/>
      <c r="O133" s="50"/>
      <c r="P133" s="50"/>
      <c r="Q133" s="50"/>
      <c r="R133" s="50"/>
      <c r="S133" s="50"/>
      <c r="T133" s="50"/>
      <c r="U133" s="50"/>
      <c r="V133" s="50"/>
      <c r="W133" s="50"/>
      <c r="X133" s="50"/>
      <c r="Y133" s="50"/>
      <c r="Z133" s="50"/>
      <c r="AA133" s="50"/>
      <c r="AB133" s="50"/>
    </row>
    <row r="134" customFormat="false" ht="15.75" hidden="false" customHeight="false" outlineLevel="0" collapsed="false">
      <c r="A134" s="71"/>
      <c r="B134" s="71"/>
      <c r="C134" s="5" t="s">
        <v>8</v>
      </c>
      <c r="D134" s="48"/>
      <c r="E134" s="74" t="n">
        <f aca="false">IFERROR(__xludf.dummyfunction("COUNTA(SPLIT(D134,"" ""))/COUNTA(SPLIT($B$47,"" ""))"),0.00242718446601942)</f>
        <v>0.002427184466</v>
      </c>
      <c r="F134" s="5"/>
      <c r="G134" s="5"/>
      <c r="H134" s="5"/>
      <c r="I134" s="5"/>
      <c r="J134" s="5"/>
      <c r="K134" s="50"/>
      <c r="L134" s="50"/>
      <c r="M134" s="50"/>
      <c r="N134" s="50"/>
      <c r="O134" s="50"/>
      <c r="P134" s="50"/>
      <c r="Q134" s="50"/>
      <c r="R134" s="50"/>
      <c r="S134" s="50"/>
      <c r="T134" s="50"/>
      <c r="U134" s="50"/>
      <c r="V134" s="50"/>
      <c r="W134" s="50"/>
      <c r="X134" s="50"/>
      <c r="Y134" s="50"/>
      <c r="Z134" s="50"/>
      <c r="AA134" s="50"/>
      <c r="AB134" s="50"/>
    </row>
    <row r="135" customFormat="false" ht="15.75" hidden="false" customHeight="false" outlineLevel="0" collapsed="false">
      <c r="A135" s="71"/>
      <c r="B135" s="71"/>
      <c r="C135" s="5" t="s">
        <v>20</v>
      </c>
      <c r="D135" s="48"/>
      <c r="E135" s="75" t="n">
        <f aca="false">IFERROR(__xludf.dummyfunction("COUNTA(SPLIT(D135,"" ""))/COUNTA(SPLIT($B$47,"" ""))"),0.00242718446601942)</f>
        <v>0.002427184466</v>
      </c>
      <c r="F135" s="5"/>
      <c r="G135" s="5"/>
      <c r="H135" s="5"/>
      <c r="I135" s="5"/>
      <c r="J135" s="5"/>
      <c r="K135" s="50"/>
      <c r="L135" s="50"/>
      <c r="M135" s="50"/>
      <c r="N135" s="50"/>
      <c r="O135" s="50"/>
      <c r="P135" s="50"/>
      <c r="Q135" s="50"/>
      <c r="R135" s="50"/>
      <c r="S135" s="50"/>
      <c r="T135" s="50"/>
      <c r="U135" s="50"/>
      <c r="V135" s="50"/>
      <c r="W135" s="50"/>
      <c r="X135" s="50"/>
      <c r="Y135" s="50"/>
      <c r="Z135" s="50"/>
      <c r="AA135" s="50"/>
      <c r="AB135" s="50"/>
    </row>
    <row r="136" customFormat="false" ht="15.75" hidden="false" customHeight="false" outlineLevel="0" collapsed="false">
      <c r="A136" s="50"/>
      <c r="B136" s="50"/>
      <c r="C136" s="5"/>
      <c r="D136" s="48"/>
      <c r="E136" s="50"/>
      <c r="F136" s="5"/>
      <c r="G136" s="5"/>
      <c r="H136" s="5"/>
      <c r="I136" s="5"/>
      <c r="J136" s="5"/>
      <c r="K136" s="50"/>
      <c r="L136" s="50"/>
      <c r="M136" s="50"/>
      <c r="N136" s="50"/>
      <c r="O136" s="50"/>
      <c r="P136" s="50"/>
      <c r="Q136" s="50"/>
      <c r="R136" s="50"/>
      <c r="S136" s="50"/>
      <c r="T136" s="50"/>
      <c r="U136" s="50"/>
      <c r="V136" s="50"/>
      <c r="W136" s="50"/>
      <c r="X136" s="50"/>
      <c r="Y136" s="50"/>
      <c r="Z136" s="50"/>
      <c r="AA136" s="50"/>
      <c r="AB136" s="50"/>
    </row>
    <row r="137" customFormat="false" ht="15.75" hidden="false" customHeight="false" outlineLevel="0" collapsed="false">
      <c r="A137" s="71"/>
      <c r="B137" s="54"/>
      <c r="C137" s="55" t="s">
        <v>18</v>
      </c>
      <c r="D137" s="56"/>
      <c r="E137" s="72" t="n">
        <f aca="false">IFERROR(__xludf.dummyfunction("COUNTA(SPLIT(D137,"" ""))/COUNTA(SPLIT($B$47,"" ""))"),0.00242718446601942)</f>
        <v>0.002427184466</v>
      </c>
      <c r="F137" s="55"/>
      <c r="G137" s="55"/>
      <c r="H137" s="55"/>
      <c r="I137" s="55"/>
      <c r="J137" s="55"/>
      <c r="K137" s="58"/>
      <c r="L137" s="58"/>
      <c r="M137" s="58"/>
      <c r="N137" s="58"/>
      <c r="O137" s="58"/>
      <c r="P137" s="58"/>
      <c r="Q137" s="58"/>
      <c r="R137" s="58"/>
      <c r="S137" s="58"/>
      <c r="T137" s="58"/>
      <c r="U137" s="58"/>
      <c r="V137" s="58"/>
      <c r="W137" s="58"/>
      <c r="X137" s="58"/>
      <c r="Y137" s="58"/>
      <c r="Z137" s="58"/>
      <c r="AA137" s="58"/>
      <c r="AB137" s="58"/>
    </row>
    <row r="138" customFormat="false" ht="15.75" hidden="false" customHeight="false" outlineLevel="0" collapsed="false">
      <c r="A138" s="71"/>
      <c r="B138" s="71"/>
      <c r="C138" s="5" t="s">
        <v>19</v>
      </c>
      <c r="D138" s="48"/>
      <c r="E138" s="73" t="n">
        <f aca="false">IFERROR(__xludf.dummyfunction("COUNTA(SPLIT(D138,"" ""))/COUNTA(SPLIT($B$47,"" ""))"),0.00242718446601942)</f>
        <v>0.002427184466</v>
      </c>
      <c r="F138" s="5"/>
      <c r="G138" s="5"/>
      <c r="H138" s="5"/>
      <c r="I138" s="5"/>
      <c r="J138" s="5"/>
      <c r="K138" s="50"/>
      <c r="L138" s="50"/>
      <c r="M138" s="50"/>
      <c r="N138" s="50"/>
      <c r="O138" s="50"/>
      <c r="P138" s="50"/>
      <c r="Q138" s="50"/>
      <c r="R138" s="50"/>
      <c r="S138" s="50"/>
      <c r="T138" s="50"/>
      <c r="U138" s="50"/>
      <c r="V138" s="50"/>
      <c r="W138" s="50"/>
      <c r="X138" s="50"/>
      <c r="Y138" s="50"/>
      <c r="Z138" s="50"/>
      <c r="AA138" s="50"/>
      <c r="AB138" s="50"/>
    </row>
    <row r="139" customFormat="false" ht="15.75" hidden="false" customHeight="false" outlineLevel="0" collapsed="false">
      <c r="A139" s="71"/>
      <c r="B139" s="71"/>
      <c r="C139" s="5" t="s">
        <v>8</v>
      </c>
      <c r="D139" s="48"/>
      <c r="E139" s="74" t="n">
        <f aca="false">IFERROR(__xludf.dummyfunction("COUNTA(SPLIT(D139,"" ""))/COUNTA(SPLIT($B$47,"" ""))"),0.00242718446601942)</f>
        <v>0.002427184466</v>
      </c>
      <c r="F139" s="5"/>
      <c r="G139" s="5"/>
      <c r="H139" s="5"/>
      <c r="I139" s="5"/>
      <c r="J139" s="5"/>
      <c r="K139" s="50"/>
      <c r="L139" s="50"/>
      <c r="M139" s="50"/>
      <c r="N139" s="50"/>
      <c r="O139" s="50"/>
      <c r="P139" s="50"/>
      <c r="Q139" s="50"/>
      <c r="R139" s="50"/>
      <c r="S139" s="50"/>
      <c r="T139" s="50"/>
      <c r="U139" s="50"/>
      <c r="V139" s="50"/>
      <c r="W139" s="50"/>
      <c r="X139" s="50"/>
      <c r="Y139" s="50"/>
      <c r="Z139" s="50"/>
      <c r="AA139" s="50"/>
      <c r="AB139" s="50"/>
    </row>
    <row r="140" customFormat="false" ht="15.75" hidden="false" customHeight="false" outlineLevel="0" collapsed="false">
      <c r="A140" s="71"/>
      <c r="B140" s="71"/>
      <c r="C140" s="5" t="s">
        <v>20</v>
      </c>
      <c r="D140" s="48"/>
      <c r="E140" s="75" t="n">
        <f aca="false">IFERROR(__xludf.dummyfunction("COUNTA(SPLIT(D140,"" ""))/COUNTA(SPLIT($B$47,"" ""))"),0.00242718446601942)</f>
        <v>0.002427184466</v>
      </c>
      <c r="F140" s="5"/>
      <c r="G140" s="5"/>
      <c r="H140" s="5"/>
      <c r="I140" s="5"/>
      <c r="J140" s="5"/>
      <c r="K140" s="50"/>
      <c r="L140" s="50"/>
      <c r="M140" s="50"/>
      <c r="N140" s="50"/>
      <c r="O140" s="50"/>
      <c r="P140" s="50"/>
      <c r="Q140" s="50"/>
      <c r="R140" s="50"/>
      <c r="S140" s="50"/>
      <c r="T140" s="50"/>
      <c r="U140" s="50"/>
      <c r="V140" s="50"/>
      <c r="W140" s="50"/>
      <c r="X140" s="50"/>
      <c r="Y140" s="50"/>
      <c r="Z140" s="50"/>
      <c r="AA140" s="50"/>
      <c r="AB140" s="50"/>
    </row>
    <row r="141" customFormat="false" ht="15.75" hidden="false" customHeight="false" outlineLevel="0" collapsed="false">
      <c r="A141" s="50"/>
      <c r="B141" s="50"/>
      <c r="C141" s="5"/>
      <c r="D141" s="48"/>
      <c r="E141" s="50"/>
      <c r="F141" s="5"/>
      <c r="G141" s="5"/>
      <c r="H141" s="5"/>
      <c r="I141" s="5"/>
      <c r="J141" s="5"/>
      <c r="K141" s="50"/>
      <c r="L141" s="50"/>
      <c r="M141" s="50"/>
      <c r="N141" s="50"/>
      <c r="O141" s="50"/>
      <c r="P141" s="50"/>
      <c r="Q141" s="50"/>
      <c r="R141" s="50"/>
      <c r="S141" s="50"/>
      <c r="T141" s="50"/>
      <c r="U141" s="50"/>
      <c r="V141" s="50"/>
      <c r="W141" s="50"/>
      <c r="X141" s="50"/>
      <c r="Y141" s="50"/>
      <c r="Z141" s="50"/>
      <c r="AA141" s="50"/>
      <c r="AB141" s="50"/>
    </row>
    <row r="142" customFormat="false" ht="15.75" hidden="false" customHeight="false" outlineLevel="0" collapsed="false">
      <c r="A142" s="71"/>
      <c r="B142" s="54"/>
      <c r="C142" s="55" t="s">
        <v>18</v>
      </c>
      <c r="D142" s="56"/>
      <c r="E142" s="72" t="n">
        <f aca="false">IFERROR(__xludf.dummyfunction("COUNTA(SPLIT(D142,"" ""))/COUNTA(SPLIT($B$47,"" ""))"),0.00242718446601942)</f>
        <v>0.002427184466</v>
      </c>
      <c r="F142" s="55"/>
      <c r="G142" s="55"/>
      <c r="H142" s="55"/>
      <c r="I142" s="55"/>
      <c r="J142" s="55"/>
      <c r="K142" s="58"/>
      <c r="L142" s="58"/>
      <c r="M142" s="58"/>
      <c r="N142" s="58"/>
      <c r="O142" s="58"/>
      <c r="P142" s="58"/>
      <c r="Q142" s="58"/>
      <c r="R142" s="58"/>
      <c r="S142" s="58"/>
      <c r="T142" s="58"/>
      <c r="U142" s="58"/>
      <c r="V142" s="58"/>
      <c r="W142" s="58"/>
      <c r="X142" s="58"/>
      <c r="Y142" s="58"/>
      <c r="Z142" s="58"/>
      <c r="AA142" s="58"/>
      <c r="AB142" s="58"/>
    </row>
    <row r="143" customFormat="false" ht="15.75" hidden="false" customHeight="false" outlineLevel="0" collapsed="false">
      <c r="A143" s="71"/>
      <c r="B143" s="71"/>
      <c r="C143" s="5" t="s">
        <v>19</v>
      </c>
      <c r="D143" s="48"/>
      <c r="E143" s="73" t="n">
        <f aca="false">IFERROR(__xludf.dummyfunction("COUNTA(SPLIT(D143,"" ""))/COUNTA(SPLIT($B$47,"" ""))"),0.00242718446601942)</f>
        <v>0.002427184466</v>
      </c>
      <c r="F143" s="5"/>
      <c r="G143" s="5"/>
      <c r="H143" s="5"/>
      <c r="I143" s="5"/>
      <c r="J143" s="5"/>
      <c r="K143" s="50"/>
      <c r="L143" s="50"/>
      <c r="M143" s="50"/>
      <c r="N143" s="50"/>
      <c r="O143" s="50"/>
      <c r="P143" s="50"/>
      <c r="Q143" s="50"/>
      <c r="R143" s="50"/>
      <c r="S143" s="50"/>
      <c r="T143" s="50"/>
      <c r="U143" s="50"/>
      <c r="V143" s="50"/>
      <c r="W143" s="50"/>
      <c r="X143" s="50"/>
      <c r="Y143" s="50"/>
      <c r="Z143" s="50"/>
      <c r="AA143" s="50"/>
      <c r="AB143" s="50"/>
    </row>
    <row r="144" customFormat="false" ht="15.75" hidden="false" customHeight="false" outlineLevel="0" collapsed="false">
      <c r="A144" s="71"/>
      <c r="B144" s="71"/>
      <c r="C144" s="5" t="s">
        <v>8</v>
      </c>
      <c r="D144" s="48"/>
      <c r="E144" s="74" t="n">
        <f aca="false">IFERROR(__xludf.dummyfunction("COUNTA(SPLIT(D144,"" ""))/COUNTA(SPLIT($B$47,"" ""))"),0.00242718446601942)</f>
        <v>0.002427184466</v>
      </c>
      <c r="F144" s="5"/>
      <c r="G144" s="5"/>
      <c r="H144" s="5"/>
      <c r="I144" s="5"/>
      <c r="J144" s="5"/>
      <c r="K144" s="50"/>
      <c r="L144" s="50"/>
      <c r="M144" s="50"/>
      <c r="N144" s="50"/>
      <c r="O144" s="50"/>
      <c r="P144" s="50"/>
      <c r="Q144" s="50"/>
      <c r="R144" s="50"/>
      <c r="S144" s="50"/>
      <c r="T144" s="50"/>
      <c r="U144" s="50"/>
      <c r="V144" s="50"/>
      <c r="W144" s="50"/>
      <c r="X144" s="50"/>
      <c r="Y144" s="50"/>
      <c r="Z144" s="50"/>
      <c r="AA144" s="50"/>
      <c r="AB144" s="50"/>
    </row>
    <row r="145" customFormat="false" ht="15.75" hidden="false" customHeight="false" outlineLevel="0" collapsed="false">
      <c r="A145" s="71"/>
      <c r="B145" s="71"/>
      <c r="C145" s="5" t="s">
        <v>20</v>
      </c>
      <c r="D145" s="48"/>
      <c r="E145" s="75" t="n">
        <f aca="false">IFERROR(__xludf.dummyfunction("COUNTA(SPLIT(D145,"" ""))/COUNTA(SPLIT($B$47,"" ""))"),0.00242718446601942)</f>
        <v>0.002427184466</v>
      </c>
      <c r="F145" s="5"/>
      <c r="G145" s="5"/>
      <c r="H145" s="5"/>
      <c r="I145" s="5"/>
      <c r="J145" s="5"/>
      <c r="K145" s="50"/>
      <c r="L145" s="50"/>
      <c r="M145" s="50"/>
      <c r="N145" s="50"/>
      <c r="O145" s="50"/>
      <c r="P145" s="50"/>
      <c r="Q145" s="50"/>
      <c r="R145" s="50"/>
      <c r="S145" s="50"/>
      <c r="T145" s="50"/>
      <c r="U145" s="50"/>
      <c r="V145" s="50"/>
      <c r="W145" s="50"/>
      <c r="X145" s="50"/>
      <c r="Y145" s="50"/>
      <c r="Z145" s="50"/>
      <c r="AA145" s="50"/>
      <c r="AB145" s="50"/>
    </row>
    <row r="146" customFormat="false" ht="15.75" hidden="false" customHeight="false" outlineLevel="0" collapsed="false">
      <c r="A146" s="50"/>
      <c r="B146" s="50"/>
      <c r="C146" s="5"/>
      <c r="D146" s="48"/>
      <c r="E146" s="50"/>
      <c r="F146" s="5"/>
      <c r="G146" s="5"/>
      <c r="H146" s="5"/>
      <c r="I146" s="5"/>
      <c r="J146" s="5"/>
      <c r="K146" s="50"/>
      <c r="L146" s="50"/>
      <c r="M146" s="50"/>
      <c r="N146" s="50"/>
      <c r="O146" s="50"/>
      <c r="P146" s="50"/>
      <c r="Q146" s="50"/>
      <c r="R146" s="50"/>
      <c r="S146" s="50"/>
      <c r="T146" s="50"/>
      <c r="U146" s="50"/>
      <c r="V146" s="50"/>
      <c r="W146" s="50"/>
      <c r="X146" s="50"/>
      <c r="Y146" s="50"/>
      <c r="Z146" s="50"/>
      <c r="AA146" s="50"/>
      <c r="AB146" s="50"/>
    </row>
    <row r="147" customFormat="false" ht="15.75" hidden="false" customHeight="false" outlineLevel="0" collapsed="false">
      <c r="A147" s="71"/>
      <c r="B147" s="54"/>
      <c r="C147" s="55" t="s">
        <v>18</v>
      </c>
      <c r="D147" s="56"/>
      <c r="E147" s="72" t="n">
        <f aca="false">IFERROR(__xludf.dummyfunction("COUNTA(SPLIT(D147,"" ""))/COUNTA(SPLIT($B$47,"" ""))"),0.00242718446601942)</f>
        <v>0.002427184466</v>
      </c>
      <c r="F147" s="55"/>
      <c r="G147" s="55"/>
      <c r="H147" s="55"/>
      <c r="I147" s="55"/>
      <c r="J147" s="55"/>
      <c r="K147" s="58"/>
      <c r="L147" s="58"/>
      <c r="M147" s="58"/>
      <c r="N147" s="58"/>
      <c r="O147" s="58"/>
      <c r="P147" s="58"/>
      <c r="Q147" s="58"/>
      <c r="R147" s="58"/>
      <c r="S147" s="58"/>
      <c r="T147" s="58"/>
      <c r="U147" s="58"/>
      <c r="V147" s="58"/>
      <c r="W147" s="58"/>
      <c r="X147" s="58"/>
      <c r="Y147" s="58"/>
      <c r="Z147" s="58"/>
      <c r="AA147" s="58"/>
      <c r="AB147" s="58"/>
    </row>
    <row r="148" customFormat="false" ht="15.75" hidden="false" customHeight="false" outlineLevel="0" collapsed="false">
      <c r="A148" s="71"/>
      <c r="B148" s="71"/>
      <c r="C148" s="5" t="s">
        <v>19</v>
      </c>
      <c r="D148" s="48"/>
      <c r="E148" s="73" t="n">
        <f aca="false">IFERROR(__xludf.dummyfunction("COUNTA(SPLIT(D148,"" ""))/COUNTA(SPLIT($B$47,"" ""))"),0.00242718446601942)</f>
        <v>0.002427184466</v>
      </c>
      <c r="F148" s="5"/>
      <c r="G148" s="5"/>
      <c r="H148" s="5"/>
      <c r="I148" s="5"/>
      <c r="J148" s="5"/>
      <c r="K148" s="50"/>
      <c r="L148" s="50"/>
      <c r="M148" s="50"/>
      <c r="N148" s="50"/>
      <c r="O148" s="50"/>
      <c r="P148" s="50"/>
      <c r="Q148" s="50"/>
      <c r="R148" s="50"/>
      <c r="S148" s="50"/>
      <c r="T148" s="50"/>
      <c r="U148" s="50"/>
      <c r="V148" s="50"/>
      <c r="W148" s="50"/>
      <c r="X148" s="50"/>
      <c r="Y148" s="50"/>
      <c r="Z148" s="50"/>
      <c r="AA148" s="50"/>
      <c r="AB148" s="50"/>
    </row>
    <row r="149" customFormat="false" ht="15.75" hidden="false" customHeight="false" outlineLevel="0" collapsed="false">
      <c r="A149" s="71"/>
      <c r="B149" s="71"/>
      <c r="C149" s="5" t="s">
        <v>8</v>
      </c>
      <c r="D149" s="48"/>
      <c r="E149" s="74" t="n">
        <f aca="false">IFERROR(__xludf.dummyfunction("COUNTA(SPLIT(D149,"" ""))/COUNTA(SPLIT($B$47,"" ""))"),0.00242718446601942)</f>
        <v>0.002427184466</v>
      </c>
      <c r="F149" s="5"/>
      <c r="G149" s="5"/>
      <c r="H149" s="5"/>
      <c r="I149" s="5"/>
      <c r="J149" s="5"/>
      <c r="K149" s="50"/>
      <c r="L149" s="50"/>
      <c r="M149" s="50"/>
      <c r="N149" s="50"/>
      <c r="O149" s="50"/>
      <c r="P149" s="50"/>
      <c r="Q149" s="50"/>
      <c r="R149" s="50"/>
      <c r="S149" s="50"/>
      <c r="T149" s="50"/>
      <c r="U149" s="50"/>
      <c r="V149" s="50"/>
      <c r="W149" s="50"/>
      <c r="X149" s="50"/>
      <c r="Y149" s="50"/>
      <c r="Z149" s="50"/>
      <c r="AA149" s="50"/>
      <c r="AB149" s="50"/>
    </row>
    <row r="150" customFormat="false" ht="15.75" hidden="false" customHeight="false" outlineLevel="0" collapsed="false">
      <c r="A150" s="71"/>
      <c r="B150" s="71"/>
      <c r="C150" s="5" t="s">
        <v>20</v>
      </c>
      <c r="D150" s="48"/>
      <c r="E150" s="75" t="n">
        <f aca="false">IFERROR(__xludf.dummyfunction("COUNTA(SPLIT(D150,"" ""))/COUNTA(SPLIT($B$47,"" ""))"),0.00242718446601942)</f>
        <v>0.002427184466</v>
      </c>
      <c r="F150" s="5"/>
      <c r="G150" s="5"/>
      <c r="H150" s="5"/>
      <c r="I150" s="5"/>
      <c r="J150" s="5"/>
      <c r="K150" s="50"/>
      <c r="L150" s="50"/>
      <c r="M150" s="50"/>
      <c r="N150" s="50"/>
      <c r="O150" s="50"/>
      <c r="P150" s="50"/>
      <c r="Q150" s="50"/>
      <c r="R150" s="50"/>
      <c r="S150" s="50"/>
      <c r="T150" s="50"/>
      <c r="U150" s="50"/>
      <c r="V150" s="50"/>
      <c r="W150" s="50"/>
      <c r="X150" s="50"/>
      <c r="Y150" s="50"/>
      <c r="Z150" s="50"/>
      <c r="AA150" s="50"/>
      <c r="AB150" s="50"/>
    </row>
    <row r="151" customFormat="false" ht="15.75" hidden="false" customHeight="false" outlineLevel="0" collapsed="false">
      <c r="A151" s="50"/>
      <c r="B151" s="50"/>
      <c r="C151" s="5"/>
      <c r="D151" s="48"/>
      <c r="E151" s="50"/>
      <c r="F151" s="5"/>
      <c r="G151" s="5"/>
      <c r="H151" s="5"/>
      <c r="I151" s="5"/>
      <c r="J151" s="5"/>
      <c r="K151" s="50"/>
      <c r="L151" s="50"/>
      <c r="M151" s="50"/>
      <c r="N151" s="50"/>
      <c r="O151" s="50"/>
      <c r="P151" s="50"/>
      <c r="Q151" s="50"/>
      <c r="R151" s="50"/>
      <c r="S151" s="50"/>
      <c r="T151" s="50"/>
      <c r="U151" s="50"/>
      <c r="V151" s="50"/>
      <c r="W151" s="50"/>
      <c r="X151" s="50"/>
      <c r="Y151" s="50"/>
      <c r="Z151" s="50"/>
      <c r="AA151" s="50"/>
      <c r="AB151" s="50"/>
    </row>
    <row r="152" customFormat="false" ht="15.75" hidden="false" customHeight="false" outlineLevel="0" collapsed="false">
      <c r="A152" s="71"/>
      <c r="B152" s="54"/>
      <c r="C152" s="55" t="s">
        <v>18</v>
      </c>
      <c r="D152" s="56"/>
      <c r="E152" s="72" t="n">
        <f aca="false">IFERROR(__xludf.dummyfunction("COUNTA(SPLIT(D152,"" ""))/COUNTA(SPLIT($B$47,"" ""))"),0.00242718446601942)</f>
        <v>0.002427184466</v>
      </c>
      <c r="F152" s="55"/>
      <c r="G152" s="55"/>
      <c r="H152" s="55"/>
      <c r="I152" s="55"/>
      <c r="J152" s="55"/>
      <c r="K152" s="58"/>
      <c r="L152" s="58"/>
      <c r="M152" s="58"/>
      <c r="N152" s="58"/>
      <c r="O152" s="58"/>
      <c r="P152" s="58"/>
      <c r="Q152" s="58"/>
      <c r="R152" s="58"/>
      <c r="S152" s="58"/>
      <c r="T152" s="58"/>
      <c r="U152" s="58"/>
      <c r="V152" s="58"/>
      <c r="W152" s="58"/>
      <c r="X152" s="58"/>
      <c r="Y152" s="58"/>
      <c r="Z152" s="58"/>
      <c r="AA152" s="58"/>
      <c r="AB152" s="58"/>
    </row>
    <row r="153" customFormat="false" ht="15.75" hidden="false" customHeight="false" outlineLevel="0" collapsed="false">
      <c r="A153" s="71"/>
      <c r="B153" s="71"/>
      <c r="C153" s="5" t="s">
        <v>19</v>
      </c>
      <c r="D153" s="48"/>
      <c r="E153" s="73" t="n">
        <f aca="false">IFERROR(__xludf.dummyfunction("COUNTA(SPLIT(D153,"" ""))/COUNTA(SPLIT($B$47,"" ""))"),0.00242718446601942)</f>
        <v>0.002427184466</v>
      </c>
      <c r="F153" s="5"/>
      <c r="G153" s="5"/>
      <c r="H153" s="5"/>
      <c r="I153" s="5"/>
      <c r="J153" s="5"/>
      <c r="K153" s="50"/>
      <c r="L153" s="50"/>
      <c r="M153" s="50"/>
      <c r="N153" s="50"/>
      <c r="O153" s="50"/>
      <c r="P153" s="50"/>
      <c r="Q153" s="50"/>
      <c r="R153" s="50"/>
      <c r="S153" s="50"/>
      <c r="T153" s="50"/>
      <c r="U153" s="50"/>
      <c r="V153" s="50"/>
      <c r="W153" s="50"/>
      <c r="X153" s="50"/>
      <c r="Y153" s="50"/>
      <c r="Z153" s="50"/>
      <c r="AA153" s="50"/>
      <c r="AB153" s="50"/>
    </row>
    <row r="154" customFormat="false" ht="15.75" hidden="false" customHeight="false" outlineLevel="0" collapsed="false">
      <c r="A154" s="71"/>
      <c r="B154" s="71"/>
      <c r="C154" s="5" t="s">
        <v>8</v>
      </c>
      <c r="D154" s="48"/>
      <c r="E154" s="74" t="n">
        <f aca="false">IFERROR(__xludf.dummyfunction("COUNTA(SPLIT(D154,"" ""))/COUNTA(SPLIT($B$47,"" ""))"),0.00242718446601942)</f>
        <v>0.002427184466</v>
      </c>
      <c r="F154" s="5"/>
      <c r="G154" s="5"/>
      <c r="H154" s="5"/>
      <c r="I154" s="5"/>
      <c r="J154" s="5"/>
      <c r="K154" s="50"/>
      <c r="L154" s="50"/>
      <c r="M154" s="50"/>
      <c r="N154" s="50"/>
      <c r="O154" s="50"/>
      <c r="P154" s="50"/>
      <c r="Q154" s="50"/>
      <c r="R154" s="50"/>
      <c r="S154" s="50"/>
      <c r="T154" s="50"/>
      <c r="U154" s="50"/>
      <c r="V154" s="50"/>
      <c r="W154" s="50"/>
      <c r="X154" s="50"/>
      <c r="Y154" s="50"/>
      <c r="Z154" s="50"/>
      <c r="AA154" s="50"/>
      <c r="AB154" s="50"/>
    </row>
    <row r="155" customFormat="false" ht="15.75" hidden="false" customHeight="false" outlineLevel="0" collapsed="false">
      <c r="A155" s="71"/>
      <c r="B155" s="71"/>
      <c r="C155" s="5" t="s">
        <v>20</v>
      </c>
      <c r="D155" s="48"/>
      <c r="E155" s="75" t="n">
        <f aca="false">IFERROR(__xludf.dummyfunction("COUNTA(SPLIT(D155,"" ""))/COUNTA(SPLIT($B$47,"" ""))"),0.00242718446601942)</f>
        <v>0.002427184466</v>
      </c>
      <c r="F155" s="5"/>
      <c r="G155" s="5"/>
      <c r="H155" s="5"/>
      <c r="I155" s="5"/>
      <c r="J155" s="5"/>
      <c r="K155" s="50"/>
      <c r="L155" s="50"/>
      <c r="M155" s="50"/>
      <c r="N155" s="50"/>
      <c r="O155" s="50"/>
      <c r="P155" s="50"/>
      <c r="Q155" s="50"/>
      <c r="R155" s="50"/>
      <c r="S155" s="50"/>
      <c r="T155" s="50"/>
      <c r="U155" s="50"/>
      <c r="V155" s="50"/>
      <c r="W155" s="50"/>
      <c r="X155" s="50"/>
      <c r="Y155" s="50"/>
      <c r="Z155" s="50"/>
      <c r="AA155" s="50"/>
      <c r="AB155" s="50"/>
    </row>
    <row r="156" customFormat="false" ht="15.75" hidden="false" customHeight="false" outlineLevel="0" collapsed="false">
      <c r="A156" s="50"/>
      <c r="B156" s="50"/>
      <c r="C156" s="5"/>
      <c r="D156" s="48"/>
      <c r="E156" s="50"/>
      <c r="F156" s="5"/>
      <c r="G156" s="5"/>
      <c r="H156" s="5"/>
      <c r="I156" s="5"/>
      <c r="J156" s="5"/>
      <c r="K156" s="50"/>
      <c r="L156" s="50"/>
      <c r="M156" s="50"/>
      <c r="N156" s="50"/>
      <c r="O156" s="50"/>
      <c r="P156" s="50"/>
      <c r="Q156" s="50"/>
      <c r="R156" s="50"/>
      <c r="S156" s="50"/>
      <c r="T156" s="50"/>
      <c r="U156" s="50"/>
      <c r="V156" s="50"/>
      <c r="W156" s="50"/>
      <c r="X156" s="50"/>
      <c r="Y156" s="50"/>
      <c r="Z156" s="50"/>
      <c r="AA156" s="50"/>
      <c r="AB156" s="50"/>
    </row>
    <row r="157" customFormat="false" ht="15.75" hidden="false" customHeight="false" outlineLevel="0" collapsed="false">
      <c r="A157" s="71"/>
      <c r="B157" s="54"/>
      <c r="C157" s="55" t="s">
        <v>18</v>
      </c>
      <c r="D157" s="56"/>
      <c r="E157" s="72" t="n">
        <f aca="false">IFERROR(__xludf.dummyfunction("COUNTA(SPLIT(D157,"" ""))/COUNTA(SPLIT($B$47,"" ""))"),0.00242718446601942)</f>
        <v>0.002427184466</v>
      </c>
      <c r="F157" s="55"/>
      <c r="G157" s="55"/>
      <c r="H157" s="55"/>
      <c r="I157" s="55"/>
      <c r="J157" s="55"/>
      <c r="K157" s="58"/>
      <c r="L157" s="58"/>
      <c r="M157" s="58"/>
      <c r="N157" s="58"/>
      <c r="O157" s="58"/>
      <c r="P157" s="58"/>
      <c r="Q157" s="58"/>
      <c r="R157" s="58"/>
      <c r="S157" s="58"/>
      <c r="T157" s="58"/>
      <c r="U157" s="58"/>
      <c r="V157" s="58"/>
      <c r="W157" s="58"/>
      <c r="X157" s="58"/>
      <c r="Y157" s="58"/>
      <c r="Z157" s="58"/>
      <c r="AA157" s="58"/>
      <c r="AB157" s="58"/>
    </row>
    <row r="158" customFormat="false" ht="15.75" hidden="false" customHeight="false" outlineLevel="0" collapsed="false">
      <c r="A158" s="71"/>
      <c r="B158" s="71"/>
      <c r="C158" s="5" t="s">
        <v>19</v>
      </c>
      <c r="D158" s="48"/>
      <c r="E158" s="73" t="n">
        <f aca="false">IFERROR(__xludf.dummyfunction("COUNTA(SPLIT(D158,"" ""))/COUNTA(SPLIT($B$47,"" ""))"),0.00242718446601942)</f>
        <v>0.002427184466</v>
      </c>
      <c r="F158" s="5"/>
      <c r="G158" s="5"/>
      <c r="H158" s="5"/>
      <c r="I158" s="5"/>
      <c r="J158" s="5"/>
      <c r="K158" s="50"/>
      <c r="L158" s="50"/>
      <c r="M158" s="50"/>
      <c r="N158" s="50"/>
      <c r="O158" s="50"/>
      <c r="P158" s="50"/>
      <c r="Q158" s="50"/>
      <c r="R158" s="50"/>
      <c r="S158" s="50"/>
      <c r="T158" s="50"/>
      <c r="U158" s="50"/>
      <c r="V158" s="50"/>
      <c r="W158" s="50"/>
      <c r="X158" s="50"/>
      <c r="Y158" s="50"/>
      <c r="Z158" s="50"/>
      <c r="AA158" s="50"/>
      <c r="AB158" s="50"/>
    </row>
    <row r="159" customFormat="false" ht="15.75" hidden="false" customHeight="false" outlineLevel="0" collapsed="false">
      <c r="A159" s="71"/>
      <c r="B159" s="71"/>
      <c r="C159" s="5" t="s">
        <v>8</v>
      </c>
      <c r="D159" s="48"/>
      <c r="E159" s="74" t="n">
        <f aca="false">IFERROR(__xludf.dummyfunction("COUNTA(SPLIT(D159,"" ""))/COUNTA(SPLIT($B$47,"" ""))"),0.00242718446601942)</f>
        <v>0.002427184466</v>
      </c>
      <c r="F159" s="5"/>
      <c r="G159" s="5"/>
      <c r="H159" s="5"/>
      <c r="I159" s="5"/>
      <c r="J159" s="5"/>
      <c r="K159" s="50"/>
      <c r="L159" s="50"/>
      <c r="M159" s="50"/>
      <c r="N159" s="50"/>
      <c r="O159" s="50"/>
      <c r="P159" s="50"/>
      <c r="Q159" s="50"/>
      <c r="R159" s="50"/>
      <c r="S159" s="50"/>
      <c r="T159" s="50"/>
      <c r="U159" s="50"/>
      <c r="V159" s="50"/>
      <c r="W159" s="50"/>
      <c r="X159" s="50"/>
      <c r="Y159" s="50"/>
      <c r="Z159" s="50"/>
      <c r="AA159" s="50"/>
      <c r="AB159" s="50"/>
    </row>
    <row r="160" customFormat="false" ht="15.75" hidden="false" customHeight="false" outlineLevel="0" collapsed="false">
      <c r="A160" s="71"/>
      <c r="B160" s="71"/>
      <c r="C160" s="5" t="s">
        <v>20</v>
      </c>
      <c r="D160" s="48"/>
      <c r="E160" s="75" t="n">
        <f aca="false">IFERROR(__xludf.dummyfunction("COUNTA(SPLIT(D160,"" ""))/COUNTA(SPLIT($B$47,"" ""))"),0.00242718446601942)</f>
        <v>0.002427184466</v>
      </c>
      <c r="F160" s="5"/>
      <c r="G160" s="5"/>
      <c r="H160" s="5"/>
      <c r="I160" s="5"/>
      <c r="J160" s="5"/>
      <c r="K160" s="50"/>
      <c r="L160" s="50"/>
      <c r="M160" s="50"/>
      <c r="N160" s="50"/>
      <c r="O160" s="50"/>
      <c r="P160" s="50"/>
      <c r="Q160" s="50"/>
      <c r="R160" s="50"/>
      <c r="S160" s="50"/>
      <c r="T160" s="50"/>
      <c r="U160" s="50"/>
      <c r="V160" s="50"/>
      <c r="W160" s="50"/>
      <c r="X160" s="50"/>
      <c r="Y160" s="50"/>
      <c r="Z160" s="50"/>
      <c r="AA160" s="50"/>
      <c r="AB160" s="50"/>
    </row>
    <row r="161" customFormat="false" ht="15.75" hidden="false" customHeight="false" outlineLevel="0" collapsed="false">
      <c r="A161" s="50"/>
      <c r="B161" s="50"/>
      <c r="C161" s="5"/>
      <c r="D161" s="48"/>
      <c r="E161" s="50"/>
      <c r="F161" s="5"/>
      <c r="G161" s="5"/>
      <c r="H161" s="5"/>
      <c r="I161" s="5"/>
      <c r="J161" s="5"/>
      <c r="K161" s="50"/>
      <c r="L161" s="50"/>
      <c r="M161" s="50"/>
      <c r="N161" s="50"/>
      <c r="O161" s="50"/>
      <c r="P161" s="50"/>
      <c r="Q161" s="50"/>
      <c r="R161" s="50"/>
      <c r="S161" s="50"/>
      <c r="T161" s="50"/>
      <c r="U161" s="50"/>
      <c r="V161" s="50"/>
      <c r="W161" s="50"/>
      <c r="X161" s="50"/>
      <c r="Y161" s="50"/>
      <c r="Z161" s="50"/>
      <c r="AA161" s="50"/>
      <c r="AB161" s="50"/>
    </row>
    <row r="162" customFormat="false" ht="15.75" hidden="false" customHeight="false" outlineLevel="0" collapsed="false">
      <c r="A162" s="71"/>
      <c r="B162" s="54"/>
      <c r="C162" s="55" t="s">
        <v>18</v>
      </c>
      <c r="D162" s="56"/>
      <c r="E162" s="72" t="n">
        <f aca="false">IFERROR(__xludf.dummyfunction("COUNTA(SPLIT(D162,"" ""))/COUNTA(SPLIT($B$47,"" ""))"),0.00242718446601942)</f>
        <v>0.002427184466</v>
      </c>
      <c r="F162" s="55"/>
      <c r="G162" s="55"/>
      <c r="H162" s="55"/>
      <c r="I162" s="55"/>
      <c r="J162" s="55"/>
      <c r="K162" s="58"/>
      <c r="L162" s="58"/>
      <c r="M162" s="58"/>
      <c r="N162" s="58"/>
      <c r="O162" s="58"/>
      <c r="P162" s="58"/>
      <c r="Q162" s="58"/>
      <c r="R162" s="58"/>
      <c r="S162" s="58"/>
      <c r="T162" s="58"/>
      <c r="U162" s="58"/>
      <c r="V162" s="58"/>
      <c r="W162" s="58"/>
      <c r="X162" s="58"/>
      <c r="Y162" s="58"/>
      <c r="Z162" s="58"/>
      <c r="AA162" s="58"/>
      <c r="AB162" s="58"/>
    </row>
    <row r="163" customFormat="false" ht="15.75" hidden="false" customHeight="false" outlineLevel="0" collapsed="false">
      <c r="A163" s="71"/>
      <c r="B163" s="71"/>
      <c r="C163" s="5" t="s">
        <v>19</v>
      </c>
      <c r="D163" s="48"/>
      <c r="E163" s="73" t="n">
        <f aca="false">IFERROR(__xludf.dummyfunction("COUNTA(SPLIT(D163,"" ""))/COUNTA(SPLIT($B$47,"" ""))"),0.00242718446601942)</f>
        <v>0.002427184466</v>
      </c>
      <c r="F163" s="5"/>
      <c r="G163" s="5"/>
      <c r="H163" s="5"/>
      <c r="I163" s="5"/>
      <c r="J163" s="5"/>
      <c r="K163" s="50"/>
      <c r="L163" s="50"/>
      <c r="M163" s="50"/>
      <c r="N163" s="50"/>
      <c r="O163" s="50"/>
      <c r="P163" s="50"/>
      <c r="Q163" s="50"/>
      <c r="R163" s="50"/>
      <c r="S163" s="50"/>
      <c r="T163" s="50"/>
      <c r="U163" s="50"/>
      <c r="V163" s="50"/>
      <c r="W163" s="50"/>
      <c r="X163" s="50"/>
      <c r="Y163" s="50"/>
      <c r="Z163" s="50"/>
      <c r="AA163" s="50"/>
      <c r="AB163" s="50"/>
    </row>
    <row r="164" customFormat="false" ht="15.75" hidden="false" customHeight="false" outlineLevel="0" collapsed="false">
      <c r="A164" s="71"/>
      <c r="B164" s="71"/>
      <c r="C164" s="5" t="s">
        <v>8</v>
      </c>
      <c r="D164" s="48"/>
      <c r="E164" s="74" t="n">
        <f aca="false">IFERROR(__xludf.dummyfunction("COUNTA(SPLIT(D164,"" ""))/COUNTA(SPLIT($B$47,"" ""))"),0.00242718446601942)</f>
        <v>0.002427184466</v>
      </c>
      <c r="F164" s="5"/>
      <c r="G164" s="5"/>
      <c r="H164" s="5"/>
      <c r="I164" s="5"/>
      <c r="J164" s="5"/>
      <c r="K164" s="50"/>
      <c r="L164" s="50"/>
      <c r="M164" s="50"/>
      <c r="N164" s="50"/>
      <c r="O164" s="50"/>
      <c r="P164" s="50"/>
      <c r="Q164" s="50"/>
      <c r="R164" s="50"/>
      <c r="S164" s="50"/>
      <c r="T164" s="50"/>
      <c r="U164" s="50"/>
      <c r="V164" s="50"/>
      <c r="W164" s="50"/>
      <c r="X164" s="50"/>
      <c r="Y164" s="50"/>
      <c r="Z164" s="50"/>
      <c r="AA164" s="50"/>
      <c r="AB164" s="50"/>
    </row>
    <row r="165" customFormat="false" ht="15.75" hidden="false" customHeight="false" outlineLevel="0" collapsed="false">
      <c r="A165" s="71"/>
      <c r="B165" s="71"/>
      <c r="C165" s="5" t="s">
        <v>20</v>
      </c>
      <c r="D165" s="48"/>
      <c r="E165" s="75" t="n">
        <f aca="false">IFERROR(__xludf.dummyfunction("COUNTA(SPLIT(D165,"" ""))/COUNTA(SPLIT($B$47,"" ""))"),0.00242718446601942)</f>
        <v>0.002427184466</v>
      </c>
      <c r="F165" s="5"/>
      <c r="G165" s="5"/>
      <c r="H165" s="5"/>
      <c r="I165" s="5"/>
      <c r="J165" s="5"/>
      <c r="K165" s="50"/>
      <c r="L165" s="50"/>
      <c r="M165" s="50"/>
      <c r="N165" s="50"/>
      <c r="O165" s="50"/>
      <c r="P165" s="50"/>
      <c r="Q165" s="50"/>
      <c r="R165" s="50"/>
      <c r="S165" s="50"/>
      <c r="T165" s="50"/>
      <c r="U165" s="50"/>
      <c r="V165" s="50"/>
      <c r="W165" s="50"/>
      <c r="X165" s="50"/>
      <c r="Y165" s="50"/>
      <c r="Z165" s="50"/>
      <c r="AA165" s="50"/>
      <c r="AB165" s="50"/>
    </row>
    <row r="166" customFormat="false" ht="15.75" hidden="false" customHeight="false" outlineLevel="0" collapsed="false">
      <c r="A166" s="50"/>
      <c r="B166" s="50"/>
      <c r="C166" s="5"/>
      <c r="D166" s="48"/>
      <c r="E166" s="50"/>
      <c r="F166" s="5"/>
      <c r="G166" s="5"/>
      <c r="H166" s="5"/>
      <c r="I166" s="5"/>
      <c r="J166" s="5"/>
      <c r="K166" s="50"/>
      <c r="L166" s="50"/>
      <c r="M166" s="50"/>
      <c r="N166" s="50"/>
      <c r="O166" s="50"/>
      <c r="P166" s="50"/>
      <c r="Q166" s="50"/>
      <c r="R166" s="50"/>
      <c r="S166" s="50"/>
      <c r="T166" s="50"/>
      <c r="U166" s="50"/>
      <c r="V166" s="50"/>
      <c r="W166" s="50"/>
      <c r="X166" s="50"/>
      <c r="Y166" s="50"/>
      <c r="Z166" s="50"/>
      <c r="AA166" s="50"/>
      <c r="AB166" s="50"/>
    </row>
    <row r="167" customFormat="false" ht="15.75" hidden="false" customHeight="false" outlineLevel="0" collapsed="false">
      <c r="A167" s="50"/>
      <c r="B167" s="50"/>
      <c r="C167" s="5"/>
      <c r="D167" s="48"/>
      <c r="E167" s="50"/>
      <c r="F167" s="5"/>
      <c r="G167" s="5"/>
      <c r="H167" s="5"/>
      <c r="I167" s="5"/>
      <c r="J167" s="5"/>
      <c r="K167" s="50"/>
      <c r="L167" s="50"/>
      <c r="M167" s="50"/>
      <c r="N167" s="50"/>
      <c r="O167" s="50"/>
      <c r="P167" s="50"/>
      <c r="Q167" s="50"/>
      <c r="R167" s="50"/>
      <c r="S167" s="50"/>
      <c r="T167" s="50"/>
      <c r="U167" s="50"/>
      <c r="V167" s="50"/>
      <c r="W167" s="50"/>
      <c r="X167" s="50"/>
      <c r="Y167" s="50"/>
      <c r="Z167" s="50"/>
      <c r="AA167" s="50"/>
      <c r="AB167" s="50"/>
    </row>
    <row r="168" customFormat="false" ht="15.75" hidden="false" customHeight="false" outlineLevel="0" collapsed="false">
      <c r="A168" s="50"/>
      <c r="B168" s="50"/>
      <c r="C168" s="5"/>
      <c r="D168" s="48"/>
      <c r="E168" s="50"/>
      <c r="F168" s="5"/>
      <c r="G168" s="5"/>
      <c r="H168" s="5"/>
      <c r="I168" s="5"/>
      <c r="J168" s="5"/>
      <c r="K168" s="50"/>
      <c r="L168" s="50"/>
      <c r="M168" s="50"/>
      <c r="N168" s="50"/>
      <c r="O168" s="50"/>
      <c r="P168" s="50"/>
      <c r="Q168" s="50"/>
      <c r="R168" s="50"/>
      <c r="S168" s="50"/>
      <c r="T168" s="50"/>
      <c r="U168" s="50"/>
      <c r="V168" s="50"/>
      <c r="W168" s="50"/>
      <c r="X168" s="50"/>
      <c r="Y168" s="50"/>
      <c r="Z168" s="50"/>
      <c r="AA168" s="50"/>
      <c r="AB168" s="50"/>
    </row>
    <row r="169" customFormat="false" ht="15.75" hidden="false" customHeight="false" outlineLevel="0" collapsed="false">
      <c r="A169" s="50"/>
      <c r="B169" s="50"/>
      <c r="C169" s="5"/>
      <c r="D169" s="48"/>
      <c r="E169" s="50"/>
      <c r="F169" s="5"/>
      <c r="G169" s="5"/>
      <c r="H169" s="5"/>
      <c r="I169" s="5"/>
      <c r="J169" s="5"/>
      <c r="K169" s="50"/>
      <c r="L169" s="50"/>
      <c r="M169" s="50"/>
      <c r="N169" s="50"/>
      <c r="O169" s="50"/>
      <c r="P169" s="50"/>
      <c r="Q169" s="50"/>
      <c r="R169" s="50"/>
      <c r="S169" s="50"/>
      <c r="T169" s="50"/>
      <c r="U169" s="50"/>
      <c r="V169" s="50"/>
      <c r="W169" s="50"/>
      <c r="X169" s="50"/>
      <c r="Y169" s="50"/>
      <c r="Z169" s="50"/>
      <c r="AA169" s="50"/>
      <c r="AB169" s="50"/>
    </row>
    <row r="170" customFormat="false" ht="15.75" hidden="false" customHeight="false" outlineLevel="0" collapsed="false">
      <c r="A170" s="50"/>
      <c r="B170" s="50"/>
      <c r="C170" s="5"/>
      <c r="D170" s="48"/>
      <c r="E170" s="50"/>
      <c r="F170" s="5"/>
      <c r="G170" s="5"/>
      <c r="H170" s="5"/>
      <c r="I170" s="5"/>
      <c r="J170" s="5"/>
      <c r="K170" s="50"/>
      <c r="L170" s="50"/>
      <c r="M170" s="50"/>
      <c r="N170" s="50"/>
      <c r="O170" s="50"/>
      <c r="P170" s="50"/>
      <c r="Q170" s="50"/>
      <c r="R170" s="50"/>
      <c r="S170" s="50"/>
      <c r="T170" s="50"/>
      <c r="U170" s="50"/>
      <c r="V170" s="50"/>
      <c r="W170" s="50"/>
      <c r="X170" s="50"/>
      <c r="Y170" s="50"/>
      <c r="Z170" s="50"/>
      <c r="AA170" s="50"/>
      <c r="AB170" s="50"/>
    </row>
    <row r="171" customFormat="false" ht="15.75" hidden="false" customHeight="false" outlineLevel="0" collapsed="false">
      <c r="A171" s="50"/>
      <c r="B171" s="50"/>
      <c r="C171" s="5"/>
      <c r="D171" s="48"/>
      <c r="E171" s="50"/>
      <c r="F171" s="5"/>
      <c r="G171" s="5"/>
      <c r="H171" s="5"/>
      <c r="I171" s="5"/>
      <c r="J171" s="5"/>
      <c r="K171" s="50"/>
      <c r="L171" s="50"/>
      <c r="M171" s="50"/>
      <c r="N171" s="50"/>
      <c r="O171" s="50"/>
      <c r="P171" s="50"/>
      <c r="Q171" s="50"/>
      <c r="R171" s="50"/>
      <c r="S171" s="50"/>
      <c r="T171" s="50"/>
      <c r="U171" s="50"/>
      <c r="V171" s="50"/>
      <c r="W171" s="50"/>
      <c r="X171" s="50"/>
      <c r="Y171" s="50"/>
      <c r="Z171" s="50"/>
      <c r="AA171" s="50"/>
      <c r="AB171" s="50"/>
    </row>
    <row r="172" customFormat="false" ht="15.75" hidden="false" customHeight="false" outlineLevel="0" collapsed="false">
      <c r="A172" s="50"/>
      <c r="B172" s="50"/>
      <c r="C172" s="5"/>
      <c r="D172" s="48"/>
      <c r="E172" s="50"/>
      <c r="F172" s="5"/>
      <c r="G172" s="5"/>
      <c r="H172" s="5"/>
      <c r="I172" s="5"/>
      <c r="J172" s="5"/>
      <c r="K172" s="50"/>
      <c r="L172" s="50"/>
      <c r="M172" s="50"/>
      <c r="N172" s="50"/>
      <c r="O172" s="50"/>
      <c r="P172" s="50"/>
      <c r="Q172" s="50"/>
      <c r="R172" s="50"/>
      <c r="S172" s="50"/>
      <c r="T172" s="50"/>
      <c r="U172" s="50"/>
      <c r="V172" s="50"/>
      <c r="W172" s="50"/>
      <c r="X172" s="50"/>
      <c r="Y172" s="50"/>
      <c r="Z172" s="50"/>
      <c r="AA172" s="50"/>
      <c r="AB172" s="50"/>
    </row>
    <row r="173" customFormat="false" ht="15.75" hidden="false" customHeight="false" outlineLevel="0" collapsed="false">
      <c r="A173" s="50"/>
      <c r="B173" s="50"/>
      <c r="C173" s="5"/>
      <c r="D173" s="48"/>
      <c r="E173" s="50"/>
      <c r="F173" s="5"/>
      <c r="G173" s="5"/>
      <c r="H173" s="5"/>
      <c r="I173" s="5"/>
      <c r="J173" s="5"/>
      <c r="K173" s="50"/>
      <c r="L173" s="50"/>
      <c r="M173" s="50"/>
      <c r="N173" s="50"/>
      <c r="O173" s="50"/>
      <c r="P173" s="50"/>
      <c r="Q173" s="50"/>
      <c r="R173" s="50"/>
      <c r="S173" s="50"/>
      <c r="T173" s="50"/>
      <c r="U173" s="50"/>
      <c r="V173" s="50"/>
      <c r="W173" s="50"/>
      <c r="X173" s="50"/>
      <c r="Y173" s="50"/>
      <c r="Z173" s="50"/>
      <c r="AA173" s="50"/>
      <c r="AB173" s="50"/>
    </row>
    <row r="174" customFormat="false" ht="15.75" hidden="false" customHeight="false" outlineLevel="0" collapsed="false">
      <c r="A174" s="50"/>
      <c r="B174" s="50"/>
      <c r="C174" s="5"/>
      <c r="D174" s="48"/>
      <c r="E174" s="50"/>
      <c r="F174" s="5"/>
      <c r="G174" s="5"/>
      <c r="H174" s="5"/>
      <c r="I174" s="5"/>
      <c r="J174" s="5"/>
      <c r="K174" s="50"/>
      <c r="L174" s="50"/>
      <c r="M174" s="50"/>
      <c r="N174" s="50"/>
      <c r="O174" s="50"/>
      <c r="P174" s="50"/>
      <c r="Q174" s="50"/>
      <c r="R174" s="50"/>
      <c r="S174" s="50"/>
      <c r="T174" s="50"/>
      <c r="U174" s="50"/>
      <c r="V174" s="50"/>
      <c r="W174" s="50"/>
      <c r="X174" s="50"/>
      <c r="Y174" s="50"/>
      <c r="Z174" s="50"/>
      <c r="AA174" s="50"/>
      <c r="AB174" s="50"/>
    </row>
    <row r="175" customFormat="false" ht="15.75" hidden="false" customHeight="false" outlineLevel="0" collapsed="false">
      <c r="A175" s="50"/>
      <c r="B175" s="50"/>
      <c r="C175" s="5"/>
      <c r="D175" s="48"/>
      <c r="E175" s="50"/>
      <c r="F175" s="5"/>
      <c r="G175" s="5"/>
      <c r="H175" s="5"/>
      <c r="I175" s="5"/>
      <c r="J175" s="5"/>
      <c r="K175" s="50"/>
      <c r="L175" s="50"/>
      <c r="M175" s="50"/>
      <c r="N175" s="50"/>
      <c r="O175" s="50"/>
      <c r="P175" s="50"/>
      <c r="Q175" s="50"/>
      <c r="R175" s="50"/>
      <c r="S175" s="50"/>
      <c r="T175" s="50"/>
      <c r="U175" s="50"/>
      <c r="V175" s="50"/>
      <c r="W175" s="50"/>
      <c r="X175" s="50"/>
      <c r="Y175" s="50"/>
      <c r="Z175" s="50"/>
      <c r="AA175" s="50"/>
      <c r="AB175" s="50"/>
    </row>
    <row r="176" customFormat="false" ht="15.75" hidden="false" customHeight="false" outlineLevel="0" collapsed="false">
      <c r="A176" s="50"/>
      <c r="B176" s="50"/>
      <c r="C176" s="5"/>
      <c r="D176" s="48"/>
      <c r="E176" s="50"/>
      <c r="F176" s="5"/>
      <c r="G176" s="5"/>
      <c r="H176" s="5"/>
      <c r="I176" s="5"/>
      <c r="J176" s="5"/>
      <c r="K176" s="50"/>
      <c r="L176" s="50"/>
      <c r="M176" s="50"/>
      <c r="N176" s="50"/>
      <c r="O176" s="50"/>
      <c r="P176" s="50"/>
      <c r="Q176" s="50"/>
      <c r="R176" s="50"/>
      <c r="S176" s="50"/>
      <c r="T176" s="50"/>
      <c r="U176" s="50"/>
      <c r="V176" s="50"/>
      <c r="W176" s="50"/>
      <c r="X176" s="50"/>
      <c r="Y176" s="50"/>
      <c r="Z176" s="50"/>
      <c r="AA176" s="50"/>
      <c r="AB176" s="50"/>
    </row>
    <row r="177" customFormat="false" ht="15.75" hidden="false" customHeight="false" outlineLevel="0" collapsed="false">
      <c r="A177" s="50"/>
      <c r="B177" s="50"/>
      <c r="C177" s="5"/>
      <c r="D177" s="48"/>
      <c r="E177" s="50"/>
      <c r="F177" s="5"/>
      <c r="G177" s="5"/>
      <c r="H177" s="5"/>
      <c r="I177" s="5"/>
      <c r="J177" s="5"/>
      <c r="K177" s="50"/>
      <c r="L177" s="50"/>
      <c r="M177" s="50"/>
      <c r="N177" s="50"/>
      <c r="O177" s="50"/>
      <c r="P177" s="50"/>
      <c r="Q177" s="50"/>
      <c r="R177" s="50"/>
      <c r="S177" s="50"/>
      <c r="T177" s="50"/>
      <c r="U177" s="50"/>
      <c r="V177" s="50"/>
      <c r="W177" s="50"/>
      <c r="X177" s="50"/>
      <c r="Y177" s="50"/>
      <c r="Z177" s="50"/>
      <c r="AA177" s="50"/>
      <c r="AB177" s="50"/>
    </row>
    <row r="178" customFormat="false" ht="15.75" hidden="false" customHeight="false" outlineLevel="0" collapsed="false">
      <c r="A178" s="50"/>
      <c r="B178" s="50"/>
      <c r="C178" s="5"/>
      <c r="D178" s="48"/>
      <c r="E178" s="50"/>
      <c r="F178" s="5"/>
      <c r="G178" s="5"/>
      <c r="H178" s="5"/>
      <c r="I178" s="5"/>
      <c r="J178" s="5"/>
      <c r="K178" s="50"/>
      <c r="L178" s="50"/>
      <c r="M178" s="50"/>
      <c r="N178" s="50"/>
      <c r="O178" s="50"/>
      <c r="P178" s="50"/>
      <c r="Q178" s="50"/>
      <c r="R178" s="50"/>
      <c r="S178" s="50"/>
      <c r="T178" s="50"/>
      <c r="U178" s="50"/>
      <c r="V178" s="50"/>
      <c r="W178" s="50"/>
      <c r="X178" s="50"/>
      <c r="Y178" s="50"/>
      <c r="Z178" s="50"/>
      <c r="AA178" s="50"/>
      <c r="AB178" s="50"/>
    </row>
    <row r="179" customFormat="false" ht="15.75" hidden="false" customHeight="false" outlineLevel="0" collapsed="false">
      <c r="A179" s="50"/>
      <c r="B179" s="50"/>
      <c r="C179" s="5"/>
      <c r="D179" s="48"/>
      <c r="E179" s="50"/>
      <c r="F179" s="5"/>
      <c r="G179" s="5"/>
      <c r="H179" s="5"/>
      <c r="I179" s="5"/>
      <c r="J179" s="5"/>
      <c r="K179" s="50"/>
      <c r="L179" s="50"/>
      <c r="M179" s="50"/>
      <c r="N179" s="50"/>
      <c r="O179" s="50"/>
      <c r="P179" s="50"/>
      <c r="Q179" s="50"/>
      <c r="R179" s="50"/>
      <c r="S179" s="50"/>
      <c r="T179" s="50"/>
      <c r="U179" s="50"/>
      <c r="V179" s="50"/>
      <c r="W179" s="50"/>
      <c r="X179" s="50"/>
      <c r="Y179" s="50"/>
      <c r="Z179" s="50"/>
      <c r="AA179" s="50"/>
      <c r="AB179" s="50"/>
    </row>
    <row r="180" customFormat="false" ht="15.75" hidden="false" customHeight="false" outlineLevel="0" collapsed="false">
      <c r="A180" s="50"/>
      <c r="B180" s="50"/>
      <c r="C180" s="5"/>
      <c r="D180" s="48"/>
      <c r="E180" s="50"/>
      <c r="F180" s="5"/>
      <c r="G180" s="5"/>
      <c r="H180" s="5"/>
      <c r="I180" s="5"/>
      <c r="J180" s="5"/>
      <c r="K180" s="50"/>
      <c r="L180" s="50"/>
      <c r="M180" s="50"/>
      <c r="N180" s="50"/>
      <c r="O180" s="50"/>
      <c r="P180" s="50"/>
      <c r="Q180" s="50"/>
      <c r="R180" s="50"/>
      <c r="S180" s="50"/>
      <c r="T180" s="50"/>
      <c r="U180" s="50"/>
      <c r="V180" s="50"/>
      <c r="W180" s="50"/>
      <c r="X180" s="50"/>
      <c r="Y180" s="50"/>
      <c r="Z180" s="50"/>
      <c r="AA180" s="50"/>
      <c r="AB180" s="50"/>
    </row>
    <row r="181" customFormat="false" ht="15.75" hidden="false" customHeight="false" outlineLevel="0" collapsed="false">
      <c r="A181" s="50"/>
      <c r="B181" s="50"/>
      <c r="C181" s="5"/>
      <c r="D181" s="48"/>
      <c r="E181" s="50"/>
      <c r="F181" s="5"/>
      <c r="G181" s="5"/>
      <c r="H181" s="5"/>
      <c r="I181" s="5"/>
      <c r="J181" s="5"/>
      <c r="K181" s="50"/>
      <c r="L181" s="50"/>
      <c r="M181" s="50"/>
      <c r="N181" s="50"/>
      <c r="O181" s="50"/>
      <c r="P181" s="50"/>
      <c r="Q181" s="50"/>
      <c r="R181" s="50"/>
      <c r="S181" s="50"/>
      <c r="T181" s="50"/>
      <c r="U181" s="50"/>
      <c r="V181" s="50"/>
      <c r="W181" s="50"/>
      <c r="X181" s="50"/>
      <c r="Y181" s="50"/>
      <c r="Z181" s="50"/>
      <c r="AA181" s="50"/>
      <c r="AB181" s="50"/>
    </row>
    <row r="182" customFormat="false" ht="15.75" hidden="false" customHeight="false" outlineLevel="0" collapsed="false">
      <c r="A182" s="50"/>
      <c r="B182" s="50"/>
      <c r="C182" s="5"/>
      <c r="D182" s="48"/>
      <c r="E182" s="50"/>
      <c r="F182" s="5"/>
      <c r="G182" s="5"/>
      <c r="H182" s="5"/>
      <c r="I182" s="5"/>
      <c r="J182" s="5"/>
      <c r="K182" s="50"/>
      <c r="L182" s="50"/>
      <c r="M182" s="50"/>
      <c r="N182" s="50"/>
      <c r="O182" s="50"/>
      <c r="P182" s="50"/>
      <c r="Q182" s="50"/>
      <c r="R182" s="50"/>
      <c r="S182" s="50"/>
      <c r="T182" s="50"/>
      <c r="U182" s="50"/>
      <c r="V182" s="50"/>
      <c r="W182" s="50"/>
      <c r="X182" s="50"/>
      <c r="Y182" s="50"/>
      <c r="Z182" s="50"/>
      <c r="AA182" s="50"/>
      <c r="AB182" s="50"/>
    </row>
    <row r="183" customFormat="false" ht="15.75" hidden="false" customHeight="false" outlineLevel="0" collapsed="false">
      <c r="A183" s="50"/>
      <c r="B183" s="50"/>
      <c r="C183" s="5"/>
      <c r="D183" s="48"/>
      <c r="E183" s="50"/>
      <c r="F183" s="5"/>
      <c r="G183" s="5"/>
      <c r="H183" s="5"/>
      <c r="I183" s="5"/>
      <c r="J183" s="5"/>
      <c r="K183" s="50"/>
      <c r="L183" s="50"/>
      <c r="M183" s="50"/>
      <c r="N183" s="50"/>
      <c r="O183" s="50"/>
      <c r="P183" s="50"/>
      <c r="Q183" s="50"/>
      <c r="R183" s="50"/>
      <c r="S183" s="50"/>
      <c r="T183" s="50"/>
      <c r="U183" s="50"/>
      <c r="V183" s="50"/>
      <c r="W183" s="50"/>
      <c r="X183" s="50"/>
      <c r="Y183" s="50"/>
      <c r="Z183" s="50"/>
      <c r="AA183" s="50"/>
      <c r="AB183" s="50"/>
    </row>
    <row r="184" customFormat="false" ht="15.75" hidden="false" customHeight="false" outlineLevel="0" collapsed="false">
      <c r="A184" s="50"/>
      <c r="B184" s="50"/>
      <c r="C184" s="5"/>
      <c r="D184" s="48"/>
      <c r="E184" s="50"/>
      <c r="F184" s="5"/>
      <c r="G184" s="5"/>
      <c r="H184" s="5"/>
      <c r="I184" s="5"/>
      <c r="J184" s="5"/>
      <c r="K184" s="50"/>
      <c r="L184" s="50"/>
      <c r="M184" s="50"/>
      <c r="N184" s="50"/>
      <c r="O184" s="50"/>
      <c r="P184" s="50"/>
      <c r="Q184" s="50"/>
      <c r="R184" s="50"/>
      <c r="S184" s="50"/>
      <c r="T184" s="50"/>
      <c r="U184" s="50"/>
      <c r="V184" s="50"/>
      <c r="W184" s="50"/>
      <c r="X184" s="50"/>
      <c r="Y184" s="50"/>
      <c r="Z184" s="50"/>
      <c r="AA184" s="50"/>
      <c r="AB184" s="50"/>
    </row>
    <row r="185" customFormat="false" ht="15.75" hidden="false" customHeight="false" outlineLevel="0" collapsed="false">
      <c r="A185" s="50"/>
      <c r="B185" s="50"/>
      <c r="C185" s="5"/>
      <c r="D185" s="48"/>
      <c r="E185" s="50"/>
      <c r="F185" s="5"/>
      <c r="G185" s="5"/>
      <c r="H185" s="5"/>
      <c r="I185" s="5"/>
      <c r="J185" s="5"/>
      <c r="K185" s="50"/>
      <c r="L185" s="50"/>
      <c r="M185" s="50"/>
      <c r="N185" s="50"/>
      <c r="O185" s="50"/>
      <c r="P185" s="50"/>
      <c r="Q185" s="50"/>
      <c r="R185" s="50"/>
      <c r="S185" s="50"/>
      <c r="T185" s="50"/>
      <c r="U185" s="50"/>
      <c r="V185" s="50"/>
      <c r="W185" s="50"/>
      <c r="X185" s="50"/>
      <c r="Y185" s="50"/>
      <c r="Z185" s="50"/>
      <c r="AA185" s="50"/>
      <c r="AB185" s="50"/>
    </row>
    <row r="186" customFormat="false" ht="15.75" hidden="false" customHeight="false" outlineLevel="0" collapsed="false">
      <c r="A186" s="50"/>
      <c r="B186" s="50"/>
      <c r="C186" s="5"/>
      <c r="D186" s="48"/>
      <c r="E186" s="50"/>
      <c r="F186" s="5"/>
      <c r="G186" s="5"/>
      <c r="H186" s="5"/>
      <c r="I186" s="5"/>
      <c r="J186" s="5"/>
      <c r="K186" s="50"/>
      <c r="L186" s="50"/>
      <c r="M186" s="50"/>
      <c r="N186" s="50"/>
      <c r="O186" s="50"/>
      <c r="P186" s="50"/>
      <c r="Q186" s="50"/>
      <c r="R186" s="50"/>
      <c r="S186" s="50"/>
      <c r="T186" s="50"/>
      <c r="U186" s="50"/>
      <c r="V186" s="50"/>
      <c r="W186" s="50"/>
      <c r="X186" s="50"/>
      <c r="Y186" s="50"/>
      <c r="Z186" s="50"/>
      <c r="AA186" s="50"/>
      <c r="AB186" s="50"/>
    </row>
    <row r="187" customFormat="false" ht="15.75" hidden="false" customHeight="false" outlineLevel="0" collapsed="false">
      <c r="A187" s="50"/>
      <c r="B187" s="50"/>
      <c r="C187" s="5"/>
      <c r="D187" s="48"/>
      <c r="E187" s="50"/>
      <c r="F187" s="5"/>
      <c r="G187" s="5"/>
      <c r="H187" s="5"/>
      <c r="I187" s="5"/>
      <c r="J187" s="5"/>
      <c r="K187" s="50"/>
      <c r="L187" s="50"/>
      <c r="M187" s="50"/>
      <c r="N187" s="50"/>
      <c r="O187" s="50"/>
      <c r="P187" s="50"/>
      <c r="Q187" s="50"/>
      <c r="R187" s="50"/>
      <c r="S187" s="50"/>
      <c r="T187" s="50"/>
      <c r="U187" s="50"/>
      <c r="V187" s="50"/>
      <c r="W187" s="50"/>
      <c r="X187" s="50"/>
      <c r="Y187" s="50"/>
      <c r="Z187" s="50"/>
      <c r="AA187" s="50"/>
      <c r="AB187" s="50"/>
    </row>
    <row r="188" customFormat="false" ht="15.75" hidden="false" customHeight="false" outlineLevel="0" collapsed="false">
      <c r="A188" s="50"/>
      <c r="B188" s="50"/>
      <c r="C188" s="5"/>
      <c r="D188" s="48"/>
      <c r="E188" s="50"/>
      <c r="F188" s="5"/>
      <c r="G188" s="5"/>
      <c r="H188" s="5"/>
      <c r="I188" s="5"/>
      <c r="J188" s="5"/>
      <c r="K188" s="50"/>
      <c r="L188" s="50"/>
      <c r="M188" s="50"/>
      <c r="N188" s="50"/>
      <c r="O188" s="50"/>
      <c r="P188" s="50"/>
      <c r="Q188" s="50"/>
      <c r="R188" s="50"/>
      <c r="S188" s="50"/>
      <c r="T188" s="50"/>
      <c r="U188" s="50"/>
      <c r="V188" s="50"/>
      <c r="W188" s="50"/>
      <c r="X188" s="50"/>
      <c r="Y188" s="50"/>
      <c r="Z188" s="50"/>
      <c r="AA188" s="50"/>
      <c r="AB188" s="50"/>
    </row>
    <row r="189" customFormat="false" ht="15.75" hidden="false" customHeight="false" outlineLevel="0" collapsed="false">
      <c r="A189" s="50"/>
      <c r="B189" s="50"/>
      <c r="C189" s="5"/>
      <c r="D189" s="48"/>
      <c r="E189" s="50"/>
      <c r="F189" s="5"/>
      <c r="G189" s="5"/>
      <c r="H189" s="5"/>
      <c r="I189" s="5"/>
      <c r="J189" s="5"/>
      <c r="K189" s="50"/>
      <c r="L189" s="50"/>
      <c r="M189" s="50"/>
      <c r="N189" s="50"/>
      <c r="O189" s="50"/>
      <c r="P189" s="50"/>
      <c r="Q189" s="50"/>
      <c r="R189" s="50"/>
      <c r="S189" s="50"/>
      <c r="T189" s="50"/>
      <c r="U189" s="50"/>
      <c r="V189" s="50"/>
      <c r="W189" s="50"/>
      <c r="X189" s="50"/>
      <c r="Y189" s="50"/>
      <c r="Z189" s="50"/>
      <c r="AA189" s="50"/>
      <c r="AB189" s="50"/>
    </row>
    <row r="190" customFormat="false" ht="15.75" hidden="false" customHeight="false" outlineLevel="0" collapsed="false">
      <c r="A190" s="50"/>
      <c r="B190" s="50"/>
      <c r="C190" s="5"/>
      <c r="D190" s="48"/>
      <c r="E190" s="50"/>
      <c r="F190" s="5"/>
      <c r="G190" s="5"/>
      <c r="H190" s="5"/>
      <c r="I190" s="5"/>
      <c r="J190" s="5"/>
      <c r="K190" s="50"/>
      <c r="L190" s="50"/>
      <c r="M190" s="50"/>
      <c r="N190" s="50"/>
      <c r="O190" s="50"/>
      <c r="P190" s="50"/>
      <c r="Q190" s="50"/>
      <c r="R190" s="50"/>
      <c r="S190" s="50"/>
      <c r="T190" s="50"/>
      <c r="U190" s="50"/>
      <c r="V190" s="50"/>
      <c r="W190" s="50"/>
      <c r="X190" s="50"/>
      <c r="Y190" s="50"/>
      <c r="Z190" s="50"/>
      <c r="AA190" s="50"/>
      <c r="AB190" s="50"/>
    </row>
    <row r="191" customFormat="false" ht="15.75" hidden="false" customHeight="false" outlineLevel="0" collapsed="false">
      <c r="A191" s="50"/>
      <c r="B191" s="50"/>
      <c r="C191" s="5"/>
      <c r="D191" s="48"/>
      <c r="E191" s="50"/>
      <c r="F191" s="5"/>
      <c r="G191" s="5"/>
      <c r="H191" s="5"/>
      <c r="I191" s="5"/>
      <c r="J191" s="5"/>
      <c r="K191" s="50"/>
      <c r="L191" s="50"/>
      <c r="M191" s="50"/>
      <c r="N191" s="50"/>
      <c r="O191" s="50"/>
      <c r="P191" s="50"/>
      <c r="Q191" s="50"/>
      <c r="R191" s="50"/>
      <c r="S191" s="50"/>
      <c r="T191" s="50"/>
      <c r="U191" s="50"/>
      <c r="V191" s="50"/>
      <c r="W191" s="50"/>
      <c r="X191" s="50"/>
      <c r="Y191" s="50"/>
      <c r="Z191" s="50"/>
      <c r="AA191" s="50"/>
      <c r="AB191" s="50"/>
    </row>
    <row r="192" customFormat="false" ht="15.75" hidden="false" customHeight="false" outlineLevel="0" collapsed="false">
      <c r="A192" s="50"/>
      <c r="B192" s="50"/>
      <c r="C192" s="5"/>
      <c r="D192" s="48"/>
      <c r="E192" s="50"/>
      <c r="F192" s="5"/>
      <c r="G192" s="5"/>
      <c r="H192" s="5"/>
      <c r="I192" s="5"/>
      <c r="J192" s="5"/>
      <c r="K192" s="50"/>
      <c r="L192" s="50"/>
      <c r="M192" s="50"/>
      <c r="N192" s="50"/>
      <c r="O192" s="50"/>
      <c r="P192" s="50"/>
      <c r="Q192" s="50"/>
      <c r="R192" s="50"/>
      <c r="S192" s="50"/>
      <c r="T192" s="50"/>
      <c r="U192" s="50"/>
      <c r="V192" s="50"/>
      <c r="W192" s="50"/>
      <c r="X192" s="50"/>
      <c r="Y192" s="50"/>
      <c r="Z192" s="50"/>
      <c r="AA192" s="50"/>
      <c r="AB192" s="50"/>
    </row>
    <row r="193" customFormat="false" ht="15.75" hidden="false" customHeight="false" outlineLevel="0" collapsed="false">
      <c r="A193" s="50"/>
      <c r="B193" s="50"/>
      <c r="C193" s="5"/>
      <c r="D193" s="48"/>
      <c r="E193" s="50"/>
      <c r="F193" s="5"/>
      <c r="G193" s="5"/>
      <c r="H193" s="5"/>
      <c r="I193" s="5"/>
      <c r="J193" s="5"/>
      <c r="K193" s="50"/>
      <c r="L193" s="50"/>
      <c r="M193" s="50"/>
      <c r="N193" s="50"/>
      <c r="O193" s="50"/>
      <c r="P193" s="50"/>
      <c r="Q193" s="50"/>
      <c r="R193" s="50"/>
      <c r="S193" s="50"/>
      <c r="T193" s="50"/>
      <c r="U193" s="50"/>
      <c r="V193" s="50"/>
      <c r="W193" s="50"/>
      <c r="X193" s="50"/>
      <c r="Y193" s="50"/>
      <c r="Z193" s="50"/>
      <c r="AA193" s="50"/>
      <c r="AB193" s="50"/>
    </row>
    <row r="194" customFormat="false" ht="15.75" hidden="false" customHeight="false" outlineLevel="0" collapsed="false">
      <c r="A194" s="50"/>
      <c r="B194" s="50"/>
      <c r="C194" s="5"/>
      <c r="D194" s="48"/>
      <c r="E194" s="50"/>
      <c r="F194" s="5"/>
      <c r="G194" s="5"/>
      <c r="H194" s="5"/>
      <c r="I194" s="5"/>
      <c r="J194" s="5"/>
      <c r="K194" s="50"/>
      <c r="L194" s="50"/>
      <c r="M194" s="50"/>
      <c r="N194" s="50"/>
      <c r="O194" s="50"/>
      <c r="P194" s="50"/>
      <c r="Q194" s="50"/>
      <c r="R194" s="50"/>
      <c r="S194" s="50"/>
      <c r="T194" s="50"/>
      <c r="U194" s="50"/>
      <c r="V194" s="50"/>
      <c r="W194" s="50"/>
      <c r="X194" s="50"/>
      <c r="Y194" s="50"/>
      <c r="Z194" s="50"/>
      <c r="AA194" s="50"/>
      <c r="AB194" s="50"/>
    </row>
    <row r="195" customFormat="false" ht="15.75" hidden="false" customHeight="false" outlineLevel="0" collapsed="false">
      <c r="A195" s="50"/>
      <c r="B195" s="50"/>
      <c r="C195" s="5"/>
      <c r="D195" s="48"/>
      <c r="E195" s="50"/>
      <c r="F195" s="5"/>
      <c r="G195" s="5"/>
      <c r="H195" s="5"/>
      <c r="I195" s="5"/>
      <c r="J195" s="5"/>
      <c r="K195" s="50"/>
      <c r="L195" s="50"/>
      <c r="M195" s="50"/>
      <c r="N195" s="50"/>
      <c r="O195" s="50"/>
      <c r="P195" s="50"/>
      <c r="Q195" s="50"/>
      <c r="R195" s="50"/>
      <c r="S195" s="50"/>
      <c r="T195" s="50"/>
      <c r="U195" s="50"/>
      <c r="V195" s="50"/>
      <c r="W195" s="50"/>
      <c r="X195" s="50"/>
      <c r="Y195" s="50"/>
      <c r="Z195" s="50"/>
      <c r="AA195" s="50"/>
      <c r="AB195" s="50"/>
    </row>
    <row r="196" customFormat="false" ht="15.75" hidden="false" customHeight="false" outlineLevel="0" collapsed="false">
      <c r="A196" s="50"/>
      <c r="B196" s="50"/>
      <c r="C196" s="5"/>
      <c r="D196" s="48"/>
      <c r="E196" s="50"/>
      <c r="F196" s="5"/>
      <c r="G196" s="5"/>
      <c r="H196" s="5"/>
      <c r="I196" s="5"/>
      <c r="J196" s="5"/>
      <c r="K196" s="50"/>
      <c r="L196" s="50"/>
      <c r="M196" s="50"/>
      <c r="N196" s="50"/>
      <c r="O196" s="50"/>
      <c r="P196" s="50"/>
      <c r="Q196" s="50"/>
      <c r="R196" s="50"/>
      <c r="S196" s="50"/>
      <c r="T196" s="50"/>
      <c r="U196" s="50"/>
      <c r="V196" s="50"/>
      <c r="W196" s="50"/>
      <c r="X196" s="50"/>
      <c r="Y196" s="50"/>
      <c r="Z196" s="50"/>
      <c r="AA196" s="50"/>
      <c r="AB196" s="50"/>
    </row>
    <row r="197" customFormat="false" ht="15.75" hidden="false" customHeight="false" outlineLevel="0" collapsed="false">
      <c r="A197" s="50"/>
      <c r="B197" s="50"/>
      <c r="C197" s="5"/>
      <c r="D197" s="48"/>
      <c r="E197" s="50"/>
      <c r="F197" s="5"/>
      <c r="G197" s="5"/>
      <c r="H197" s="5"/>
      <c r="I197" s="5"/>
      <c r="J197" s="5"/>
      <c r="K197" s="50"/>
      <c r="L197" s="50"/>
      <c r="M197" s="50"/>
      <c r="N197" s="50"/>
      <c r="O197" s="50"/>
      <c r="P197" s="50"/>
      <c r="Q197" s="50"/>
      <c r="R197" s="50"/>
      <c r="S197" s="50"/>
      <c r="T197" s="50"/>
      <c r="U197" s="50"/>
      <c r="V197" s="50"/>
      <c r="W197" s="50"/>
      <c r="X197" s="50"/>
      <c r="Y197" s="50"/>
      <c r="Z197" s="50"/>
      <c r="AA197" s="50"/>
      <c r="AB197" s="50"/>
    </row>
    <row r="198" customFormat="false" ht="15.75" hidden="false" customHeight="false" outlineLevel="0" collapsed="false">
      <c r="A198" s="50"/>
      <c r="B198" s="50"/>
      <c r="C198" s="5"/>
      <c r="D198" s="48"/>
      <c r="E198" s="50"/>
      <c r="F198" s="5"/>
      <c r="G198" s="5"/>
      <c r="H198" s="5"/>
      <c r="I198" s="5"/>
      <c r="J198" s="5"/>
      <c r="K198" s="50"/>
      <c r="L198" s="50"/>
      <c r="M198" s="50"/>
      <c r="N198" s="50"/>
      <c r="O198" s="50"/>
      <c r="P198" s="50"/>
      <c r="Q198" s="50"/>
      <c r="R198" s="50"/>
      <c r="S198" s="50"/>
      <c r="T198" s="50"/>
      <c r="U198" s="50"/>
      <c r="V198" s="50"/>
      <c r="W198" s="50"/>
      <c r="X198" s="50"/>
      <c r="Y198" s="50"/>
      <c r="Z198" s="50"/>
      <c r="AA198" s="50"/>
      <c r="AB198" s="50"/>
    </row>
    <row r="199" customFormat="false" ht="15.75" hidden="false" customHeight="false" outlineLevel="0" collapsed="false">
      <c r="A199" s="50"/>
      <c r="B199" s="50"/>
      <c r="C199" s="5"/>
      <c r="D199" s="48"/>
      <c r="E199" s="50"/>
      <c r="F199" s="5"/>
      <c r="G199" s="5"/>
      <c r="H199" s="5"/>
      <c r="I199" s="5"/>
      <c r="J199" s="5"/>
      <c r="K199" s="50"/>
      <c r="L199" s="50"/>
      <c r="M199" s="50"/>
      <c r="N199" s="50"/>
      <c r="O199" s="50"/>
      <c r="P199" s="50"/>
      <c r="Q199" s="50"/>
      <c r="R199" s="50"/>
      <c r="S199" s="50"/>
      <c r="T199" s="50"/>
      <c r="U199" s="50"/>
      <c r="V199" s="50"/>
      <c r="W199" s="50"/>
      <c r="X199" s="50"/>
      <c r="Y199" s="50"/>
      <c r="Z199" s="50"/>
      <c r="AA199" s="50"/>
      <c r="AB199" s="50"/>
    </row>
    <row r="200" customFormat="false" ht="15.75" hidden="false" customHeight="false" outlineLevel="0" collapsed="false">
      <c r="A200" s="50"/>
      <c r="B200" s="50"/>
      <c r="C200" s="5"/>
      <c r="D200" s="48"/>
      <c r="E200" s="50"/>
      <c r="F200" s="5"/>
      <c r="G200" s="5"/>
      <c r="H200" s="5"/>
      <c r="I200" s="5"/>
      <c r="J200" s="5"/>
      <c r="K200" s="50"/>
      <c r="L200" s="50"/>
      <c r="M200" s="50"/>
      <c r="N200" s="50"/>
      <c r="O200" s="50"/>
      <c r="P200" s="50"/>
      <c r="Q200" s="50"/>
      <c r="R200" s="50"/>
      <c r="S200" s="50"/>
      <c r="T200" s="50"/>
      <c r="U200" s="50"/>
      <c r="V200" s="50"/>
      <c r="W200" s="50"/>
      <c r="X200" s="50"/>
      <c r="Y200" s="50"/>
      <c r="Z200" s="50"/>
      <c r="AA200" s="50"/>
      <c r="AB200" s="50"/>
    </row>
    <row r="201" customFormat="false" ht="15.75" hidden="false" customHeight="false" outlineLevel="0" collapsed="false">
      <c r="A201" s="50"/>
      <c r="B201" s="50"/>
      <c r="C201" s="5"/>
      <c r="D201" s="48"/>
      <c r="E201" s="50"/>
      <c r="F201" s="5"/>
      <c r="G201" s="5"/>
      <c r="H201" s="5"/>
      <c r="I201" s="5"/>
      <c r="J201" s="5"/>
      <c r="K201" s="50"/>
      <c r="L201" s="50"/>
      <c r="M201" s="50"/>
      <c r="N201" s="50"/>
      <c r="O201" s="50"/>
      <c r="P201" s="50"/>
      <c r="Q201" s="50"/>
      <c r="R201" s="50"/>
      <c r="S201" s="50"/>
      <c r="T201" s="50"/>
      <c r="U201" s="50"/>
      <c r="V201" s="50"/>
      <c r="W201" s="50"/>
      <c r="X201" s="50"/>
      <c r="Y201" s="50"/>
      <c r="Z201" s="50"/>
      <c r="AA201" s="50"/>
      <c r="AB201" s="50"/>
    </row>
    <row r="202" customFormat="false" ht="15.75" hidden="false" customHeight="false" outlineLevel="0" collapsed="false">
      <c r="A202" s="50"/>
      <c r="B202" s="50"/>
      <c r="C202" s="5"/>
      <c r="D202" s="48"/>
      <c r="E202" s="50"/>
      <c r="F202" s="5"/>
      <c r="G202" s="5"/>
      <c r="H202" s="5"/>
      <c r="I202" s="5"/>
      <c r="J202" s="5"/>
      <c r="K202" s="50"/>
      <c r="L202" s="50"/>
      <c r="M202" s="50"/>
      <c r="N202" s="50"/>
      <c r="O202" s="50"/>
      <c r="P202" s="50"/>
      <c r="Q202" s="50"/>
      <c r="R202" s="50"/>
      <c r="S202" s="50"/>
      <c r="T202" s="50"/>
      <c r="U202" s="50"/>
      <c r="V202" s="50"/>
      <c r="W202" s="50"/>
      <c r="X202" s="50"/>
      <c r="Y202" s="50"/>
      <c r="Z202" s="50"/>
      <c r="AA202" s="50"/>
      <c r="AB202" s="50"/>
    </row>
    <row r="203" customFormat="false" ht="15.75" hidden="false" customHeight="false" outlineLevel="0" collapsed="false">
      <c r="A203" s="50"/>
      <c r="B203" s="50"/>
      <c r="C203" s="5"/>
      <c r="D203" s="48"/>
      <c r="E203" s="50"/>
      <c r="F203" s="5"/>
      <c r="G203" s="5"/>
      <c r="H203" s="5"/>
      <c r="I203" s="5"/>
      <c r="J203" s="5"/>
      <c r="K203" s="50"/>
      <c r="L203" s="50"/>
      <c r="M203" s="50"/>
      <c r="N203" s="50"/>
      <c r="O203" s="50"/>
      <c r="P203" s="50"/>
      <c r="Q203" s="50"/>
      <c r="R203" s="50"/>
      <c r="S203" s="50"/>
      <c r="T203" s="50"/>
      <c r="U203" s="50"/>
      <c r="V203" s="50"/>
      <c r="W203" s="50"/>
      <c r="X203" s="50"/>
      <c r="Y203" s="50"/>
      <c r="Z203" s="50"/>
      <c r="AA203" s="50"/>
      <c r="AB203" s="50"/>
    </row>
    <row r="204" customFormat="false" ht="15.75" hidden="false" customHeight="false" outlineLevel="0" collapsed="false">
      <c r="A204" s="50"/>
      <c r="B204" s="50"/>
      <c r="C204" s="5"/>
      <c r="D204" s="48"/>
      <c r="E204" s="50"/>
      <c r="F204" s="5"/>
      <c r="G204" s="5"/>
      <c r="H204" s="5"/>
      <c r="I204" s="5"/>
      <c r="J204" s="5"/>
      <c r="K204" s="50"/>
      <c r="L204" s="50"/>
      <c r="M204" s="50"/>
      <c r="N204" s="50"/>
      <c r="O204" s="50"/>
      <c r="P204" s="50"/>
      <c r="Q204" s="50"/>
      <c r="R204" s="50"/>
      <c r="S204" s="50"/>
      <c r="T204" s="50"/>
      <c r="U204" s="50"/>
      <c r="V204" s="50"/>
      <c r="W204" s="50"/>
      <c r="X204" s="50"/>
      <c r="Y204" s="50"/>
      <c r="Z204" s="50"/>
      <c r="AA204" s="50"/>
      <c r="AB204" s="50"/>
    </row>
    <row r="205" customFormat="false" ht="15.75" hidden="false" customHeight="false" outlineLevel="0" collapsed="false">
      <c r="A205" s="50"/>
      <c r="B205" s="50"/>
      <c r="C205" s="5"/>
      <c r="D205" s="48"/>
      <c r="E205" s="50"/>
      <c r="F205" s="5"/>
      <c r="G205" s="5"/>
      <c r="H205" s="5"/>
      <c r="I205" s="5"/>
      <c r="J205" s="5"/>
      <c r="K205" s="50"/>
      <c r="L205" s="50"/>
      <c r="M205" s="50"/>
      <c r="N205" s="50"/>
      <c r="O205" s="50"/>
      <c r="P205" s="50"/>
      <c r="Q205" s="50"/>
      <c r="R205" s="50"/>
      <c r="S205" s="50"/>
      <c r="T205" s="50"/>
      <c r="U205" s="50"/>
      <c r="V205" s="50"/>
      <c r="W205" s="50"/>
      <c r="X205" s="50"/>
      <c r="Y205" s="50"/>
      <c r="Z205" s="50"/>
      <c r="AA205" s="50"/>
      <c r="AB205" s="50"/>
    </row>
    <row r="206" customFormat="false" ht="15.75" hidden="false" customHeight="false" outlineLevel="0" collapsed="false">
      <c r="A206" s="50"/>
      <c r="B206" s="50"/>
      <c r="C206" s="5"/>
      <c r="D206" s="48"/>
      <c r="E206" s="50"/>
      <c r="F206" s="5"/>
      <c r="G206" s="5"/>
      <c r="H206" s="5"/>
      <c r="I206" s="5"/>
      <c r="J206" s="5"/>
      <c r="K206" s="50"/>
      <c r="L206" s="50"/>
      <c r="M206" s="50"/>
      <c r="N206" s="50"/>
      <c r="O206" s="50"/>
      <c r="P206" s="50"/>
      <c r="Q206" s="50"/>
      <c r="R206" s="50"/>
      <c r="S206" s="50"/>
      <c r="T206" s="50"/>
      <c r="U206" s="50"/>
      <c r="V206" s="50"/>
      <c r="W206" s="50"/>
      <c r="X206" s="50"/>
      <c r="Y206" s="50"/>
      <c r="Z206" s="50"/>
      <c r="AA206" s="50"/>
      <c r="AB206" s="50"/>
    </row>
    <row r="207" customFormat="false" ht="15.75" hidden="false" customHeight="false" outlineLevel="0" collapsed="false">
      <c r="A207" s="50"/>
      <c r="B207" s="50"/>
      <c r="C207" s="5"/>
      <c r="D207" s="48"/>
      <c r="E207" s="50"/>
      <c r="F207" s="5"/>
      <c r="G207" s="5"/>
      <c r="H207" s="5"/>
      <c r="I207" s="5"/>
      <c r="J207" s="5"/>
      <c r="K207" s="50"/>
      <c r="L207" s="50"/>
      <c r="M207" s="50"/>
      <c r="N207" s="50"/>
      <c r="O207" s="50"/>
      <c r="P207" s="50"/>
      <c r="Q207" s="50"/>
      <c r="R207" s="50"/>
      <c r="S207" s="50"/>
      <c r="T207" s="50"/>
      <c r="U207" s="50"/>
      <c r="V207" s="50"/>
      <c r="W207" s="50"/>
      <c r="X207" s="50"/>
      <c r="Y207" s="50"/>
      <c r="Z207" s="50"/>
      <c r="AA207" s="50"/>
      <c r="AB207" s="50"/>
    </row>
    <row r="208" customFormat="false" ht="15.75" hidden="false" customHeight="false" outlineLevel="0" collapsed="false">
      <c r="A208" s="50"/>
      <c r="B208" s="50"/>
      <c r="C208" s="5"/>
      <c r="D208" s="48"/>
      <c r="E208" s="50"/>
      <c r="F208" s="5"/>
      <c r="G208" s="5"/>
      <c r="H208" s="5"/>
      <c r="I208" s="5"/>
      <c r="J208" s="5"/>
      <c r="K208" s="50"/>
      <c r="L208" s="50"/>
      <c r="M208" s="50"/>
      <c r="N208" s="50"/>
      <c r="O208" s="50"/>
      <c r="P208" s="50"/>
      <c r="Q208" s="50"/>
      <c r="R208" s="50"/>
      <c r="S208" s="50"/>
      <c r="T208" s="50"/>
      <c r="U208" s="50"/>
      <c r="V208" s="50"/>
      <c r="W208" s="50"/>
      <c r="X208" s="50"/>
      <c r="Y208" s="50"/>
      <c r="Z208" s="50"/>
      <c r="AA208" s="50"/>
      <c r="AB208" s="50"/>
    </row>
    <row r="209" customFormat="false" ht="15.75" hidden="false" customHeight="false" outlineLevel="0" collapsed="false">
      <c r="A209" s="50"/>
      <c r="B209" s="50"/>
      <c r="C209" s="5"/>
      <c r="D209" s="48"/>
      <c r="E209" s="50"/>
      <c r="F209" s="5"/>
      <c r="G209" s="5"/>
      <c r="H209" s="5"/>
      <c r="I209" s="5"/>
      <c r="J209" s="5"/>
      <c r="K209" s="50"/>
      <c r="L209" s="50"/>
      <c r="M209" s="50"/>
      <c r="N209" s="50"/>
      <c r="O209" s="50"/>
      <c r="P209" s="50"/>
      <c r="Q209" s="50"/>
      <c r="R209" s="50"/>
      <c r="S209" s="50"/>
      <c r="T209" s="50"/>
      <c r="U209" s="50"/>
      <c r="V209" s="50"/>
      <c r="W209" s="50"/>
      <c r="X209" s="50"/>
      <c r="Y209" s="50"/>
      <c r="Z209" s="50"/>
      <c r="AA209" s="50"/>
      <c r="AB209" s="50"/>
    </row>
    <row r="210" customFormat="false" ht="15.75" hidden="false" customHeight="false" outlineLevel="0" collapsed="false">
      <c r="A210" s="50"/>
      <c r="B210" s="50"/>
      <c r="C210" s="5"/>
      <c r="D210" s="48"/>
      <c r="E210" s="50"/>
      <c r="F210" s="5"/>
      <c r="G210" s="5"/>
      <c r="H210" s="5"/>
      <c r="I210" s="5"/>
      <c r="J210" s="5"/>
      <c r="K210" s="50"/>
      <c r="L210" s="50"/>
      <c r="M210" s="50"/>
      <c r="N210" s="50"/>
      <c r="O210" s="50"/>
      <c r="P210" s="50"/>
      <c r="Q210" s="50"/>
      <c r="R210" s="50"/>
      <c r="S210" s="50"/>
      <c r="T210" s="50"/>
      <c r="U210" s="50"/>
      <c r="V210" s="50"/>
      <c r="W210" s="50"/>
      <c r="X210" s="50"/>
      <c r="Y210" s="50"/>
      <c r="Z210" s="50"/>
      <c r="AA210" s="50"/>
      <c r="AB210" s="50"/>
    </row>
    <row r="211" customFormat="false" ht="15.75" hidden="false" customHeight="false" outlineLevel="0" collapsed="false">
      <c r="A211" s="50"/>
      <c r="B211" s="50"/>
      <c r="C211" s="5"/>
      <c r="D211" s="48"/>
      <c r="E211" s="50"/>
      <c r="F211" s="5"/>
      <c r="G211" s="5"/>
      <c r="H211" s="5"/>
      <c r="I211" s="5"/>
      <c r="J211" s="5"/>
      <c r="K211" s="50"/>
      <c r="L211" s="50"/>
      <c r="M211" s="50"/>
      <c r="N211" s="50"/>
      <c r="O211" s="50"/>
      <c r="P211" s="50"/>
      <c r="Q211" s="50"/>
      <c r="R211" s="50"/>
      <c r="S211" s="50"/>
      <c r="T211" s="50"/>
      <c r="U211" s="50"/>
      <c r="V211" s="50"/>
      <c r="W211" s="50"/>
      <c r="X211" s="50"/>
      <c r="Y211" s="50"/>
      <c r="Z211" s="50"/>
      <c r="AA211" s="50"/>
      <c r="AB211" s="50"/>
    </row>
    <row r="212" customFormat="false" ht="15.75" hidden="false" customHeight="false" outlineLevel="0" collapsed="false">
      <c r="A212" s="50"/>
      <c r="B212" s="50"/>
      <c r="C212" s="5"/>
      <c r="D212" s="48"/>
      <c r="E212" s="50"/>
      <c r="F212" s="5"/>
      <c r="G212" s="5"/>
      <c r="H212" s="5"/>
      <c r="I212" s="5"/>
      <c r="J212" s="5"/>
      <c r="K212" s="50"/>
      <c r="L212" s="50"/>
      <c r="M212" s="50"/>
      <c r="N212" s="50"/>
      <c r="O212" s="50"/>
      <c r="P212" s="50"/>
      <c r="Q212" s="50"/>
      <c r="R212" s="50"/>
      <c r="S212" s="50"/>
      <c r="T212" s="50"/>
      <c r="U212" s="50"/>
      <c r="V212" s="50"/>
      <c r="W212" s="50"/>
      <c r="X212" s="50"/>
      <c r="Y212" s="50"/>
      <c r="Z212" s="50"/>
      <c r="AA212" s="50"/>
      <c r="AB212" s="50"/>
    </row>
    <row r="213" customFormat="false" ht="15.75" hidden="false" customHeight="false" outlineLevel="0" collapsed="false">
      <c r="A213" s="50"/>
      <c r="B213" s="50"/>
      <c r="C213" s="5"/>
      <c r="D213" s="48"/>
      <c r="E213" s="50"/>
      <c r="F213" s="5"/>
      <c r="G213" s="5"/>
      <c r="H213" s="5"/>
      <c r="I213" s="5"/>
      <c r="J213" s="5"/>
      <c r="K213" s="50"/>
      <c r="L213" s="50"/>
      <c r="M213" s="50"/>
      <c r="N213" s="50"/>
      <c r="O213" s="50"/>
      <c r="P213" s="50"/>
      <c r="Q213" s="50"/>
      <c r="R213" s="50"/>
      <c r="S213" s="50"/>
      <c r="T213" s="50"/>
      <c r="U213" s="50"/>
      <c r="V213" s="50"/>
      <c r="W213" s="50"/>
      <c r="X213" s="50"/>
      <c r="Y213" s="50"/>
      <c r="Z213" s="50"/>
      <c r="AA213" s="50"/>
      <c r="AB213" s="50"/>
    </row>
    <row r="214" customFormat="false" ht="15.75" hidden="false" customHeight="false" outlineLevel="0" collapsed="false">
      <c r="A214" s="50"/>
      <c r="B214" s="50"/>
      <c r="C214" s="5"/>
      <c r="D214" s="48"/>
      <c r="E214" s="50"/>
      <c r="F214" s="5"/>
      <c r="G214" s="5"/>
      <c r="H214" s="5"/>
      <c r="I214" s="5"/>
      <c r="J214" s="5"/>
      <c r="K214" s="50"/>
      <c r="L214" s="50"/>
      <c r="M214" s="50"/>
      <c r="N214" s="50"/>
      <c r="O214" s="50"/>
      <c r="P214" s="50"/>
      <c r="Q214" s="50"/>
      <c r="R214" s="50"/>
      <c r="S214" s="50"/>
      <c r="T214" s="50"/>
      <c r="U214" s="50"/>
      <c r="V214" s="50"/>
      <c r="W214" s="50"/>
      <c r="X214" s="50"/>
      <c r="Y214" s="50"/>
      <c r="Z214" s="50"/>
      <c r="AA214" s="50"/>
      <c r="AB214" s="50"/>
    </row>
    <row r="215" customFormat="false" ht="15.75" hidden="false" customHeight="false" outlineLevel="0" collapsed="false">
      <c r="A215" s="50"/>
      <c r="B215" s="50"/>
      <c r="C215" s="5"/>
      <c r="D215" s="48"/>
      <c r="E215" s="50"/>
      <c r="F215" s="5"/>
      <c r="G215" s="5"/>
      <c r="H215" s="5"/>
      <c r="I215" s="5"/>
      <c r="J215" s="5"/>
      <c r="K215" s="50"/>
      <c r="L215" s="50"/>
      <c r="M215" s="50"/>
      <c r="N215" s="50"/>
      <c r="O215" s="50"/>
      <c r="P215" s="50"/>
      <c r="Q215" s="50"/>
      <c r="R215" s="50"/>
      <c r="S215" s="50"/>
      <c r="T215" s="50"/>
      <c r="U215" s="50"/>
      <c r="V215" s="50"/>
      <c r="W215" s="50"/>
      <c r="X215" s="50"/>
      <c r="Y215" s="50"/>
      <c r="Z215" s="50"/>
      <c r="AA215" s="50"/>
      <c r="AB215" s="50"/>
    </row>
    <row r="216" customFormat="false" ht="15.75" hidden="false" customHeight="false" outlineLevel="0" collapsed="false">
      <c r="A216" s="50"/>
      <c r="B216" s="50"/>
      <c r="C216" s="5"/>
      <c r="D216" s="48"/>
      <c r="E216" s="50"/>
      <c r="F216" s="5"/>
      <c r="G216" s="5"/>
      <c r="H216" s="5"/>
      <c r="I216" s="5"/>
      <c r="J216" s="5"/>
      <c r="K216" s="50"/>
      <c r="L216" s="50"/>
      <c r="M216" s="50"/>
      <c r="N216" s="50"/>
      <c r="O216" s="50"/>
      <c r="P216" s="50"/>
      <c r="Q216" s="50"/>
      <c r="R216" s="50"/>
      <c r="S216" s="50"/>
      <c r="T216" s="50"/>
      <c r="U216" s="50"/>
      <c r="V216" s="50"/>
      <c r="W216" s="50"/>
      <c r="X216" s="50"/>
      <c r="Y216" s="50"/>
      <c r="Z216" s="50"/>
      <c r="AA216" s="50"/>
      <c r="AB216" s="50"/>
    </row>
    <row r="217" customFormat="false" ht="15.75" hidden="false" customHeight="false" outlineLevel="0" collapsed="false">
      <c r="A217" s="50"/>
      <c r="B217" s="50"/>
      <c r="C217" s="5"/>
      <c r="D217" s="48"/>
      <c r="E217" s="50"/>
      <c r="F217" s="5"/>
      <c r="G217" s="5"/>
      <c r="H217" s="5"/>
      <c r="I217" s="5"/>
      <c r="J217" s="5"/>
      <c r="K217" s="50"/>
      <c r="L217" s="50"/>
      <c r="M217" s="50"/>
      <c r="N217" s="50"/>
      <c r="O217" s="50"/>
      <c r="P217" s="50"/>
      <c r="Q217" s="50"/>
      <c r="R217" s="50"/>
      <c r="S217" s="50"/>
      <c r="T217" s="50"/>
      <c r="U217" s="50"/>
      <c r="V217" s="50"/>
      <c r="W217" s="50"/>
      <c r="X217" s="50"/>
      <c r="Y217" s="50"/>
      <c r="Z217" s="50"/>
      <c r="AA217" s="50"/>
      <c r="AB217" s="50"/>
    </row>
    <row r="218" customFormat="false" ht="15.75" hidden="false" customHeight="false" outlineLevel="0" collapsed="false">
      <c r="A218" s="50"/>
      <c r="B218" s="50"/>
      <c r="C218" s="5"/>
      <c r="D218" s="48"/>
      <c r="E218" s="50"/>
      <c r="F218" s="5"/>
      <c r="G218" s="5"/>
      <c r="H218" s="5"/>
      <c r="I218" s="5"/>
      <c r="J218" s="5"/>
      <c r="K218" s="50"/>
      <c r="L218" s="50"/>
      <c r="M218" s="50"/>
      <c r="N218" s="50"/>
      <c r="O218" s="50"/>
      <c r="P218" s="50"/>
      <c r="Q218" s="50"/>
      <c r="R218" s="50"/>
      <c r="S218" s="50"/>
      <c r="T218" s="50"/>
      <c r="U218" s="50"/>
      <c r="V218" s="50"/>
      <c r="W218" s="50"/>
      <c r="X218" s="50"/>
      <c r="Y218" s="50"/>
      <c r="Z218" s="50"/>
      <c r="AA218" s="50"/>
      <c r="AB218" s="50"/>
    </row>
    <row r="219" customFormat="false" ht="15.75" hidden="false" customHeight="false" outlineLevel="0" collapsed="false">
      <c r="A219" s="50"/>
      <c r="B219" s="50"/>
      <c r="C219" s="5"/>
      <c r="D219" s="48"/>
      <c r="E219" s="50"/>
      <c r="F219" s="5"/>
      <c r="G219" s="5"/>
      <c r="H219" s="5"/>
      <c r="I219" s="5"/>
      <c r="J219" s="5"/>
      <c r="K219" s="50"/>
      <c r="L219" s="50"/>
      <c r="M219" s="50"/>
      <c r="N219" s="50"/>
      <c r="O219" s="50"/>
      <c r="P219" s="50"/>
      <c r="Q219" s="50"/>
      <c r="R219" s="50"/>
      <c r="S219" s="50"/>
      <c r="T219" s="50"/>
      <c r="U219" s="50"/>
      <c r="V219" s="50"/>
      <c r="W219" s="50"/>
      <c r="X219" s="50"/>
      <c r="Y219" s="50"/>
      <c r="Z219" s="50"/>
      <c r="AA219" s="50"/>
      <c r="AB219" s="50"/>
    </row>
    <row r="220" customFormat="false" ht="15.75" hidden="false" customHeight="false" outlineLevel="0" collapsed="false">
      <c r="A220" s="50"/>
      <c r="B220" s="50"/>
      <c r="C220" s="5"/>
      <c r="D220" s="48"/>
      <c r="E220" s="50"/>
      <c r="F220" s="5"/>
      <c r="G220" s="5"/>
      <c r="H220" s="5"/>
      <c r="I220" s="5"/>
      <c r="J220" s="5"/>
      <c r="K220" s="50"/>
      <c r="L220" s="50"/>
      <c r="M220" s="50"/>
      <c r="N220" s="50"/>
      <c r="O220" s="50"/>
      <c r="P220" s="50"/>
      <c r="Q220" s="50"/>
      <c r="R220" s="50"/>
      <c r="S220" s="50"/>
      <c r="T220" s="50"/>
      <c r="U220" s="50"/>
      <c r="V220" s="50"/>
      <c r="W220" s="50"/>
      <c r="X220" s="50"/>
      <c r="Y220" s="50"/>
      <c r="Z220" s="50"/>
      <c r="AA220" s="50"/>
      <c r="AB220" s="50"/>
    </row>
    <row r="221" customFormat="false" ht="15.75" hidden="false" customHeight="false" outlineLevel="0" collapsed="false">
      <c r="A221" s="50"/>
      <c r="B221" s="50"/>
      <c r="C221" s="5"/>
      <c r="D221" s="48"/>
      <c r="E221" s="50"/>
      <c r="F221" s="5"/>
      <c r="G221" s="5"/>
      <c r="H221" s="5"/>
      <c r="I221" s="5"/>
      <c r="J221" s="5"/>
      <c r="K221" s="50"/>
      <c r="L221" s="50"/>
      <c r="M221" s="50"/>
      <c r="N221" s="50"/>
      <c r="O221" s="50"/>
      <c r="P221" s="50"/>
      <c r="Q221" s="50"/>
      <c r="R221" s="50"/>
      <c r="S221" s="50"/>
      <c r="T221" s="50"/>
      <c r="U221" s="50"/>
      <c r="V221" s="50"/>
      <c r="W221" s="50"/>
      <c r="X221" s="50"/>
      <c r="Y221" s="50"/>
      <c r="Z221" s="50"/>
      <c r="AA221" s="50"/>
      <c r="AB221" s="50"/>
    </row>
    <row r="222" customFormat="false" ht="15.75" hidden="false" customHeight="false" outlineLevel="0" collapsed="false">
      <c r="A222" s="50"/>
      <c r="B222" s="50"/>
      <c r="C222" s="5"/>
      <c r="D222" s="48"/>
      <c r="E222" s="50"/>
      <c r="F222" s="5"/>
      <c r="G222" s="5"/>
      <c r="H222" s="5"/>
      <c r="I222" s="5"/>
      <c r="J222" s="5"/>
      <c r="K222" s="50"/>
      <c r="L222" s="50"/>
      <c r="M222" s="50"/>
      <c r="N222" s="50"/>
      <c r="O222" s="50"/>
      <c r="P222" s="50"/>
      <c r="Q222" s="50"/>
      <c r="R222" s="50"/>
      <c r="S222" s="50"/>
      <c r="T222" s="50"/>
      <c r="U222" s="50"/>
      <c r="V222" s="50"/>
      <c r="W222" s="50"/>
      <c r="X222" s="50"/>
      <c r="Y222" s="50"/>
      <c r="Z222" s="50"/>
      <c r="AA222" s="50"/>
      <c r="AB222" s="50"/>
    </row>
    <row r="223" customFormat="false" ht="15.75" hidden="false" customHeight="false" outlineLevel="0" collapsed="false">
      <c r="A223" s="50"/>
      <c r="B223" s="50"/>
      <c r="C223" s="5"/>
      <c r="D223" s="48"/>
      <c r="E223" s="50"/>
      <c r="F223" s="5"/>
      <c r="G223" s="5"/>
      <c r="H223" s="5"/>
      <c r="I223" s="5"/>
      <c r="J223" s="5"/>
      <c r="K223" s="50"/>
      <c r="L223" s="50"/>
      <c r="M223" s="50"/>
      <c r="N223" s="50"/>
      <c r="O223" s="50"/>
      <c r="P223" s="50"/>
      <c r="Q223" s="50"/>
      <c r="R223" s="50"/>
      <c r="S223" s="50"/>
      <c r="T223" s="50"/>
      <c r="U223" s="50"/>
      <c r="V223" s="50"/>
      <c r="W223" s="50"/>
      <c r="X223" s="50"/>
      <c r="Y223" s="50"/>
      <c r="Z223" s="50"/>
      <c r="AA223" s="50"/>
      <c r="AB223" s="50"/>
    </row>
    <row r="224" customFormat="false" ht="15.75" hidden="false" customHeight="false" outlineLevel="0" collapsed="false">
      <c r="A224" s="50"/>
      <c r="B224" s="50"/>
      <c r="C224" s="5"/>
      <c r="D224" s="48"/>
      <c r="E224" s="50"/>
      <c r="F224" s="5"/>
      <c r="G224" s="5"/>
      <c r="H224" s="5"/>
      <c r="I224" s="5"/>
      <c r="J224" s="5"/>
      <c r="K224" s="50"/>
      <c r="L224" s="50"/>
      <c r="M224" s="50"/>
      <c r="N224" s="50"/>
      <c r="O224" s="50"/>
      <c r="P224" s="50"/>
      <c r="Q224" s="50"/>
      <c r="R224" s="50"/>
      <c r="S224" s="50"/>
      <c r="T224" s="50"/>
      <c r="U224" s="50"/>
      <c r="V224" s="50"/>
      <c r="W224" s="50"/>
      <c r="X224" s="50"/>
      <c r="Y224" s="50"/>
      <c r="Z224" s="50"/>
      <c r="AA224" s="50"/>
      <c r="AB224" s="50"/>
    </row>
    <row r="225" customFormat="false" ht="15.75" hidden="false" customHeight="false" outlineLevel="0" collapsed="false">
      <c r="A225" s="50"/>
      <c r="B225" s="50"/>
      <c r="C225" s="5"/>
      <c r="D225" s="48"/>
      <c r="E225" s="50"/>
      <c r="F225" s="5"/>
      <c r="G225" s="5"/>
      <c r="H225" s="5"/>
      <c r="I225" s="5"/>
      <c r="J225" s="5"/>
      <c r="K225" s="50"/>
      <c r="L225" s="50"/>
      <c r="M225" s="50"/>
      <c r="N225" s="50"/>
      <c r="O225" s="50"/>
      <c r="P225" s="50"/>
      <c r="Q225" s="50"/>
      <c r="R225" s="50"/>
      <c r="S225" s="50"/>
      <c r="T225" s="50"/>
      <c r="U225" s="50"/>
      <c r="V225" s="50"/>
      <c r="W225" s="50"/>
      <c r="X225" s="50"/>
      <c r="Y225" s="50"/>
      <c r="Z225" s="50"/>
      <c r="AA225" s="50"/>
      <c r="AB225" s="50"/>
    </row>
    <row r="226" customFormat="false" ht="15.75" hidden="false" customHeight="false" outlineLevel="0" collapsed="false">
      <c r="A226" s="50"/>
      <c r="B226" s="50"/>
      <c r="C226" s="5"/>
      <c r="D226" s="48"/>
      <c r="E226" s="50"/>
      <c r="F226" s="5"/>
      <c r="G226" s="5"/>
      <c r="H226" s="5"/>
      <c r="I226" s="5"/>
      <c r="J226" s="5"/>
      <c r="K226" s="50"/>
      <c r="L226" s="50"/>
      <c r="M226" s="50"/>
      <c r="N226" s="50"/>
      <c r="O226" s="50"/>
      <c r="P226" s="50"/>
      <c r="Q226" s="50"/>
      <c r="R226" s="50"/>
      <c r="S226" s="50"/>
      <c r="T226" s="50"/>
      <c r="U226" s="50"/>
      <c r="V226" s="50"/>
      <c r="W226" s="50"/>
      <c r="X226" s="50"/>
      <c r="Y226" s="50"/>
      <c r="Z226" s="50"/>
      <c r="AA226" s="50"/>
      <c r="AB226" s="50"/>
    </row>
    <row r="227" customFormat="false" ht="15.75" hidden="false" customHeight="false" outlineLevel="0" collapsed="false">
      <c r="A227" s="50"/>
      <c r="B227" s="50"/>
      <c r="C227" s="5"/>
      <c r="D227" s="48"/>
      <c r="E227" s="50"/>
      <c r="F227" s="5"/>
      <c r="G227" s="5"/>
      <c r="H227" s="5"/>
      <c r="I227" s="5"/>
      <c r="J227" s="5"/>
      <c r="K227" s="50"/>
      <c r="L227" s="50"/>
      <c r="M227" s="50"/>
      <c r="N227" s="50"/>
      <c r="O227" s="50"/>
      <c r="P227" s="50"/>
      <c r="Q227" s="50"/>
      <c r="R227" s="50"/>
      <c r="S227" s="50"/>
      <c r="T227" s="50"/>
      <c r="U227" s="50"/>
      <c r="V227" s="50"/>
      <c r="W227" s="50"/>
      <c r="X227" s="50"/>
      <c r="Y227" s="50"/>
      <c r="Z227" s="50"/>
      <c r="AA227" s="50"/>
      <c r="AB227" s="50"/>
    </row>
    <row r="228" customFormat="false" ht="15.75" hidden="false" customHeight="false" outlineLevel="0" collapsed="false">
      <c r="A228" s="50"/>
      <c r="B228" s="50"/>
      <c r="C228" s="5"/>
      <c r="D228" s="48"/>
      <c r="E228" s="50"/>
      <c r="F228" s="5"/>
      <c r="G228" s="5"/>
      <c r="H228" s="5"/>
      <c r="I228" s="5"/>
      <c r="J228" s="5"/>
      <c r="K228" s="50"/>
      <c r="L228" s="50"/>
      <c r="M228" s="50"/>
      <c r="N228" s="50"/>
      <c r="O228" s="50"/>
      <c r="P228" s="50"/>
      <c r="Q228" s="50"/>
      <c r="R228" s="50"/>
      <c r="S228" s="50"/>
      <c r="T228" s="50"/>
      <c r="U228" s="50"/>
      <c r="V228" s="50"/>
      <c r="W228" s="50"/>
      <c r="X228" s="50"/>
      <c r="Y228" s="50"/>
      <c r="Z228" s="50"/>
      <c r="AA228" s="50"/>
      <c r="AB228" s="50"/>
    </row>
    <row r="229" customFormat="false" ht="15.75" hidden="false" customHeight="false" outlineLevel="0" collapsed="false">
      <c r="A229" s="50"/>
      <c r="B229" s="50"/>
      <c r="C229" s="5"/>
      <c r="D229" s="48"/>
      <c r="E229" s="50"/>
      <c r="F229" s="5"/>
      <c r="G229" s="5"/>
      <c r="H229" s="5"/>
      <c r="I229" s="5"/>
      <c r="J229" s="5"/>
      <c r="K229" s="50"/>
      <c r="L229" s="50"/>
      <c r="M229" s="50"/>
      <c r="N229" s="50"/>
      <c r="O229" s="50"/>
      <c r="P229" s="50"/>
      <c r="Q229" s="50"/>
      <c r="R229" s="50"/>
      <c r="S229" s="50"/>
      <c r="T229" s="50"/>
      <c r="U229" s="50"/>
      <c r="V229" s="50"/>
      <c r="W229" s="50"/>
      <c r="X229" s="50"/>
      <c r="Y229" s="50"/>
      <c r="Z229" s="50"/>
      <c r="AA229" s="50"/>
      <c r="AB229" s="50"/>
    </row>
    <row r="230" customFormat="false" ht="15.75" hidden="false" customHeight="false" outlineLevel="0" collapsed="false">
      <c r="A230" s="50"/>
      <c r="B230" s="50"/>
      <c r="C230" s="5"/>
      <c r="D230" s="48"/>
      <c r="E230" s="50"/>
      <c r="F230" s="5"/>
      <c r="G230" s="5"/>
      <c r="H230" s="5"/>
      <c r="I230" s="5"/>
      <c r="J230" s="5"/>
      <c r="K230" s="50"/>
      <c r="L230" s="50"/>
      <c r="M230" s="50"/>
      <c r="N230" s="50"/>
      <c r="O230" s="50"/>
      <c r="P230" s="50"/>
      <c r="Q230" s="50"/>
      <c r="R230" s="50"/>
      <c r="S230" s="50"/>
      <c r="T230" s="50"/>
      <c r="U230" s="50"/>
      <c r="V230" s="50"/>
      <c r="W230" s="50"/>
      <c r="X230" s="50"/>
      <c r="Y230" s="50"/>
      <c r="Z230" s="50"/>
      <c r="AA230" s="50"/>
      <c r="AB230" s="50"/>
    </row>
    <row r="231" customFormat="false" ht="15.75" hidden="false" customHeight="false" outlineLevel="0" collapsed="false">
      <c r="A231" s="50"/>
      <c r="B231" s="50"/>
      <c r="C231" s="5"/>
      <c r="D231" s="48"/>
      <c r="E231" s="50"/>
      <c r="F231" s="5"/>
      <c r="G231" s="5"/>
      <c r="H231" s="5"/>
      <c r="I231" s="5"/>
      <c r="J231" s="5"/>
      <c r="K231" s="50"/>
      <c r="L231" s="50"/>
      <c r="M231" s="50"/>
      <c r="N231" s="50"/>
      <c r="O231" s="50"/>
      <c r="P231" s="50"/>
      <c r="Q231" s="50"/>
      <c r="R231" s="50"/>
      <c r="S231" s="50"/>
      <c r="T231" s="50"/>
      <c r="U231" s="50"/>
      <c r="V231" s="50"/>
      <c r="W231" s="50"/>
      <c r="X231" s="50"/>
      <c r="Y231" s="50"/>
      <c r="Z231" s="50"/>
      <c r="AA231" s="50"/>
      <c r="AB231" s="50"/>
    </row>
    <row r="232" customFormat="false" ht="15.75" hidden="false" customHeight="false" outlineLevel="0" collapsed="false">
      <c r="A232" s="50"/>
      <c r="B232" s="50"/>
      <c r="C232" s="5"/>
      <c r="D232" s="48"/>
      <c r="E232" s="50"/>
      <c r="F232" s="5"/>
      <c r="G232" s="5"/>
      <c r="H232" s="5"/>
      <c r="I232" s="5"/>
      <c r="J232" s="5"/>
      <c r="K232" s="50"/>
      <c r="L232" s="50"/>
      <c r="M232" s="50"/>
      <c r="N232" s="50"/>
      <c r="O232" s="50"/>
      <c r="P232" s="50"/>
      <c r="Q232" s="50"/>
      <c r="R232" s="50"/>
      <c r="S232" s="50"/>
      <c r="T232" s="50"/>
      <c r="U232" s="50"/>
      <c r="V232" s="50"/>
      <c r="W232" s="50"/>
      <c r="X232" s="50"/>
      <c r="Y232" s="50"/>
      <c r="Z232" s="50"/>
      <c r="AA232" s="50"/>
      <c r="AB232" s="50"/>
    </row>
    <row r="233" customFormat="false" ht="15.75" hidden="false" customHeight="false" outlineLevel="0" collapsed="false">
      <c r="A233" s="50"/>
      <c r="B233" s="50"/>
      <c r="C233" s="5"/>
      <c r="D233" s="48"/>
      <c r="E233" s="50"/>
      <c r="F233" s="5"/>
      <c r="G233" s="5"/>
      <c r="H233" s="5"/>
      <c r="I233" s="5"/>
      <c r="J233" s="5"/>
      <c r="K233" s="50"/>
      <c r="L233" s="50"/>
      <c r="M233" s="50"/>
      <c r="N233" s="50"/>
      <c r="O233" s="50"/>
      <c r="P233" s="50"/>
      <c r="Q233" s="50"/>
      <c r="R233" s="50"/>
      <c r="S233" s="50"/>
      <c r="T233" s="50"/>
      <c r="U233" s="50"/>
      <c r="V233" s="50"/>
      <c r="W233" s="50"/>
      <c r="X233" s="50"/>
      <c r="Y233" s="50"/>
      <c r="Z233" s="50"/>
      <c r="AA233" s="50"/>
      <c r="AB233" s="50"/>
    </row>
    <row r="234" customFormat="false" ht="15.75" hidden="false" customHeight="false" outlineLevel="0" collapsed="false">
      <c r="A234" s="50"/>
      <c r="B234" s="50"/>
      <c r="C234" s="5"/>
      <c r="D234" s="48"/>
      <c r="E234" s="50"/>
      <c r="F234" s="5"/>
      <c r="G234" s="5"/>
      <c r="H234" s="5"/>
      <c r="I234" s="5"/>
      <c r="J234" s="5"/>
      <c r="K234" s="50"/>
      <c r="L234" s="50"/>
      <c r="M234" s="50"/>
      <c r="N234" s="50"/>
      <c r="O234" s="50"/>
      <c r="P234" s="50"/>
      <c r="Q234" s="50"/>
      <c r="R234" s="50"/>
      <c r="S234" s="50"/>
      <c r="T234" s="50"/>
      <c r="U234" s="50"/>
      <c r="V234" s="50"/>
      <c r="W234" s="50"/>
      <c r="X234" s="50"/>
      <c r="Y234" s="50"/>
      <c r="Z234" s="50"/>
      <c r="AA234" s="50"/>
      <c r="AB234" s="50"/>
    </row>
    <row r="235" customFormat="false" ht="15.75" hidden="false" customHeight="false" outlineLevel="0" collapsed="false">
      <c r="A235" s="50"/>
      <c r="B235" s="50"/>
      <c r="C235" s="5"/>
      <c r="D235" s="48"/>
      <c r="E235" s="50"/>
      <c r="F235" s="5"/>
      <c r="G235" s="5"/>
      <c r="H235" s="5"/>
      <c r="I235" s="5"/>
      <c r="J235" s="5"/>
      <c r="K235" s="50"/>
      <c r="L235" s="50"/>
      <c r="M235" s="50"/>
      <c r="N235" s="50"/>
      <c r="O235" s="50"/>
      <c r="P235" s="50"/>
      <c r="Q235" s="50"/>
      <c r="R235" s="50"/>
      <c r="S235" s="50"/>
      <c r="T235" s="50"/>
      <c r="U235" s="50"/>
      <c r="V235" s="50"/>
      <c r="W235" s="50"/>
      <c r="X235" s="50"/>
      <c r="Y235" s="50"/>
      <c r="Z235" s="50"/>
      <c r="AA235" s="50"/>
      <c r="AB235" s="50"/>
    </row>
    <row r="236" customFormat="false" ht="15.75" hidden="false" customHeight="false" outlineLevel="0" collapsed="false">
      <c r="A236" s="50"/>
      <c r="B236" s="50"/>
      <c r="C236" s="5"/>
      <c r="D236" s="48"/>
      <c r="E236" s="50"/>
      <c r="F236" s="5"/>
      <c r="G236" s="5"/>
      <c r="H236" s="5"/>
      <c r="I236" s="5"/>
      <c r="J236" s="5"/>
      <c r="K236" s="50"/>
      <c r="L236" s="50"/>
      <c r="M236" s="50"/>
      <c r="N236" s="50"/>
      <c r="O236" s="50"/>
      <c r="P236" s="50"/>
      <c r="Q236" s="50"/>
      <c r="R236" s="50"/>
      <c r="S236" s="50"/>
      <c r="T236" s="50"/>
      <c r="U236" s="50"/>
      <c r="V236" s="50"/>
      <c r="W236" s="50"/>
      <c r="X236" s="50"/>
      <c r="Y236" s="50"/>
      <c r="Z236" s="50"/>
      <c r="AA236" s="50"/>
      <c r="AB236" s="50"/>
    </row>
    <row r="237" customFormat="false" ht="15.75" hidden="false" customHeight="false" outlineLevel="0" collapsed="false">
      <c r="A237" s="50"/>
      <c r="B237" s="50"/>
      <c r="C237" s="5"/>
      <c r="D237" s="48"/>
      <c r="E237" s="50"/>
      <c r="F237" s="5"/>
      <c r="G237" s="5"/>
      <c r="H237" s="5"/>
      <c r="I237" s="5"/>
      <c r="J237" s="5"/>
      <c r="K237" s="50"/>
      <c r="L237" s="50"/>
      <c r="M237" s="50"/>
      <c r="N237" s="50"/>
      <c r="O237" s="50"/>
      <c r="P237" s="50"/>
      <c r="Q237" s="50"/>
      <c r="R237" s="50"/>
      <c r="S237" s="50"/>
      <c r="T237" s="50"/>
      <c r="U237" s="50"/>
      <c r="V237" s="50"/>
      <c r="W237" s="50"/>
      <c r="X237" s="50"/>
      <c r="Y237" s="50"/>
      <c r="Z237" s="50"/>
      <c r="AA237" s="50"/>
      <c r="AB237" s="50"/>
    </row>
    <row r="238" customFormat="false" ht="15.75" hidden="false" customHeight="false" outlineLevel="0" collapsed="false">
      <c r="A238" s="50"/>
      <c r="B238" s="50"/>
      <c r="C238" s="5"/>
      <c r="D238" s="48"/>
      <c r="E238" s="50"/>
      <c r="F238" s="5"/>
      <c r="G238" s="5"/>
      <c r="H238" s="5"/>
      <c r="I238" s="5"/>
      <c r="J238" s="5"/>
      <c r="K238" s="50"/>
      <c r="L238" s="50"/>
      <c r="M238" s="50"/>
      <c r="N238" s="50"/>
      <c r="O238" s="50"/>
      <c r="P238" s="50"/>
      <c r="Q238" s="50"/>
      <c r="R238" s="50"/>
      <c r="S238" s="50"/>
      <c r="T238" s="50"/>
      <c r="U238" s="50"/>
      <c r="V238" s="50"/>
      <c r="W238" s="50"/>
      <c r="X238" s="50"/>
      <c r="Y238" s="50"/>
      <c r="Z238" s="50"/>
      <c r="AA238" s="50"/>
      <c r="AB238" s="50"/>
    </row>
    <row r="239" customFormat="false" ht="15.75" hidden="false" customHeight="false" outlineLevel="0" collapsed="false">
      <c r="A239" s="50"/>
      <c r="B239" s="50"/>
      <c r="C239" s="5"/>
      <c r="D239" s="48"/>
      <c r="E239" s="50"/>
      <c r="F239" s="5"/>
      <c r="G239" s="5"/>
      <c r="H239" s="5"/>
      <c r="I239" s="5"/>
      <c r="J239" s="5"/>
      <c r="K239" s="50"/>
      <c r="L239" s="50"/>
      <c r="M239" s="50"/>
      <c r="N239" s="50"/>
      <c r="O239" s="50"/>
      <c r="P239" s="50"/>
      <c r="Q239" s="50"/>
      <c r="R239" s="50"/>
      <c r="S239" s="50"/>
      <c r="T239" s="50"/>
      <c r="U239" s="50"/>
      <c r="V239" s="50"/>
      <c r="W239" s="50"/>
      <c r="X239" s="50"/>
      <c r="Y239" s="50"/>
      <c r="Z239" s="50"/>
      <c r="AA239" s="50"/>
      <c r="AB239" s="50"/>
    </row>
    <row r="240" customFormat="false" ht="15.75" hidden="false" customHeight="false" outlineLevel="0" collapsed="false">
      <c r="A240" s="50"/>
      <c r="B240" s="50"/>
      <c r="C240" s="5"/>
      <c r="D240" s="48"/>
      <c r="E240" s="50"/>
      <c r="F240" s="5"/>
      <c r="G240" s="5"/>
      <c r="H240" s="5"/>
      <c r="I240" s="5"/>
      <c r="J240" s="5"/>
      <c r="K240" s="50"/>
      <c r="L240" s="50"/>
      <c r="M240" s="50"/>
      <c r="N240" s="50"/>
      <c r="O240" s="50"/>
      <c r="P240" s="50"/>
      <c r="Q240" s="50"/>
      <c r="R240" s="50"/>
      <c r="S240" s="50"/>
      <c r="T240" s="50"/>
      <c r="U240" s="50"/>
      <c r="V240" s="50"/>
      <c r="W240" s="50"/>
      <c r="X240" s="50"/>
      <c r="Y240" s="50"/>
      <c r="Z240" s="50"/>
      <c r="AA240" s="50"/>
      <c r="AB240" s="50"/>
    </row>
    <row r="241" customFormat="false" ht="15.75" hidden="false" customHeight="false" outlineLevel="0" collapsed="false">
      <c r="A241" s="50"/>
      <c r="B241" s="50"/>
      <c r="C241" s="5"/>
      <c r="D241" s="48"/>
      <c r="E241" s="50"/>
      <c r="F241" s="5"/>
      <c r="G241" s="5"/>
      <c r="H241" s="5"/>
      <c r="I241" s="5"/>
      <c r="J241" s="5"/>
      <c r="K241" s="50"/>
      <c r="L241" s="50"/>
      <c r="M241" s="50"/>
      <c r="N241" s="50"/>
      <c r="O241" s="50"/>
      <c r="P241" s="50"/>
      <c r="Q241" s="50"/>
      <c r="R241" s="50"/>
      <c r="S241" s="50"/>
      <c r="T241" s="50"/>
      <c r="U241" s="50"/>
      <c r="V241" s="50"/>
      <c r="W241" s="50"/>
      <c r="X241" s="50"/>
      <c r="Y241" s="50"/>
      <c r="Z241" s="50"/>
      <c r="AA241" s="50"/>
      <c r="AB241" s="50"/>
    </row>
    <row r="242" customFormat="false" ht="15.75" hidden="false" customHeight="false" outlineLevel="0" collapsed="false">
      <c r="A242" s="50"/>
      <c r="B242" s="50"/>
      <c r="C242" s="5"/>
      <c r="D242" s="48"/>
      <c r="E242" s="50"/>
      <c r="F242" s="5"/>
      <c r="G242" s="5"/>
      <c r="H242" s="5"/>
      <c r="I242" s="5"/>
      <c r="J242" s="5"/>
      <c r="K242" s="50"/>
      <c r="L242" s="50"/>
      <c r="M242" s="50"/>
      <c r="N242" s="50"/>
      <c r="O242" s="50"/>
      <c r="P242" s="50"/>
      <c r="Q242" s="50"/>
      <c r="R242" s="50"/>
      <c r="S242" s="50"/>
      <c r="T242" s="50"/>
      <c r="U242" s="50"/>
      <c r="V242" s="50"/>
      <c r="W242" s="50"/>
      <c r="X242" s="50"/>
      <c r="Y242" s="50"/>
      <c r="Z242" s="50"/>
      <c r="AA242" s="50"/>
      <c r="AB242" s="50"/>
    </row>
    <row r="243" customFormat="false" ht="15.75" hidden="false" customHeight="false" outlineLevel="0" collapsed="false">
      <c r="A243" s="50"/>
      <c r="B243" s="50"/>
      <c r="C243" s="5"/>
      <c r="D243" s="48"/>
      <c r="E243" s="50"/>
      <c r="F243" s="5"/>
      <c r="G243" s="5"/>
      <c r="H243" s="5"/>
      <c r="I243" s="5"/>
      <c r="J243" s="5"/>
      <c r="K243" s="50"/>
      <c r="L243" s="50"/>
      <c r="M243" s="50"/>
      <c r="N243" s="50"/>
      <c r="O243" s="50"/>
      <c r="P243" s="50"/>
      <c r="Q243" s="50"/>
      <c r="R243" s="50"/>
      <c r="S243" s="50"/>
      <c r="T243" s="50"/>
      <c r="U243" s="50"/>
      <c r="V243" s="50"/>
      <c r="W243" s="50"/>
      <c r="X243" s="50"/>
      <c r="Y243" s="50"/>
      <c r="Z243" s="50"/>
      <c r="AA243" s="50"/>
      <c r="AB243" s="50"/>
    </row>
    <row r="244" customFormat="false" ht="15.75" hidden="false" customHeight="false" outlineLevel="0" collapsed="false">
      <c r="A244" s="50"/>
      <c r="B244" s="50"/>
      <c r="C244" s="5"/>
      <c r="D244" s="48"/>
      <c r="E244" s="50"/>
      <c r="F244" s="5"/>
      <c r="G244" s="5"/>
      <c r="H244" s="5"/>
      <c r="I244" s="5"/>
      <c r="J244" s="5"/>
      <c r="K244" s="50"/>
      <c r="L244" s="50"/>
      <c r="M244" s="50"/>
      <c r="N244" s="50"/>
      <c r="O244" s="50"/>
      <c r="P244" s="50"/>
      <c r="Q244" s="50"/>
      <c r="R244" s="50"/>
      <c r="S244" s="50"/>
      <c r="T244" s="50"/>
      <c r="U244" s="50"/>
      <c r="V244" s="50"/>
      <c r="W244" s="50"/>
      <c r="X244" s="50"/>
      <c r="Y244" s="50"/>
      <c r="Z244" s="50"/>
      <c r="AA244" s="50"/>
      <c r="AB244" s="50"/>
    </row>
    <row r="245" customFormat="false" ht="15.75" hidden="false" customHeight="false" outlineLevel="0" collapsed="false">
      <c r="A245" s="50"/>
      <c r="B245" s="50"/>
      <c r="C245" s="5"/>
      <c r="D245" s="48"/>
      <c r="E245" s="50"/>
      <c r="F245" s="5"/>
      <c r="G245" s="5"/>
      <c r="H245" s="5"/>
      <c r="I245" s="5"/>
      <c r="J245" s="5"/>
      <c r="K245" s="50"/>
      <c r="L245" s="50"/>
      <c r="M245" s="50"/>
      <c r="N245" s="50"/>
      <c r="O245" s="50"/>
      <c r="P245" s="50"/>
      <c r="Q245" s="50"/>
      <c r="R245" s="50"/>
      <c r="S245" s="50"/>
      <c r="T245" s="50"/>
      <c r="U245" s="50"/>
      <c r="V245" s="50"/>
      <c r="W245" s="50"/>
      <c r="X245" s="50"/>
      <c r="Y245" s="50"/>
      <c r="Z245" s="50"/>
      <c r="AA245" s="50"/>
      <c r="AB245" s="50"/>
    </row>
    <row r="246" customFormat="false" ht="15.75" hidden="false" customHeight="false" outlineLevel="0" collapsed="false">
      <c r="A246" s="50"/>
      <c r="B246" s="50"/>
      <c r="C246" s="5"/>
      <c r="D246" s="48"/>
      <c r="E246" s="50"/>
      <c r="F246" s="5"/>
      <c r="G246" s="5"/>
      <c r="H246" s="5"/>
      <c r="I246" s="5"/>
      <c r="J246" s="5"/>
      <c r="K246" s="50"/>
      <c r="L246" s="50"/>
      <c r="M246" s="50"/>
      <c r="N246" s="50"/>
      <c r="O246" s="50"/>
      <c r="P246" s="50"/>
      <c r="Q246" s="50"/>
      <c r="R246" s="50"/>
      <c r="S246" s="50"/>
      <c r="T246" s="50"/>
      <c r="U246" s="50"/>
      <c r="V246" s="50"/>
      <c r="W246" s="50"/>
      <c r="X246" s="50"/>
      <c r="Y246" s="50"/>
      <c r="Z246" s="50"/>
      <c r="AA246" s="50"/>
      <c r="AB246" s="50"/>
    </row>
    <row r="247" customFormat="false" ht="15.75" hidden="false" customHeight="false" outlineLevel="0" collapsed="false">
      <c r="A247" s="50"/>
      <c r="B247" s="50"/>
      <c r="C247" s="5"/>
      <c r="D247" s="48"/>
      <c r="E247" s="50"/>
      <c r="F247" s="5"/>
      <c r="G247" s="5"/>
      <c r="H247" s="5"/>
      <c r="I247" s="5"/>
      <c r="J247" s="5"/>
      <c r="K247" s="50"/>
      <c r="L247" s="50"/>
      <c r="M247" s="50"/>
      <c r="N247" s="50"/>
      <c r="O247" s="50"/>
      <c r="P247" s="50"/>
      <c r="Q247" s="50"/>
      <c r="R247" s="50"/>
      <c r="S247" s="50"/>
      <c r="T247" s="50"/>
      <c r="U247" s="50"/>
      <c r="V247" s="50"/>
      <c r="W247" s="50"/>
      <c r="X247" s="50"/>
      <c r="Y247" s="50"/>
      <c r="Z247" s="50"/>
      <c r="AA247" s="50"/>
      <c r="AB247" s="50"/>
    </row>
    <row r="248" customFormat="false" ht="15.75" hidden="false" customHeight="false" outlineLevel="0" collapsed="false">
      <c r="A248" s="50"/>
      <c r="B248" s="50"/>
      <c r="C248" s="5"/>
      <c r="D248" s="48"/>
      <c r="E248" s="50"/>
      <c r="F248" s="5"/>
      <c r="G248" s="5"/>
      <c r="H248" s="5"/>
      <c r="I248" s="5"/>
      <c r="J248" s="5"/>
      <c r="K248" s="50"/>
      <c r="L248" s="50"/>
      <c r="M248" s="50"/>
      <c r="N248" s="50"/>
      <c r="O248" s="50"/>
      <c r="P248" s="50"/>
      <c r="Q248" s="50"/>
      <c r="R248" s="50"/>
      <c r="S248" s="50"/>
      <c r="T248" s="50"/>
      <c r="U248" s="50"/>
      <c r="V248" s="50"/>
      <c r="W248" s="50"/>
      <c r="X248" s="50"/>
      <c r="Y248" s="50"/>
      <c r="Z248" s="50"/>
      <c r="AA248" s="50"/>
      <c r="AB248" s="50"/>
    </row>
    <row r="249" customFormat="false" ht="15.75" hidden="false" customHeight="false" outlineLevel="0" collapsed="false">
      <c r="A249" s="50"/>
      <c r="B249" s="50"/>
      <c r="C249" s="5"/>
      <c r="D249" s="48"/>
      <c r="E249" s="50"/>
      <c r="F249" s="5"/>
      <c r="G249" s="5"/>
      <c r="H249" s="5"/>
      <c r="I249" s="5"/>
      <c r="J249" s="5"/>
      <c r="K249" s="50"/>
      <c r="L249" s="50"/>
      <c r="M249" s="50"/>
      <c r="N249" s="50"/>
      <c r="O249" s="50"/>
      <c r="P249" s="50"/>
      <c r="Q249" s="50"/>
      <c r="R249" s="50"/>
      <c r="S249" s="50"/>
      <c r="T249" s="50"/>
      <c r="U249" s="50"/>
      <c r="V249" s="50"/>
      <c r="W249" s="50"/>
      <c r="X249" s="50"/>
      <c r="Y249" s="50"/>
      <c r="Z249" s="50"/>
      <c r="AA249" s="50"/>
      <c r="AB249" s="50"/>
    </row>
    <row r="250" customFormat="false" ht="15.75" hidden="false" customHeight="false" outlineLevel="0" collapsed="false">
      <c r="A250" s="50"/>
      <c r="B250" s="50"/>
      <c r="C250" s="5"/>
      <c r="D250" s="48"/>
      <c r="E250" s="50"/>
      <c r="F250" s="5"/>
      <c r="G250" s="5"/>
      <c r="H250" s="5"/>
      <c r="I250" s="5"/>
      <c r="J250" s="5"/>
      <c r="K250" s="50"/>
      <c r="L250" s="50"/>
      <c r="M250" s="50"/>
      <c r="N250" s="50"/>
      <c r="O250" s="50"/>
      <c r="P250" s="50"/>
      <c r="Q250" s="50"/>
      <c r="R250" s="50"/>
      <c r="S250" s="50"/>
      <c r="T250" s="50"/>
      <c r="U250" s="50"/>
      <c r="V250" s="50"/>
      <c r="W250" s="50"/>
      <c r="X250" s="50"/>
      <c r="Y250" s="50"/>
      <c r="Z250" s="50"/>
      <c r="AA250" s="50"/>
      <c r="AB250" s="50"/>
    </row>
    <row r="251" customFormat="false" ht="15.75" hidden="false" customHeight="false" outlineLevel="0" collapsed="false">
      <c r="A251" s="50"/>
      <c r="B251" s="50"/>
      <c r="C251" s="5"/>
      <c r="D251" s="48"/>
      <c r="E251" s="50"/>
      <c r="F251" s="5"/>
      <c r="G251" s="5"/>
      <c r="H251" s="5"/>
      <c r="I251" s="5"/>
      <c r="J251" s="5"/>
      <c r="K251" s="50"/>
      <c r="L251" s="50"/>
      <c r="M251" s="50"/>
      <c r="N251" s="50"/>
      <c r="O251" s="50"/>
      <c r="P251" s="50"/>
      <c r="Q251" s="50"/>
      <c r="R251" s="50"/>
      <c r="S251" s="50"/>
      <c r="T251" s="50"/>
      <c r="U251" s="50"/>
      <c r="V251" s="50"/>
      <c r="W251" s="50"/>
      <c r="X251" s="50"/>
      <c r="Y251" s="50"/>
      <c r="Z251" s="50"/>
      <c r="AA251" s="50"/>
      <c r="AB251" s="50"/>
    </row>
    <row r="252" customFormat="false" ht="15.75" hidden="false" customHeight="false" outlineLevel="0" collapsed="false">
      <c r="A252" s="50"/>
      <c r="B252" s="50"/>
      <c r="C252" s="5"/>
      <c r="D252" s="48"/>
      <c r="E252" s="50"/>
      <c r="F252" s="5"/>
      <c r="G252" s="5"/>
      <c r="H252" s="5"/>
      <c r="I252" s="5"/>
      <c r="J252" s="5"/>
      <c r="K252" s="50"/>
      <c r="L252" s="50"/>
      <c r="M252" s="50"/>
      <c r="N252" s="50"/>
      <c r="O252" s="50"/>
      <c r="P252" s="50"/>
      <c r="Q252" s="50"/>
      <c r="R252" s="50"/>
      <c r="S252" s="50"/>
      <c r="T252" s="50"/>
      <c r="U252" s="50"/>
      <c r="V252" s="50"/>
      <c r="W252" s="50"/>
      <c r="X252" s="50"/>
      <c r="Y252" s="50"/>
      <c r="Z252" s="50"/>
      <c r="AA252" s="50"/>
      <c r="AB252" s="50"/>
    </row>
    <row r="253" customFormat="false" ht="15.75" hidden="false" customHeight="false" outlineLevel="0" collapsed="false">
      <c r="A253" s="50"/>
      <c r="B253" s="50"/>
      <c r="C253" s="5"/>
      <c r="D253" s="48"/>
      <c r="E253" s="50"/>
      <c r="F253" s="5"/>
      <c r="G253" s="5"/>
      <c r="H253" s="5"/>
      <c r="I253" s="5"/>
      <c r="J253" s="5"/>
      <c r="K253" s="50"/>
      <c r="L253" s="50"/>
      <c r="M253" s="50"/>
      <c r="N253" s="50"/>
      <c r="O253" s="50"/>
      <c r="P253" s="50"/>
      <c r="Q253" s="50"/>
      <c r="R253" s="50"/>
      <c r="S253" s="50"/>
      <c r="T253" s="50"/>
      <c r="U253" s="50"/>
      <c r="V253" s="50"/>
      <c r="W253" s="50"/>
      <c r="X253" s="50"/>
      <c r="Y253" s="50"/>
      <c r="Z253" s="50"/>
      <c r="AA253" s="50"/>
      <c r="AB253" s="50"/>
    </row>
    <row r="254" customFormat="false" ht="15.75" hidden="false" customHeight="false" outlineLevel="0" collapsed="false">
      <c r="A254" s="50"/>
      <c r="B254" s="50"/>
      <c r="C254" s="5"/>
      <c r="D254" s="48"/>
      <c r="E254" s="50"/>
      <c r="F254" s="5"/>
      <c r="G254" s="5"/>
      <c r="H254" s="5"/>
      <c r="I254" s="5"/>
      <c r="J254" s="5"/>
      <c r="K254" s="50"/>
      <c r="L254" s="50"/>
      <c r="M254" s="50"/>
      <c r="N254" s="50"/>
      <c r="O254" s="50"/>
      <c r="P254" s="50"/>
      <c r="Q254" s="50"/>
      <c r="R254" s="50"/>
      <c r="S254" s="50"/>
      <c r="T254" s="50"/>
      <c r="U254" s="50"/>
      <c r="V254" s="50"/>
      <c r="W254" s="50"/>
      <c r="X254" s="50"/>
      <c r="Y254" s="50"/>
      <c r="Z254" s="50"/>
      <c r="AA254" s="50"/>
      <c r="AB254" s="50"/>
    </row>
    <row r="255" customFormat="false" ht="15.75" hidden="false" customHeight="false" outlineLevel="0" collapsed="false">
      <c r="A255" s="50"/>
      <c r="B255" s="50"/>
      <c r="C255" s="5"/>
      <c r="D255" s="48"/>
      <c r="E255" s="50"/>
      <c r="F255" s="5"/>
      <c r="G255" s="5"/>
      <c r="H255" s="5"/>
      <c r="I255" s="5"/>
      <c r="J255" s="5"/>
      <c r="K255" s="50"/>
      <c r="L255" s="50"/>
      <c r="M255" s="50"/>
      <c r="N255" s="50"/>
      <c r="O255" s="50"/>
      <c r="P255" s="50"/>
      <c r="Q255" s="50"/>
      <c r="R255" s="50"/>
      <c r="S255" s="50"/>
      <c r="T255" s="50"/>
      <c r="U255" s="50"/>
      <c r="V255" s="50"/>
      <c r="W255" s="50"/>
      <c r="X255" s="50"/>
      <c r="Y255" s="50"/>
      <c r="Z255" s="50"/>
      <c r="AA255" s="50"/>
      <c r="AB255" s="50"/>
    </row>
    <row r="256" customFormat="false" ht="15.75" hidden="false" customHeight="false" outlineLevel="0" collapsed="false">
      <c r="A256" s="50"/>
      <c r="B256" s="50"/>
      <c r="C256" s="5"/>
      <c r="D256" s="48"/>
      <c r="E256" s="50"/>
      <c r="F256" s="5"/>
      <c r="G256" s="5"/>
      <c r="H256" s="5"/>
      <c r="I256" s="5"/>
      <c r="J256" s="5"/>
      <c r="K256" s="50"/>
      <c r="L256" s="50"/>
      <c r="M256" s="50"/>
      <c r="N256" s="50"/>
      <c r="O256" s="50"/>
      <c r="P256" s="50"/>
      <c r="Q256" s="50"/>
      <c r="R256" s="50"/>
      <c r="S256" s="50"/>
      <c r="T256" s="50"/>
      <c r="U256" s="50"/>
      <c r="V256" s="50"/>
      <c r="W256" s="50"/>
      <c r="X256" s="50"/>
      <c r="Y256" s="50"/>
      <c r="Z256" s="50"/>
      <c r="AA256" s="50"/>
      <c r="AB256" s="50"/>
    </row>
    <row r="257" customFormat="false" ht="15.75" hidden="false" customHeight="false" outlineLevel="0" collapsed="false">
      <c r="A257" s="50"/>
      <c r="B257" s="50"/>
      <c r="C257" s="5"/>
      <c r="D257" s="48"/>
      <c r="E257" s="50"/>
      <c r="F257" s="5"/>
      <c r="G257" s="5"/>
      <c r="H257" s="5"/>
      <c r="I257" s="5"/>
      <c r="J257" s="5"/>
      <c r="K257" s="50"/>
      <c r="L257" s="50"/>
      <c r="M257" s="50"/>
      <c r="N257" s="50"/>
      <c r="O257" s="50"/>
      <c r="P257" s="50"/>
      <c r="Q257" s="50"/>
      <c r="R257" s="50"/>
      <c r="S257" s="50"/>
      <c r="T257" s="50"/>
      <c r="U257" s="50"/>
      <c r="V257" s="50"/>
      <c r="W257" s="50"/>
      <c r="X257" s="50"/>
      <c r="Y257" s="50"/>
      <c r="Z257" s="50"/>
      <c r="AA257" s="50"/>
      <c r="AB257" s="50"/>
    </row>
    <row r="258" customFormat="false" ht="15.75" hidden="false" customHeight="false" outlineLevel="0" collapsed="false">
      <c r="A258" s="50"/>
      <c r="B258" s="50"/>
      <c r="C258" s="5"/>
      <c r="D258" s="48"/>
      <c r="E258" s="50"/>
      <c r="F258" s="5"/>
      <c r="G258" s="5"/>
      <c r="H258" s="5"/>
      <c r="I258" s="5"/>
      <c r="J258" s="5"/>
      <c r="K258" s="50"/>
      <c r="L258" s="50"/>
      <c r="M258" s="50"/>
      <c r="N258" s="50"/>
      <c r="O258" s="50"/>
      <c r="P258" s="50"/>
      <c r="Q258" s="50"/>
      <c r="R258" s="50"/>
      <c r="S258" s="50"/>
      <c r="T258" s="50"/>
      <c r="U258" s="50"/>
      <c r="V258" s="50"/>
      <c r="W258" s="50"/>
      <c r="X258" s="50"/>
      <c r="Y258" s="50"/>
      <c r="Z258" s="50"/>
      <c r="AA258" s="50"/>
      <c r="AB258" s="50"/>
    </row>
    <row r="259" customFormat="false" ht="15.75" hidden="false" customHeight="false" outlineLevel="0" collapsed="false">
      <c r="A259" s="50"/>
      <c r="B259" s="50"/>
      <c r="C259" s="5"/>
      <c r="D259" s="48"/>
      <c r="E259" s="50"/>
      <c r="F259" s="5"/>
      <c r="G259" s="5"/>
      <c r="H259" s="5"/>
      <c r="I259" s="5"/>
      <c r="J259" s="5"/>
      <c r="K259" s="50"/>
      <c r="L259" s="50"/>
      <c r="M259" s="50"/>
      <c r="N259" s="50"/>
      <c r="O259" s="50"/>
      <c r="P259" s="50"/>
      <c r="Q259" s="50"/>
      <c r="R259" s="50"/>
      <c r="S259" s="50"/>
      <c r="T259" s="50"/>
      <c r="U259" s="50"/>
      <c r="V259" s="50"/>
      <c r="W259" s="50"/>
      <c r="X259" s="50"/>
      <c r="Y259" s="50"/>
      <c r="Z259" s="50"/>
      <c r="AA259" s="50"/>
      <c r="AB259" s="50"/>
    </row>
    <row r="260" customFormat="false" ht="15.75" hidden="false" customHeight="false" outlineLevel="0" collapsed="false">
      <c r="A260" s="50"/>
      <c r="B260" s="50"/>
      <c r="C260" s="5"/>
      <c r="D260" s="48"/>
      <c r="E260" s="50"/>
      <c r="F260" s="5"/>
      <c r="G260" s="5"/>
      <c r="H260" s="5"/>
      <c r="I260" s="5"/>
      <c r="J260" s="5"/>
      <c r="K260" s="50"/>
      <c r="L260" s="50"/>
      <c r="M260" s="50"/>
      <c r="N260" s="50"/>
      <c r="O260" s="50"/>
      <c r="P260" s="50"/>
      <c r="Q260" s="50"/>
      <c r="R260" s="50"/>
      <c r="S260" s="50"/>
      <c r="T260" s="50"/>
      <c r="U260" s="50"/>
      <c r="V260" s="50"/>
      <c r="W260" s="50"/>
      <c r="X260" s="50"/>
      <c r="Y260" s="50"/>
      <c r="Z260" s="50"/>
      <c r="AA260" s="50"/>
      <c r="AB260" s="50"/>
    </row>
    <row r="261" customFormat="false" ht="15.75" hidden="false" customHeight="false" outlineLevel="0" collapsed="false">
      <c r="A261" s="50"/>
      <c r="B261" s="50"/>
      <c r="C261" s="5"/>
      <c r="D261" s="48"/>
      <c r="E261" s="50"/>
      <c r="F261" s="5"/>
      <c r="G261" s="5"/>
      <c r="H261" s="5"/>
      <c r="I261" s="5"/>
      <c r="J261" s="5"/>
      <c r="K261" s="50"/>
      <c r="L261" s="50"/>
      <c r="M261" s="50"/>
      <c r="N261" s="50"/>
      <c r="O261" s="50"/>
      <c r="P261" s="50"/>
      <c r="Q261" s="50"/>
      <c r="R261" s="50"/>
      <c r="S261" s="50"/>
      <c r="T261" s="50"/>
      <c r="U261" s="50"/>
      <c r="V261" s="50"/>
      <c r="W261" s="50"/>
      <c r="X261" s="50"/>
      <c r="Y261" s="50"/>
      <c r="Z261" s="50"/>
      <c r="AA261" s="50"/>
      <c r="AB261" s="50"/>
    </row>
    <row r="262" customFormat="false" ht="15.75" hidden="false" customHeight="false" outlineLevel="0" collapsed="false">
      <c r="A262" s="50"/>
      <c r="B262" s="50"/>
      <c r="C262" s="5"/>
      <c r="D262" s="48"/>
      <c r="E262" s="50"/>
      <c r="F262" s="5"/>
      <c r="G262" s="5"/>
      <c r="H262" s="5"/>
      <c r="I262" s="5"/>
      <c r="J262" s="5"/>
      <c r="K262" s="50"/>
      <c r="L262" s="50"/>
      <c r="M262" s="50"/>
      <c r="N262" s="50"/>
      <c r="O262" s="50"/>
      <c r="P262" s="50"/>
      <c r="Q262" s="50"/>
      <c r="R262" s="50"/>
      <c r="S262" s="50"/>
      <c r="T262" s="50"/>
      <c r="U262" s="50"/>
      <c r="V262" s="50"/>
      <c r="W262" s="50"/>
      <c r="X262" s="50"/>
      <c r="Y262" s="50"/>
      <c r="Z262" s="50"/>
      <c r="AA262" s="50"/>
      <c r="AB262" s="50"/>
    </row>
    <row r="263" customFormat="false" ht="15.75" hidden="false" customHeight="false" outlineLevel="0" collapsed="false">
      <c r="A263" s="50"/>
      <c r="B263" s="50"/>
      <c r="C263" s="5"/>
      <c r="D263" s="48"/>
      <c r="E263" s="50"/>
      <c r="F263" s="5"/>
      <c r="G263" s="5"/>
      <c r="H263" s="5"/>
      <c r="I263" s="5"/>
      <c r="J263" s="5"/>
      <c r="K263" s="50"/>
      <c r="L263" s="50"/>
      <c r="M263" s="50"/>
      <c r="N263" s="50"/>
      <c r="O263" s="50"/>
      <c r="P263" s="50"/>
      <c r="Q263" s="50"/>
      <c r="R263" s="50"/>
      <c r="S263" s="50"/>
      <c r="T263" s="50"/>
      <c r="U263" s="50"/>
      <c r="V263" s="50"/>
      <c r="W263" s="50"/>
      <c r="X263" s="50"/>
      <c r="Y263" s="50"/>
      <c r="Z263" s="50"/>
      <c r="AA263" s="50"/>
      <c r="AB263" s="50"/>
    </row>
    <row r="264" customFormat="false" ht="15.75" hidden="false" customHeight="false" outlineLevel="0" collapsed="false">
      <c r="A264" s="50"/>
      <c r="B264" s="50"/>
      <c r="C264" s="5"/>
      <c r="D264" s="48"/>
      <c r="E264" s="50"/>
      <c r="F264" s="5"/>
      <c r="G264" s="5"/>
      <c r="H264" s="5"/>
      <c r="I264" s="5"/>
      <c r="J264" s="5"/>
      <c r="K264" s="50"/>
      <c r="L264" s="50"/>
      <c r="M264" s="50"/>
      <c r="N264" s="50"/>
      <c r="O264" s="50"/>
      <c r="P264" s="50"/>
      <c r="Q264" s="50"/>
      <c r="R264" s="50"/>
      <c r="S264" s="50"/>
      <c r="T264" s="50"/>
      <c r="U264" s="50"/>
      <c r="V264" s="50"/>
      <c r="W264" s="50"/>
      <c r="X264" s="50"/>
      <c r="Y264" s="50"/>
      <c r="Z264" s="50"/>
      <c r="AA264" s="50"/>
      <c r="AB264" s="50"/>
    </row>
    <row r="265" customFormat="false" ht="15.75" hidden="false" customHeight="false" outlineLevel="0" collapsed="false">
      <c r="A265" s="50"/>
      <c r="B265" s="50"/>
      <c r="C265" s="5"/>
      <c r="D265" s="48"/>
      <c r="E265" s="50"/>
      <c r="F265" s="5"/>
      <c r="G265" s="5"/>
      <c r="H265" s="5"/>
      <c r="I265" s="5"/>
      <c r="J265" s="5"/>
      <c r="K265" s="50"/>
      <c r="L265" s="50"/>
      <c r="M265" s="50"/>
      <c r="N265" s="50"/>
      <c r="O265" s="50"/>
      <c r="P265" s="50"/>
      <c r="Q265" s="50"/>
      <c r="R265" s="50"/>
      <c r="S265" s="50"/>
      <c r="T265" s="50"/>
      <c r="U265" s="50"/>
      <c r="V265" s="50"/>
      <c r="W265" s="50"/>
      <c r="X265" s="50"/>
      <c r="Y265" s="50"/>
      <c r="Z265" s="50"/>
      <c r="AA265" s="50"/>
      <c r="AB265" s="50"/>
    </row>
    <row r="266" customFormat="false" ht="15.75" hidden="false" customHeight="false" outlineLevel="0" collapsed="false">
      <c r="A266" s="50"/>
      <c r="B266" s="50"/>
      <c r="C266" s="5"/>
      <c r="D266" s="48"/>
      <c r="E266" s="50"/>
      <c r="F266" s="5"/>
      <c r="G266" s="5"/>
      <c r="H266" s="5"/>
      <c r="I266" s="5"/>
      <c r="J266" s="5"/>
      <c r="K266" s="50"/>
      <c r="L266" s="50"/>
      <c r="M266" s="50"/>
      <c r="N266" s="50"/>
      <c r="O266" s="50"/>
      <c r="P266" s="50"/>
      <c r="Q266" s="50"/>
      <c r="R266" s="50"/>
      <c r="S266" s="50"/>
      <c r="T266" s="50"/>
      <c r="U266" s="50"/>
      <c r="V266" s="50"/>
      <c r="W266" s="50"/>
      <c r="X266" s="50"/>
      <c r="Y266" s="50"/>
      <c r="Z266" s="50"/>
      <c r="AA266" s="50"/>
      <c r="AB266" s="50"/>
    </row>
    <row r="267" customFormat="false" ht="15.75" hidden="false" customHeight="false" outlineLevel="0" collapsed="false">
      <c r="A267" s="50"/>
      <c r="B267" s="50"/>
      <c r="C267" s="5"/>
      <c r="D267" s="48"/>
      <c r="E267" s="50"/>
      <c r="F267" s="5"/>
      <c r="G267" s="5"/>
      <c r="H267" s="5"/>
      <c r="I267" s="5"/>
      <c r="J267" s="5"/>
      <c r="K267" s="50"/>
      <c r="L267" s="50"/>
      <c r="M267" s="50"/>
      <c r="N267" s="50"/>
      <c r="O267" s="50"/>
      <c r="P267" s="50"/>
      <c r="Q267" s="50"/>
      <c r="R267" s="50"/>
      <c r="S267" s="50"/>
      <c r="T267" s="50"/>
      <c r="U267" s="50"/>
      <c r="V267" s="50"/>
      <c r="W267" s="50"/>
      <c r="X267" s="50"/>
      <c r="Y267" s="50"/>
      <c r="Z267" s="50"/>
      <c r="AA267" s="50"/>
      <c r="AB267" s="50"/>
    </row>
    <row r="268" customFormat="false" ht="15.75" hidden="false" customHeight="false" outlineLevel="0" collapsed="false">
      <c r="A268" s="50"/>
      <c r="B268" s="50"/>
      <c r="C268" s="5"/>
      <c r="D268" s="48"/>
      <c r="E268" s="50"/>
      <c r="F268" s="5"/>
      <c r="G268" s="5"/>
      <c r="H268" s="5"/>
      <c r="I268" s="5"/>
      <c r="J268" s="5"/>
      <c r="K268" s="50"/>
      <c r="L268" s="50"/>
      <c r="M268" s="50"/>
      <c r="N268" s="50"/>
      <c r="O268" s="50"/>
      <c r="P268" s="50"/>
      <c r="Q268" s="50"/>
      <c r="R268" s="50"/>
      <c r="S268" s="50"/>
      <c r="T268" s="50"/>
      <c r="U268" s="50"/>
      <c r="V268" s="50"/>
      <c r="W268" s="50"/>
      <c r="X268" s="50"/>
      <c r="Y268" s="50"/>
      <c r="Z268" s="50"/>
      <c r="AA268" s="50"/>
      <c r="AB268" s="50"/>
    </row>
    <row r="269" customFormat="false" ht="15.75" hidden="false" customHeight="false" outlineLevel="0" collapsed="false">
      <c r="A269" s="50"/>
      <c r="B269" s="50"/>
      <c r="C269" s="5"/>
      <c r="D269" s="48"/>
      <c r="E269" s="50"/>
      <c r="F269" s="5"/>
      <c r="G269" s="5"/>
      <c r="H269" s="5"/>
      <c r="I269" s="5"/>
      <c r="J269" s="5"/>
      <c r="K269" s="50"/>
      <c r="L269" s="50"/>
      <c r="M269" s="50"/>
      <c r="N269" s="50"/>
      <c r="O269" s="50"/>
      <c r="P269" s="50"/>
      <c r="Q269" s="50"/>
      <c r="R269" s="50"/>
      <c r="S269" s="50"/>
      <c r="T269" s="50"/>
      <c r="U269" s="50"/>
      <c r="V269" s="50"/>
      <c r="W269" s="50"/>
      <c r="X269" s="50"/>
      <c r="Y269" s="50"/>
      <c r="Z269" s="50"/>
      <c r="AA269" s="50"/>
      <c r="AB269" s="50"/>
    </row>
    <row r="270" customFormat="false" ht="15.75" hidden="false" customHeight="false" outlineLevel="0" collapsed="false">
      <c r="A270" s="50"/>
      <c r="B270" s="50"/>
      <c r="C270" s="5"/>
      <c r="D270" s="48"/>
      <c r="E270" s="50"/>
      <c r="F270" s="5"/>
      <c r="G270" s="5"/>
      <c r="H270" s="5"/>
      <c r="I270" s="5"/>
      <c r="J270" s="5"/>
      <c r="K270" s="50"/>
      <c r="L270" s="50"/>
      <c r="M270" s="50"/>
      <c r="N270" s="50"/>
      <c r="O270" s="50"/>
      <c r="P270" s="50"/>
      <c r="Q270" s="50"/>
      <c r="R270" s="50"/>
      <c r="S270" s="50"/>
      <c r="T270" s="50"/>
      <c r="U270" s="50"/>
      <c r="V270" s="50"/>
      <c r="W270" s="50"/>
      <c r="X270" s="50"/>
      <c r="Y270" s="50"/>
      <c r="Z270" s="50"/>
      <c r="AA270" s="50"/>
      <c r="AB270" s="50"/>
    </row>
    <row r="271" customFormat="false" ht="15.75" hidden="false" customHeight="false" outlineLevel="0" collapsed="false">
      <c r="A271" s="50"/>
      <c r="B271" s="50"/>
      <c r="C271" s="5"/>
      <c r="D271" s="48"/>
      <c r="E271" s="50"/>
      <c r="F271" s="5"/>
      <c r="G271" s="5"/>
      <c r="H271" s="5"/>
      <c r="I271" s="5"/>
      <c r="J271" s="5"/>
      <c r="K271" s="50"/>
      <c r="L271" s="50"/>
      <c r="M271" s="50"/>
      <c r="N271" s="50"/>
      <c r="O271" s="50"/>
      <c r="P271" s="50"/>
      <c r="Q271" s="50"/>
      <c r="R271" s="50"/>
      <c r="S271" s="50"/>
      <c r="T271" s="50"/>
      <c r="U271" s="50"/>
      <c r="V271" s="50"/>
      <c r="W271" s="50"/>
      <c r="X271" s="50"/>
      <c r="Y271" s="50"/>
      <c r="Z271" s="50"/>
      <c r="AA271" s="50"/>
      <c r="AB271" s="50"/>
    </row>
    <row r="272" customFormat="false" ht="15.75" hidden="false" customHeight="false" outlineLevel="0" collapsed="false">
      <c r="A272" s="50"/>
      <c r="B272" s="50"/>
      <c r="C272" s="5"/>
      <c r="D272" s="48"/>
      <c r="E272" s="50"/>
      <c r="F272" s="5"/>
      <c r="G272" s="5"/>
      <c r="H272" s="5"/>
      <c r="I272" s="5"/>
      <c r="J272" s="5"/>
      <c r="K272" s="50"/>
      <c r="L272" s="50"/>
      <c r="M272" s="50"/>
      <c r="N272" s="50"/>
      <c r="O272" s="50"/>
      <c r="P272" s="50"/>
      <c r="Q272" s="50"/>
      <c r="R272" s="50"/>
      <c r="S272" s="50"/>
      <c r="T272" s="50"/>
      <c r="U272" s="50"/>
      <c r="V272" s="50"/>
      <c r="W272" s="50"/>
      <c r="X272" s="50"/>
      <c r="Y272" s="50"/>
      <c r="Z272" s="50"/>
      <c r="AA272" s="50"/>
      <c r="AB272" s="50"/>
    </row>
    <row r="273" customFormat="false" ht="15.75" hidden="false" customHeight="false" outlineLevel="0" collapsed="false">
      <c r="A273" s="50"/>
      <c r="B273" s="50"/>
      <c r="C273" s="5"/>
      <c r="D273" s="48"/>
      <c r="E273" s="50"/>
      <c r="F273" s="5"/>
      <c r="G273" s="5"/>
      <c r="H273" s="5"/>
      <c r="I273" s="5"/>
      <c r="J273" s="5"/>
      <c r="K273" s="50"/>
      <c r="L273" s="50"/>
      <c r="M273" s="50"/>
      <c r="N273" s="50"/>
      <c r="O273" s="50"/>
      <c r="P273" s="50"/>
      <c r="Q273" s="50"/>
      <c r="R273" s="50"/>
      <c r="S273" s="50"/>
      <c r="T273" s="50"/>
      <c r="U273" s="50"/>
      <c r="V273" s="50"/>
      <c r="W273" s="50"/>
      <c r="X273" s="50"/>
      <c r="Y273" s="50"/>
      <c r="Z273" s="50"/>
      <c r="AA273" s="50"/>
      <c r="AB273" s="50"/>
    </row>
    <row r="274" customFormat="false" ht="15.75" hidden="false" customHeight="false" outlineLevel="0" collapsed="false">
      <c r="A274" s="50"/>
      <c r="B274" s="50"/>
      <c r="C274" s="5"/>
      <c r="D274" s="48"/>
      <c r="E274" s="50"/>
      <c r="F274" s="5"/>
      <c r="G274" s="5"/>
      <c r="H274" s="5"/>
      <c r="I274" s="5"/>
      <c r="J274" s="5"/>
      <c r="K274" s="50"/>
      <c r="L274" s="50"/>
      <c r="M274" s="50"/>
      <c r="N274" s="50"/>
      <c r="O274" s="50"/>
      <c r="P274" s="50"/>
      <c r="Q274" s="50"/>
      <c r="R274" s="50"/>
      <c r="S274" s="50"/>
      <c r="T274" s="50"/>
      <c r="U274" s="50"/>
      <c r="V274" s="50"/>
      <c r="W274" s="50"/>
      <c r="X274" s="50"/>
      <c r="Y274" s="50"/>
      <c r="Z274" s="50"/>
      <c r="AA274" s="50"/>
      <c r="AB274" s="50"/>
    </row>
    <row r="275" customFormat="false" ht="15.75" hidden="false" customHeight="false" outlineLevel="0" collapsed="false">
      <c r="A275" s="50"/>
      <c r="B275" s="50"/>
      <c r="C275" s="5"/>
      <c r="D275" s="48"/>
      <c r="E275" s="50"/>
      <c r="F275" s="5"/>
      <c r="G275" s="5"/>
      <c r="H275" s="5"/>
      <c r="I275" s="5"/>
      <c r="J275" s="5"/>
      <c r="K275" s="50"/>
      <c r="L275" s="50"/>
      <c r="M275" s="50"/>
      <c r="N275" s="50"/>
      <c r="O275" s="50"/>
      <c r="P275" s="50"/>
      <c r="Q275" s="50"/>
      <c r="R275" s="50"/>
      <c r="S275" s="50"/>
      <c r="T275" s="50"/>
      <c r="U275" s="50"/>
      <c r="V275" s="50"/>
      <c r="W275" s="50"/>
      <c r="X275" s="50"/>
      <c r="Y275" s="50"/>
      <c r="Z275" s="50"/>
      <c r="AA275" s="50"/>
      <c r="AB275" s="50"/>
    </row>
    <row r="276" customFormat="false" ht="15.75" hidden="false" customHeight="false" outlineLevel="0" collapsed="false">
      <c r="A276" s="50"/>
      <c r="B276" s="50"/>
      <c r="C276" s="5"/>
      <c r="D276" s="48"/>
      <c r="E276" s="50"/>
      <c r="F276" s="5"/>
      <c r="G276" s="5"/>
      <c r="H276" s="5"/>
      <c r="I276" s="5"/>
      <c r="J276" s="5"/>
      <c r="K276" s="50"/>
      <c r="L276" s="50"/>
      <c r="M276" s="50"/>
      <c r="N276" s="50"/>
      <c r="O276" s="50"/>
      <c r="P276" s="50"/>
      <c r="Q276" s="50"/>
      <c r="R276" s="50"/>
      <c r="S276" s="50"/>
      <c r="T276" s="50"/>
      <c r="U276" s="50"/>
      <c r="V276" s="50"/>
      <c r="W276" s="50"/>
      <c r="X276" s="50"/>
      <c r="Y276" s="50"/>
      <c r="Z276" s="50"/>
      <c r="AA276" s="50"/>
      <c r="AB276" s="50"/>
    </row>
    <row r="277" customFormat="false" ht="15.75" hidden="false" customHeight="false" outlineLevel="0" collapsed="false">
      <c r="A277" s="50"/>
      <c r="B277" s="50"/>
      <c r="C277" s="5"/>
      <c r="D277" s="48"/>
      <c r="E277" s="50"/>
      <c r="F277" s="5"/>
      <c r="G277" s="5"/>
      <c r="H277" s="5"/>
      <c r="I277" s="5"/>
      <c r="J277" s="5"/>
      <c r="K277" s="50"/>
      <c r="L277" s="50"/>
      <c r="M277" s="50"/>
      <c r="N277" s="50"/>
      <c r="O277" s="50"/>
      <c r="P277" s="50"/>
      <c r="Q277" s="50"/>
      <c r="R277" s="50"/>
      <c r="S277" s="50"/>
      <c r="T277" s="50"/>
      <c r="U277" s="50"/>
      <c r="V277" s="50"/>
      <c r="W277" s="50"/>
      <c r="X277" s="50"/>
      <c r="Y277" s="50"/>
      <c r="Z277" s="50"/>
      <c r="AA277" s="50"/>
      <c r="AB277" s="50"/>
    </row>
    <row r="278" customFormat="false" ht="15.75" hidden="false" customHeight="false" outlineLevel="0" collapsed="false">
      <c r="A278" s="50"/>
      <c r="B278" s="50"/>
      <c r="C278" s="5"/>
      <c r="D278" s="48"/>
      <c r="E278" s="50"/>
      <c r="F278" s="5"/>
      <c r="G278" s="5"/>
      <c r="H278" s="5"/>
      <c r="I278" s="5"/>
      <c r="J278" s="5"/>
      <c r="K278" s="50"/>
      <c r="L278" s="50"/>
      <c r="M278" s="50"/>
      <c r="N278" s="50"/>
      <c r="O278" s="50"/>
      <c r="P278" s="50"/>
      <c r="Q278" s="50"/>
      <c r="R278" s="50"/>
      <c r="S278" s="50"/>
      <c r="T278" s="50"/>
      <c r="U278" s="50"/>
      <c r="V278" s="50"/>
      <c r="W278" s="50"/>
      <c r="X278" s="50"/>
      <c r="Y278" s="50"/>
      <c r="Z278" s="50"/>
      <c r="AA278" s="50"/>
      <c r="AB278" s="50"/>
    </row>
    <row r="279" customFormat="false" ht="15.75" hidden="false" customHeight="false" outlineLevel="0" collapsed="false">
      <c r="A279" s="50"/>
      <c r="B279" s="50"/>
      <c r="C279" s="5"/>
      <c r="D279" s="48"/>
      <c r="E279" s="50"/>
      <c r="F279" s="5"/>
      <c r="G279" s="5"/>
      <c r="H279" s="5"/>
      <c r="I279" s="5"/>
      <c r="J279" s="5"/>
      <c r="K279" s="50"/>
      <c r="L279" s="50"/>
      <c r="M279" s="50"/>
      <c r="N279" s="50"/>
      <c r="O279" s="50"/>
      <c r="P279" s="50"/>
      <c r="Q279" s="50"/>
      <c r="R279" s="50"/>
      <c r="S279" s="50"/>
      <c r="T279" s="50"/>
      <c r="U279" s="50"/>
      <c r="V279" s="50"/>
      <c r="W279" s="50"/>
      <c r="X279" s="50"/>
      <c r="Y279" s="50"/>
      <c r="Z279" s="50"/>
      <c r="AA279" s="50"/>
      <c r="AB279" s="50"/>
    </row>
    <row r="280" customFormat="false" ht="15.75" hidden="false" customHeight="false" outlineLevel="0" collapsed="false">
      <c r="A280" s="50"/>
      <c r="B280" s="50"/>
      <c r="C280" s="5"/>
      <c r="D280" s="48"/>
      <c r="E280" s="50"/>
      <c r="F280" s="5"/>
      <c r="G280" s="5"/>
      <c r="H280" s="5"/>
      <c r="I280" s="5"/>
      <c r="J280" s="5"/>
      <c r="K280" s="50"/>
      <c r="L280" s="50"/>
      <c r="M280" s="50"/>
      <c r="N280" s="50"/>
      <c r="O280" s="50"/>
      <c r="P280" s="50"/>
      <c r="Q280" s="50"/>
      <c r="R280" s="50"/>
      <c r="S280" s="50"/>
      <c r="T280" s="50"/>
      <c r="U280" s="50"/>
      <c r="V280" s="50"/>
      <c r="W280" s="50"/>
      <c r="X280" s="50"/>
      <c r="Y280" s="50"/>
      <c r="Z280" s="50"/>
      <c r="AA280" s="50"/>
      <c r="AB280" s="50"/>
    </row>
    <row r="281" customFormat="false" ht="15.75" hidden="false" customHeight="false" outlineLevel="0" collapsed="false">
      <c r="A281" s="50"/>
      <c r="B281" s="50"/>
      <c r="C281" s="5"/>
      <c r="D281" s="48"/>
      <c r="E281" s="50"/>
      <c r="F281" s="5"/>
      <c r="G281" s="5"/>
      <c r="H281" s="5"/>
      <c r="I281" s="5"/>
      <c r="J281" s="5"/>
      <c r="K281" s="50"/>
      <c r="L281" s="50"/>
      <c r="M281" s="50"/>
      <c r="N281" s="50"/>
      <c r="O281" s="50"/>
      <c r="P281" s="50"/>
      <c r="Q281" s="50"/>
      <c r="R281" s="50"/>
      <c r="S281" s="50"/>
      <c r="T281" s="50"/>
      <c r="U281" s="50"/>
      <c r="V281" s="50"/>
      <c r="W281" s="50"/>
      <c r="X281" s="50"/>
      <c r="Y281" s="50"/>
      <c r="Z281" s="50"/>
      <c r="AA281" s="50"/>
      <c r="AB281" s="50"/>
    </row>
    <row r="282" customFormat="false" ht="15.75" hidden="false" customHeight="false" outlineLevel="0" collapsed="false">
      <c r="A282" s="50"/>
      <c r="B282" s="50"/>
      <c r="C282" s="5"/>
      <c r="D282" s="48"/>
      <c r="E282" s="50"/>
      <c r="F282" s="5"/>
      <c r="G282" s="5"/>
      <c r="H282" s="5"/>
      <c r="I282" s="5"/>
      <c r="J282" s="5"/>
      <c r="K282" s="50"/>
      <c r="L282" s="50"/>
      <c r="M282" s="50"/>
      <c r="N282" s="50"/>
      <c r="O282" s="50"/>
      <c r="P282" s="50"/>
      <c r="Q282" s="50"/>
      <c r="R282" s="50"/>
      <c r="S282" s="50"/>
      <c r="T282" s="50"/>
      <c r="U282" s="50"/>
      <c r="V282" s="50"/>
      <c r="W282" s="50"/>
      <c r="X282" s="50"/>
      <c r="Y282" s="50"/>
      <c r="Z282" s="50"/>
      <c r="AA282" s="50"/>
      <c r="AB282" s="50"/>
    </row>
    <row r="283" customFormat="false" ht="15.75" hidden="false" customHeight="false" outlineLevel="0" collapsed="false">
      <c r="A283" s="50"/>
      <c r="B283" s="50"/>
      <c r="C283" s="5"/>
      <c r="D283" s="48"/>
      <c r="E283" s="50"/>
      <c r="F283" s="5"/>
      <c r="G283" s="5"/>
      <c r="H283" s="5"/>
      <c r="I283" s="5"/>
      <c r="J283" s="5"/>
      <c r="K283" s="50"/>
      <c r="L283" s="50"/>
      <c r="M283" s="50"/>
      <c r="N283" s="50"/>
      <c r="O283" s="50"/>
      <c r="P283" s="50"/>
      <c r="Q283" s="50"/>
      <c r="R283" s="50"/>
      <c r="S283" s="50"/>
      <c r="T283" s="50"/>
      <c r="U283" s="50"/>
      <c r="V283" s="50"/>
      <c r="W283" s="50"/>
      <c r="X283" s="50"/>
      <c r="Y283" s="50"/>
      <c r="Z283" s="50"/>
      <c r="AA283" s="50"/>
      <c r="AB283" s="50"/>
    </row>
    <row r="284" customFormat="false" ht="15.75" hidden="false" customHeight="false" outlineLevel="0" collapsed="false">
      <c r="A284" s="50"/>
      <c r="B284" s="50"/>
      <c r="C284" s="5"/>
      <c r="D284" s="48"/>
      <c r="E284" s="50"/>
      <c r="F284" s="5"/>
      <c r="G284" s="5"/>
      <c r="H284" s="5"/>
      <c r="I284" s="5"/>
      <c r="J284" s="5"/>
      <c r="K284" s="50"/>
      <c r="L284" s="50"/>
      <c r="M284" s="50"/>
      <c r="N284" s="50"/>
      <c r="O284" s="50"/>
      <c r="P284" s="50"/>
      <c r="Q284" s="50"/>
      <c r="R284" s="50"/>
      <c r="S284" s="50"/>
      <c r="T284" s="50"/>
      <c r="U284" s="50"/>
      <c r="V284" s="50"/>
      <c r="W284" s="50"/>
      <c r="X284" s="50"/>
      <c r="Y284" s="50"/>
      <c r="Z284" s="50"/>
      <c r="AA284" s="50"/>
      <c r="AB284" s="50"/>
    </row>
    <row r="285" customFormat="false" ht="15.75" hidden="false" customHeight="false" outlineLevel="0" collapsed="false">
      <c r="A285" s="50"/>
      <c r="B285" s="50"/>
      <c r="C285" s="5"/>
      <c r="D285" s="48"/>
      <c r="E285" s="50"/>
      <c r="F285" s="5"/>
      <c r="G285" s="5"/>
      <c r="H285" s="5"/>
      <c r="I285" s="5"/>
      <c r="J285" s="5"/>
      <c r="K285" s="50"/>
      <c r="L285" s="50"/>
      <c r="M285" s="50"/>
      <c r="N285" s="50"/>
      <c r="O285" s="50"/>
      <c r="P285" s="50"/>
      <c r="Q285" s="50"/>
      <c r="R285" s="50"/>
      <c r="S285" s="50"/>
      <c r="T285" s="50"/>
      <c r="U285" s="50"/>
      <c r="V285" s="50"/>
      <c r="W285" s="50"/>
      <c r="X285" s="50"/>
      <c r="Y285" s="50"/>
      <c r="Z285" s="50"/>
      <c r="AA285" s="50"/>
      <c r="AB285" s="50"/>
    </row>
    <row r="286" customFormat="false" ht="15.75" hidden="false" customHeight="false" outlineLevel="0" collapsed="false">
      <c r="A286" s="50"/>
      <c r="B286" s="50"/>
      <c r="C286" s="5"/>
      <c r="D286" s="48"/>
      <c r="E286" s="50"/>
      <c r="F286" s="5"/>
      <c r="G286" s="5"/>
      <c r="H286" s="5"/>
      <c r="I286" s="5"/>
      <c r="J286" s="5"/>
      <c r="K286" s="50"/>
      <c r="L286" s="50"/>
      <c r="M286" s="50"/>
      <c r="N286" s="50"/>
      <c r="O286" s="50"/>
      <c r="P286" s="50"/>
      <c r="Q286" s="50"/>
      <c r="R286" s="50"/>
      <c r="S286" s="50"/>
      <c r="T286" s="50"/>
      <c r="U286" s="50"/>
      <c r="V286" s="50"/>
      <c r="W286" s="50"/>
      <c r="X286" s="50"/>
      <c r="Y286" s="50"/>
      <c r="Z286" s="50"/>
      <c r="AA286" s="50"/>
      <c r="AB286" s="50"/>
    </row>
    <row r="287" customFormat="false" ht="15.75" hidden="false" customHeight="false" outlineLevel="0" collapsed="false">
      <c r="A287" s="50"/>
      <c r="B287" s="50"/>
      <c r="C287" s="5"/>
      <c r="D287" s="48"/>
      <c r="E287" s="50"/>
      <c r="F287" s="5"/>
      <c r="G287" s="5"/>
      <c r="H287" s="5"/>
      <c r="I287" s="5"/>
      <c r="J287" s="5"/>
      <c r="K287" s="50"/>
      <c r="L287" s="50"/>
      <c r="M287" s="50"/>
      <c r="N287" s="50"/>
      <c r="O287" s="50"/>
      <c r="P287" s="50"/>
      <c r="Q287" s="50"/>
      <c r="R287" s="50"/>
      <c r="S287" s="50"/>
      <c r="T287" s="50"/>
      <c r="U287" s="50"/>
      <c r="V287" s="50"/>
      <c r="W287" s="50"/>
      <c r="X287" s="50"/>
      <c r="Y287" s="50"/>
      <c r="Z287" s="50"/>
      <c r="AA287" s="50"/>
      <c r="AB287" s="50"/>
    </row>
    <row r="288" customFormat="false" ht="15.75" hidden="false" customHeight="false" outlineLevel="0" collapsed="false">
      <c r="A288" s="50"/>
      <c r="B288" s="50"/>
      <c r="C288" s="5"/>
      <c r="D288" s="48"/>
      <c r="E288" s="50"/>
      <c r="F288" s="5"/>
      <c r="G288" s="5"/>
      <c r="H288" s="5"/>
      <c r="I288" s="5"/>
      <c r="J288" s="5"/>
      <c r="K288" s="50"/>
      <c r="L288" s="50"/>
      <c r="M288" s="50"/>
      <c r="N288" s="50"/>
      <c r="O288" s="50"/>
      <c r="P288" s="50"/>
      <c r="Q288" s="50"/>
      <c r="R288" s="50"/>
      <c r="S288" s="50"/>
      <c r="T288" s="50"/>
      <c r="U288" s="50"/>
      <c r="V288" s="50"/>
      <c r="W288" s="50"/>
      <c r="X288" s="50"/>
      <c r="Y288" s="50"/>
      <c r="Z288" s="50"/>
      <c r="AA288" s="50"/>
      <c r="AB288" s="50"/>
    </row>
    <row r="289" customFormat="false" ht="15.75" hidden="false" customHeight="false" outlineLevel="0" collapsed="false">
      <c r="A289" s="50"/>
      <c r="B289" s="50"/>
      <c r="C289" s="5"/>
      <c r="D289" s="48"/>
      <c r="E289" s="50"/>
      <c r="F289" s="5"/>
      <c r="G289" s="5"/>
      <c r="H289" s="5"/>
      <c r="I289" s="5"/>
      <c r="J289" s="5"/>
      <c r="K289" s="50"/>
      <c r="L289" s="50"/>
      <c r="M289" s="50"/>
      <c r="N289" s="50"/>
      <c r="O289" s="50"/>
      <c r="P289" s="50"/>
      <c r="Q289" s="50"/>
      <c r="R289" s="50"/>
      <c r="S289" s="50"/>
      <c r="T289" s="50"/>
      <c r="U289" s="50"/>
      <c r="V289" s="50"/>
      <c r="W289" s="50"/>
      <c r="X289" s="50"/>
      <c r="Y289" s="50"/>
      <c r="Z289" s="50"/>
      <c r="AA289" s="50"/>
      <c r="AB289" s="50"/>
    </row>
    <row r="290" customFormat="false" ht="15.75" hidden="false" customHeight="false" outlineLevel="0" collapsed="false">
      <c r="A290" s="50"/>
      <c r="B290" s="50"/>
      <c r="C290" s="5"/>
      <c r="D290" s="48"/>
      <c r="E290" s="50"/>
      <c r="F290" s="5"/>
      <c r="G290" s="5"/>
      <c r="H290" s="5"/>
      <c r="I290" s="5"/>
      <c r="J290" s="5"/>
      <c r="K290" s="50"/>
      <c r="L290" s="50"/>
      <c r="M290" s="50"/>
      <c r="N290" s="50"/>
      <c r="O290" s="50"/>
      <c r="P290" s="50"/>
      <c r="Q290" s="50"/>
      <c r="R290" s="50"/>
      <c r="S290" s="50"/>
      <c r="T290" s="50"/>
      <c r="U290" s="50"/>
      <c r="V290" s="50"/>
      <c r="W290" s="50"/>
      <c r="X290" s="50"/>
      <c r="Y290" s="50"/>
      <c r="Z290" s="50"/>
      <c r="AA290" s="50"/>
      <c r="AB290" s="50"/>
    </row>
    <row r="291" customFormat="false" ht="15.75" hidden="false" customHeight="false" outlineLevel="0" collapsed="false">
      <c r="A291" s="50"/>
      <c r="B291" s="50"/>
      <c r="C291" s="5"/>
      <c r="D291" s="48"/>
      <c r="E291" s="50"/>
      <c r="F291" s="5"/>
      <c r="G291" s="5"/>
      <c r="H291" s="5"/>
      <c r="I291" s="5"/>
      <c r="J291" s="5"/>
      <c r="K291" s="50"/>
      <c r="L291" s="50"/>
      <c r="M291" s="50"/>
      <c r="N291" s="50"/>
      <c r="O291" s="50"/>
      <c r="P291" s="50"/>
      <c r="Q291" s="50"/>
      <c r="R291" s="50"/>
      <c r="S291" s="50"/>
      <c r="T291" s="50"/>
      <c r="U291" s="50"/>
      <c r="V291" s="50"/>
      <c r="W291" s="50"/>
      <c r="X291" s="50"/>
      <c r="Y291" s="50"/>
      <c r="Z291" s="50"/>
      <c r="AA291" s="50"/>
      <c r="AB291" s="50"/>
    </row>
    <row r="292" customFormat="false" ht="15.75" hidden="false" customHeight="false" outlineLevel="0" collapsed="false">
      <c r="A292" s="50"/>
      <c r="B292" s="50"/>
      <c r="C292" s="5"/>
      <c r="D292" s="48"/>
      <c r="E292" s="50"/>
      <c r="F292" s="5"/>
      <c r="G292" s="5"/>
      <c r="H292" s="5"/>
      <c r="I292" s="5"/>
      <c r="J292" s="5"/>
      <c r="K292" s="50"/>
      <c r="L292" s="50"/>
      <c r="M292" s="50"/>
      <c r="N292" s="50"/>
      <c r="O292" s="50"/>
      <c r="P292" s="50"/>
      <c r="Q292" s="50"/>
      <c r="R292" s="50"/>
      <c r="S292" s="50"/>
      <c r="T292" s="50"/>
      <c r="U292" s="50"/>
      <c r="V292" s="50"/>
      <c r="W292" s="50"/>
      <c r="X292" s="50"/>
      <c r="Y292" s="50"/>
      <c r="Z292" s="50"/>
      <c r="AA292" s="50"/>
      <c r="AB292" s="50"/>
    </row>
    <row r="293" customFormat="false" ht="15.75" hidden="false" customHeight="false" outlineLevel="0" collapsed="false">
      <c r="A293" s="50"/>
      <c r="B293" s="50"/>
      <c r="C293" s="5"/>
      <c r="D293" s="48"/>
      <c r="E293" s="50"/>
      <c r="F293" s="5"/>
      <c r="G293" s="5"/>
      <c r="H293" s="5"/>
      <c r="I293" s="5"/>
      <c r="J293" s="5"/>
      <c r="K293" s="50"/>
      <c r="L293" s="50"/>
      <c r="M293" s="50"/>
      <c r="N293" s="50"/>
      <c r="O293" s="50"/>
      <c r="P293" s="50"/>
      <c r="Q293" s="50"/>
      <c r="R293" s="50"/>
      <c r="S293" s="50"/>
      <c r="T293" s="50"/>
      <c r="U293" s="50"/>
      <c r="V293" s="50"/>
      <c r="W293" s="50"/>
      <c r="X293" s="50"/>
      <c r="Y293" s="50"/>
      <c r="Z293" s="50"/>
      <c r="AA293" s="50"/>
      <c r="AB293" s="50"/>
    </row>
    <row r="294" customFormat="false" ht="15.75" hidden="false" customHeight="false" outlineLevel="0" collapsed="false">
      <c r="A294" s="50"/>
      <c r="B294" s="50"/>
      <c r="C294" s="5"/>
      <c r="D294" s="48"/>
      <c r="E294" s="50"/>
      <c r="F294" s="5"/>
      <c r="G294" s="5"/>
      <c r="H294" s="5"/>
      <c r="I294" s="5"/>
      <c r="J294" s="5"/>
      <c r="K294" s="50"/>
      <c r="L294" s="50"/>
      <c r="M294" s="50"/>
      <c r="N294" s="50"/>
      <c r="O294" s="50"/>
      <c r="P294" s="50"/>
      <c r="Q294" s="50"/>
      <c r="R294" s="50"/>
      <c r="S294" s="50"/>
      <c r="T294" s="50"/>
      <c r="U294" s="50"/>
      <c r="V294" s="50"/>
      <c r="W294" s="50"/>
      <c r="X294" s="50"/>
      <c r="Y294" s="50"/>
      <c r="Z294" s="50"/>
      <c r="AA294" s="50"/>
      <c r="AB294" s="50"/>
    </row>
    <row r="295" customFormat="false" ht="15.75" hidden="false" customHeight="false" outlineLevel="0" collapsed="false">
      <c r="A295" s="50"/>
      <c r="B295" s="50"/>
      <c r="C295" s="5"/>
      <c r="D295" s="48"/>
      <c r="E295" s="50"/>
      <c r="F295" s="5"/>
      <c r="G295" s="5"/>
      <c r="H295" s="5"/>
      <c r="I295" s="5"/>
      <c r="J295" s="5"/>
      <c r="K295" s="50"/>
      <c r="L295" s="50"/>
      <c r="M295" s="50"/>
      <c r="N295" s="50"/>
      <c r="O295" s="50"/>
      <c r="P295" s="50"/>
      <c r="Q295" s="50"/>
      <c r="R295" s="50"/>
      <c r="S295" s="50"/>
      <c r="T295" s="50"/>
      <c r="U295" s="50"/>
      <c r="V295" s="50"/>
      <c r="W295" s="50"/>
      <c r="X295" s="50"/>
      <c r="Y295" s="50"/>
      <c r="Z295" s="50"/>
      <c r="AA295" s="50"/>
      <c r="AB295" s="50"/>
    </row>
    <row r="296" customFormat="false" ht="15.75" hidden="false" customHeight="false" outlineLevel="0" collapsed="false">
      <c r="A296" s="50"/>
      <c r="B296" s="50"/>
      <c r="C296" s="5"/>
      <c r="D296" s="48"/>
      <c r="E296" s="50"/>
      <c r="F296" s="5"/>
      <c r="G296" s="5"/>
      <c r="H296" s="5"/>
      <c r="I296" s="5"/>
      <c r="J296" s="5"/>
      <c r="K296" s="50"/>
      <c r="L296" s="50"/>
      <c r="M296" s="50"/>
      <c r="N296" s="50"/>
      <c r="O296" s="50"/>
      <c r="P296" s="50"/>
      <c r="Q296" s="50"/>
      <c r="R296" s="50"/>
      <c r="S296" s="50"/>
      <c r="T296" s="50"/>
      <c r="U296" s="50"/>
      <c r="V296" s="50"/>
      <c r="W296" s="50"/>
      <c r="X296" s="50"/>
      <c r="Y296" s="50"/>
      <c r="Z296" s="50"/>
      <c r="AA296" s="50"/>
      <c r="AB296" s="50"/>
    </row>
    <row r="297" customFormat="false" ht="15.75" hidden="false" customHeight="false" outlineLevel="0" collapsed="false">
      <c r="A297" s="50"/>
      <c r="B297" s="50"/>
      <c r="C297" s="5"/>
      <c r="D297" s="48"/>
      <c r="E297" s="50"/>
      <c r="F297" s="5"/>
      <c r="G297" s="5"/>
      <c r="H297" s="5"/>
      <c r="I297" s="5"/>
      <c r="J297" s="5"/>
      <c r="K297" s="50"/>
      <c r="L297" s="50"/>
      <c r="M297" s="50"/>
      <c r="N297" s="50"/>
      <c r="O297" s="50"/>
      <c r="P297" s="50"/>
      <c r="Q297" s="50"/>
      <c r="R297" s="50"/>
      <c r="S297" s="50"/>
      <c r="T297" s="50"/>
      <c r="U297" s="50"/>
      <c r="V297" s="50"/>
      <c r="W297" s="50"/>
      <c r="X297" s="50"/>
      <c r="Y297" s="50"/>
      <c r="Z297" s="50"/>
      <c r="AA297" s="50"/>
      <c r="AB297" s="50"/>
    </row>
    <row r="298" customFormat="false" ht="15.75" hidden="false" customHeight="false" outlineLevel="0" collapsed="false">
      <c r="A298" s="50"/>
      <c r="B298" s="50"/>
      <c r="C298" s="5"/>
      <c r="D298" s="48"/>
      <c r="E298" s="50"/>
      <c r="F298" s="5"/>
      <c r="G298" s="5"/>
      <c r="H298" s="5"/>
      <c r="I298" s="5"/>
      <c r="J298" s="5"/>
      <c r="K298" s="50"/>
      <c r="L298" s="50"/>
      <c r="M298" s="50"/>
      <c r="N298" s="50"/>
      <c r="O298" s="50"/>
      <c r="P298" s="50"/>
      <c r="Q298" s="50"/>
      <c r="R298" s="50"/>
      <c r="S298" s="50"/>
      <c r="T298" s="50"/>
      <c r="U298" s="50"/>
      <c r="V298" s="50"/>
      <c r="W298" s="50"/>
      <c r="X298" s="50"/>
      <c r="Y298" s="50"/>
      <c r="Z298" s="50"/>
      <c r="AA298" s="50"/>
      <c r="AB298" s="50"/>
    </row>
    <row r="299" customFormat="false" ht="15.75" hidden="false" customHeight="false" outlineLevel="0" collapsed="false">
      <c r="A299" s="50"/>
      <c r="B299" s="50"/>
      <c r="C299" s="5"/>
      <c r="D299" s="48"/>
      <c r="E299" s="50"/>
      <c r="F299" s="5"/>
      <c r="G299" s="5"/>
      <c r="H299" s="5"/>
      <c r="I299" s="5"/>
      <c r="J299" s="5"/>
      <c r="K299" s="50"/>
      <c r="L299" s="50"/>
      <c r="M299" s="50"/>
      <c r="N299" s="50"/>
      <c r="O299" s="50"/>
      <c r="P299" s="50"/>
      <c r="Q299" s="50"/>
      <c r="R299" s="50"/>
      <c r="S299" s="50"/>
      <c r="T299" s="50"/>
      <c r="U299" s="50"/>
      <c r="V299" s="50"/>
      <c r="W299" s="50"/>
      <c r="X299" s="50"/>
      <c r="Y299" s="50"/>
      <c r="Z299" s="50"/>
      <c r="AA299" s="50"/>
      <c r="AB299" s="50"/>
    </row>
    <row r="300" customFormat="false" ht="15.75" hidden="false" customHeight="false" outlineLevel="0" collapsed="false">
      <c r="A300" s="50"/>
      <c r="B300" s="50"/>
      <c r="C300" s="5"/>
      <c r="D300" s="48"/>
      <c r="E300" s="50"/>
      <c r="F300" s="5"/>
      <c r="G300" s="5"/>
      <c r="H300" s="5"/>
      <c r="I300" s="5"/>
      <c r="J300" s="5"/>
      <c r="K300" s="50"/>
      <c r="L300" s="50"/>
      <c r="M300" s="50"/>
      <c r="N300" s="50"/>
      <c r="O300" s="50"/>
      <c r="P300" s="50"/>
      <c r="Q300" s="50"/>
      <c r="R300" s="50"/>
      <c r="S300" s="50"/>
      <c r="T300" s="50"/>
      <c r="U300" s="50"/>
      <c r="V300" s="50"/>
      <c r="W300" s="50"/>
      <c r="X300" s="50"/>
      <c r="Y300" s="50"/>
      <c r="Z300" s="50"/>
      <c r="AA300" s="50"/>
      <c r="AB300" s="50"/>
    </row>
    <row r="301" customFormat="false" ht="15.75" hidden="false" customHeight="false" outlineLevel="0" collapsed="false">
      <c r="A301" s="50"/>
      <c r="B301" s="50"/>
      <c r="C301" s="5"/>
      <c r="D301" s="48"/>
      <c r="E301" s="50"/>
      <c r="F301" s="5"/>
      <c r="G301" s="5"/>
      <c r="H301" s="5"/>
      <c r="I301" s="5"/>
      <c r="J301" s="5"/>
      <c r="K301" s="50"/>
      <c r="L301" s="50"/>
      <c r="M301" s="50"/>
      <c r="N301" s="50"/>
      <c r="O301" s="50"/>
      <c r="P301" s="50"/>
      <c r="Q301" s="50"/>
      <c r="R301" s="50"/>
      <c r="S301" s="50"/>
      <c r="T301" s="50"/>
      <c r="U301" s="50"/>
      <c r="V301" s="50"/>
      <c r="W301" s="50"/>
      <c r="X301" s="50"/>
      <c r="Y301" s="50"/>
      <c r="Z301" s="50"/>
      <c r="AA301" s="50"/>
      <c r="AB301" s="50"/>
    </row>
    <row r="302" customFormat="false" ht="15.75" hidden="false" customHeight="false" outlineLevel="0" collapsed="false">
      <c r="A302" s="50"/>
      <c r="B302" s="50"/>
      <c r="C302" s="5"/>
      <c r="D302" s="48"/>
      <c r="E302" s="50"/>
      <c r="F302" s="5"/>
      <c r="G302" s="5"/>
      <c r="H302" s="5"/>
      <c r="I302" s="5"/>
      <c r="J302" s="5"/>
      <c r="K302" s="50"/>
      <c r="L302" s="50"/>
      <c r="M302" s="50"/>
      <c r="N302" s="50"/>
      <c r="O302" s="50"/>
      <c r="P302" s="50"/>
      <c r="Q302" s="50"/>
      <c r="R302" s="50"/>
      <c r="S302" s="50"/>
      <c r="T302" s="50"/>
      <c r="U302" s="50"/>
      <c r="V302" s="50"/>
      <c r="W302" s="50"/>
      <c r="X302" s="50"/>
      <c r="Y302" s="50"/>
      <c r="Z302" s="50"/>
      <c r="AA302" s="50"/>
      <c r="AB302" s="50"/>
    </row>
    <row r="303" customFormat="false" ht="15.75" hidden="false" customHeight="false" outlineLevel="0" collapsed="false">
      <c r="A303" s="50"/>
      <c r="B303" s="50"/>
      <c r="C303" s="5"/>
      <c r="D303" s="48"/>
      <c r="E303" s="50"/>
      <c r="F303" s="5"/>
      <c r="G303" s="5"/>
      <c r="H303" s="5"/>
      <c r="I303" s="5"/>
      <c r="J303" s="5"/>
      <c r="K303" s="50"/>
      <c r="L303" s="50"/>
      <c r="M303" s="50"/>
      <c r="N303" s="50"/>
      <c r="O303" s="50"/>
      <c r="P303" s="50"/>
      <c r="Q303" s="50"/>
      <c r="R303" s="50"/>
      <c r="S303" s="50"/>
      <c r="T303" s="50"/>
      <c r="U303" s="50"/>
      <c r="V303" s="50"/>
      <c r="W303" s="50"/>
      <c r="X303" s="50"/>
      <c r="Y303" s="50"/>
      <c r="Z303" s="50"/>
      <c r="AA303" s="50"/>
      <c r="AB303" s="50"/>
    </row>
    <row r="304" customFormat="false" ht="15.75" hidden="false" customHeight="false" outlineLevel="0" collapsed="false">
      <c r="A304" s="50"/>
      <c r="B304" s="50"/>
      <c r="C304" s="5"/>
      <c r="D304" s="48"/>
      <c r="E304" s="50"/>
      <c r="F304" s="5"/>
      <c r="G304" s="5"/>
      <c r="H304" s="5"/>
      <c r="I304" s="5"/>
      <c r="J304" s="5"/>
      <c r="K304" s="50"/>
      <c r="L304" s="50"/>
      <c r="M304" s="50"/>
      <c r="N304" s="50"/>
      <c r="O304" s="50"/>
      <c r="P304" s="50"/>
      <c r="Q304" s="50"/>
      <c r="R304" s="50"/>
      <c r="S304" s="50"/>
      <c r="T304" s="50"/>
      <c r="U304" s="50"/>
      <c r="V304" s="50"/>
      <c r="W304" s="50"/>
      <c r="X304" s="50"/>
      <c r="Y304" s="50"/>
      <c r="Z304" s="50"/>
      <c r="AA304" s="50"/>
      <c r="AB304" s="50"/>
    </row>
    <row r="305" customFormat="false" ht="15.75" hidden="false" customHeight="false" outlineLevel="0" collapsed="false">
      <c r="A305" s="50"/>
      <c r="B305" s="50"/>
      <c r="C305" s="5"/>
      <c r="D305" s="48"/>
      <c r="E305" s="50"/>
      <c r="F305" s="5"/>
      <c r="G305" s="5"/>
      <c r="H305" s="5"/>
      <c r="I305" s="5"/>
      <c r="J305" s="5"/>
      <c r="K305" s="50"/>
      <c r="L305" s="50"/>
      <c r="M305" s="50"/>
      <c r="N305" s="50"/>
      <c r="O305" s="50"/>
      <c r="P305" s="50"/>
      <c r="Q305" s="50"/>
      <c r="R305" s="50"/>
      <c r="S305" s="50"/>
      <c r="T305" s="50"/>
      <c r="U305" s="50"/>
      <c r="V305" s="50"/>
      <c r="W305" s="50"/>
      <c r="X305" s="50"/>
      <c r="Y305" s="50"/>
      <c r="Z305" s="50"/>
      <c r="AA305" s="50"/>
      <c r="AB305" s="50"/>
    </row>
    <row r="306" customFormat="false" ht="15.75" hidden="false" customHeight="false" outlineLevel="0" collapsed="false">
      <c r="A306" s="50"/>
      <c r="B306" s="50"/>
      <c r="C306" s="5"/>
      <c r="D306" s="48"/>
      <c r="E306" s="50"/>
      <c r="F306" s="5"/>
      <c r="G306" s="5"/>
      <c r="H306" s="5"/>
      <c r="I306" s="5"/>
      <c r="J306" s="5"/>
      <c r="K306" s="50"/>
      <c r="L306" s="50"/>
      <c r="M306" s="50"/>
      <c r="N306" s="50"/>
      <c r="O306" s="50"/>
      <c r="P306" s="50"/>
      <c r="Q306" s="50"/>
      <c r="R306" s="50"/>
      <c r="S306" s="50"/>
      <c r="T306" s="50"/>
      <c r="U306" s="50"/>
      <c r="V306" s="50"/>
      <c r="W306" s="50"/>
      <c r="X306" s="50"/>
      <c r="Y306" s="50"/>
      <c r="Z306" s="50"/>
      <c r="AA306" s="50"/>
      <c r="AB306" s="50"/>
    </row>
    <row r="307" customFormat="false" ht="15.75" hidden="false" customHeight="false" outlineLevel="0" collapsed="false">
      <c r="A307" s="50"/>
      <c r="B307" s="50"/>
      <c r="C307" s="5"/>
      <c r="D307" s="48"/>
      <c r="E307" s="50"/>
      <c r="F307" s="5"/>
      <c r="G307" s="5"/>
      <c r="H307" s="5"/>
      <c r="I307" s="5"/>
      <c r="J307" s="5"/>
      <c r="K307" s="50"/>
      <c r="L307" s="50"/>
      <c r="M307" s="50"/>
      <c r="N307" s="50"/>
      <c r="O307" s="50"/>
      <c r="P307" s="50"/>
      <c r="Q307" s="50"/>
      <c r="R307" s="50"/>
      <c r="S307" s="50"/>
      <c r="T307" s="50"/>
      <c r="U307" s="50"/>
      <c r="V307" s="50"/>
      <c r="W307" s="50"/>
      <c r="X307" s="50"/>
      <c r="Y307" s="50"/>
      <c r="Z307" s="50"/>
      <c r="AA307" s="50"/>
      <c r="AB307" s="50"/>
    </row>
    <row r="308" customFormat="false" ht="15.75" hidden="false" customHeight="false" outlineLevel="0" collapsed="false">
      <c r="A308" s="50"/>
      <c r="B308" s="50"/>
      <c r="C308" s="5"/>
      <c r="D308" s="48"/>
      <c r="E308" s="50"/>
      <c r="F308" s="5"/>
      <c r="G308" s="5"/>
      <c r="H308" s="5"/>
      <c r="I308" s="5"/>
      <c r="J308" s="5"/>
      <c r="K308" s="50"/>
      <c r="L308" s="50"/>
      <c r="M308" s="50"/>
      <c r="N308" s="50"/>
      <c r="O308" s="50"/>
      <c r="P308" s="50"/>
      <c r="Q308" s="50"/>
      <c r="R308" s="50"/>
      <c r="S308" s="50"/>
      <c r="T308" s="50"/>
      <c r="U308" s="50"/>
      <c r="V308" s="50"/>
      <c r="W308" s="50"/>
      <c r="X308" s="50"/>
      <c r="Y308" s="50"/>
      <c r="Z308" s="50"/>
      <c r="AA308" s="50"/>
      <c r="AB308" s="50"/>
    </row>
    <row r="309" customFormat="false" ht="15.75" hidden="false" customHeight="false" outlineLevel="0" collapsed="false">
      <c r="A309" s="50"/>
      <c r="B309" s="50"/>
      <c r="C309" s="5"/>
      <c r="D309" s="48"/>
      <c r="E309" s="50"/>
      <c r="F309" s="5"/>
      <c r="G309" s="5"/>
      <c r="H309" s="5"/>
      <c r="I309" s="5"/>
      <c r="J309" s="5"/>
      <c r="K309" s="50"/>
      <c r="L309" s="50"/>
      <c r="M309" s="50"/>
      <c r="N309" s="50"/>
      <c r="O309" s="50"/>
      <c r="P309" s="50"/>
      <c r="Q309" s="50"/>
      <c r="R309" s="50"/>
      <c r="S309" s="50"/>
      <c r="T309" s="50"/>
      <c r="U309" s="50"/>
      <c r="V309" s="50"/>
      <c r="W309" s="50"/>
      <c r="X309" s="50"/>
      <c r="Y309" s="50"/>
      <c r="Z309" s="50"/>
      <c r="AA309" s="50"/>
      <c r="AB309" s="50"/>
    </row>
    <row r="310" customFormat="false" ht="15.75" hidden="false" customHeight="false" outlineLevel="0" collapsed="false">
      <c r="A310" s="50"/>
      <c r="B310" s="50"/>
      <c r="C310" s="5"/>
      <c r="D310" s="48"/>
      <c r="E310" s="50"/>
      <c r="F310" s="5"/>
      <c r="G310" s="5"/>
      <c r="H310" s="5"/>
      <c r="I310" s="5"/>
      <c r="J310" s="5"/>
      <c r="K310" s="50"/>
      <c r="L310" s="50"/>
      <c r="M310" s="50"/>
      <c r="N310" s="50"/>
      <c r="O310" s="50"/>
      <c r="P310" s="50"/>
      <c r="Q310" s="50"/>
      <c r="R310" s="50"/>
      <c r="S310" s="50"/>
      <c r="T310" s="50"/>
      <c r="U310" s="50"/>
      <c r="V310" s="50"/>
      <c r="W310" s="50"/>
      <c r="X310" s="50"/>
      <c r="Y310" s="50"/>
      <c r="Z310" s="50"/>
      <c r="AA310" s="50"/>
      <c r="AB310" s="50"/>
    </row>
    <row r="311" customFormat="false" ht="15.75" hidden="false" customHeight="false" outlineLevel="0" collapsed="false">
      <c r="A311" s="50"/>
      <c r="B311" s="50"/>
      <c r="C311" s="5"/>
      <c r="D311" s="48"/>
      <c r="E311" s="50"/>
      <c r="F311" s="5"/>
      <c r="G311" s="5"/>
      <c r="H311" s="5"/>
      <c r="I311" s="5"/>
      <c r="J311" s="5"/>
      <c r="K311" s="50"/>
      <c r="L311" s="50"/>
      <c r="M311" s="50"/>
      <c r="N311" s="50"/>
      <c r="O311" s="50"/>
      <c r="P311" s="50"/>
      <c r="Q311" s="50"/>
      <c r="R311" s="50"/>
      <c r="S311" s="50"/>
      <c r="T311" s="50"/>
      <c r="U311" s="50"/>
      <c r="V311" s="50"/>
      <c r="W311" s="50"/>
      <c r="X311" s="50"/>
      <c r="Y311" s="50"/>
      <c r="Z311" s="50"/>
      <c r="AA311" s="50"/>
      <c r="AB311" s="50"/>
    </row>
    <row r="312" customFormat="false" ht="15.75" hidden="false" customHeight="false" outlineLevel="0" collapsed="false">
      <c r="A312" s="50"/>
      <c r="B312" s="50"/>
      <c r="C312" s="5"/>
      <c r="D312" s="48"/>
      <c r="E312" s="50"/>
      <c r="F312" s="5"/>
      <c r="G312" s="5"/>
      <c r="H312" s="5"/>
      <c r="I312" s="5"/>
      <c r="J312" s="5"/>
      <c r="K312" s="50"/>
      <c r="L312" s="50"/>
      <c r="M312" s="50"/>
      <c r="N312" s="50"/>
      <c r="O312" s="50"/>
      <c r="P312" s="50"/>
      <c r="Q312" s="50"/>
      <c r="R312" s="50"/>
      <c r="S312" s="50"/>
      <c r="T312" s="50"/>
      <c r="U312" s="50"/>
      <c r="V312" s="50"/>
      <c r="W312" s="50"/>
      <c r="X312" s="50"/>
      <c r="Y312" s="50"/>
      <c r="Z312" s="50"/>
      <c r="AA312" s="50"/>
      <c r="AB312" s="50"/>
    </row>
    <row r="313" customFormat="false" ht="15.75" hidden="false" customHeight="false" outlineLevel="0" collapsed="false">
      <c r="A313" s="50"/>
      <c r="B313" s="50"/>
      <c r="C313" s="5"/>
      <c r="D313" s="48"/>
      <c r="E313" s="50"/>
      <c r="F313" s="5"/>
      <c r="G313" s="5"/>
      <c r="H313" s="5"/>
      <c r="I313" s="5"/>
      <c r="J313" s="5"/>
      <c r="K313" s="50"/>
      <c r="L313" s="50"/>
      <c r="M313" s="50"/>
      <c r="N313" s="50"/>
      <c r="O313" s="50"/>
      <c r="P313" s="50"/>
      <c r="Q313" s="50"/>
      <c r="R313" s="50"/>
      <c r="S313" s="50"/>
      <c r="T313" s="50"/>
      <c r="U313" s="50"/>
      <c r="V313" s="50"/>
      <c r="W313" s="50"/>
      <c r="X313" s="50"/>
      <c r="Y313" s="50"/>
      <c r="Z313" s="50"/>
      <c r="AA313" s="50"/>
      <c r="AB313" s="50"/>
    </row>
    <row r="314" customFormat="false" ht="15.75" hidden="false" customHeight="false" outlineLevel="0" collapsed="false">
      <c r="A314" s="50"/>
      <c r="B314" s="50"/>
      <c r="C314" s="5"/>
      <c r="D314" s="48"/>
      <c r="E314" s="50"/>
      <c r="F314" s="5"/>
      <c r="G314" s="5"/>
      <c r="H314" s="5"/>
      <c r="I314" s="5"/>
      <c r="J314" s="5"/>
      <c r="K314" s="50"/>
      <c r="L314" s="50"/>
      <c r="M314" s="50"/>
      <c r="N314" s="50"/>
      <c r="O314" s="50"/>
      <c r="P314" s="50"/>
      <c r="Q314" s="50"/>
      <c r="R314" s="50"/>
      <c r="S314" s="50"/>
      <c r="T314" s="50"/>
      <c r="U314" s="50"/>
      <c r="V314" s="50"/>
      <c r="W314" s="50"/>
      <c r="X314" s="50"/>
      <c r="Y314" s="50"/>
      <c r="Z314" s="50"/>
      <c r="AA314" s="50"/>
      <c r="AB314" s="50"/>
    </row>
    <row r="315" customFormat="false" ht="15.75" hidden="false" customHeight="false" outlineLevel="0" collapsed="false">
      <c r="A315" s="50"/>
      <c r="B315" s="50"/>
      <c r="C315" s="5"/>
      <c r="D315" s="48"/>
      <c r="E315" s="50"/>
      <c r="F315" s="5"/>
      <c r="G315" s="5"/>
      <c r="H315" s="5"/>
      <c r="I315" s="5"/>
      <c r="J315" s="5"/>
      <c r="K315" s="50"/>
      <c r="L315" s="50"/>
      <c r="M315" s="50"/>
      <c r="N315" s="50"/>
      <c r="O315" s="50"/>
      <c r="P315" s="50"/>
      <c r="Q315" s="50"/>
      <c r="R315" s="50"/>
      <c r="S315" s="50"/>
      <c r="T315" s="50"/>
      <c r="U315" s="50"/>
      <c r="V315" s="50"/>
      <c r="W315" s="50"/>
      <c r="X315" s="50"/>
      <c r="Y315" s="50"/>
      <c r="Z315" s="50"/>
      <c r="AA315" s="50"/>
      <c r="AB315" s="50"/>
    </row>
    <row r="316" customFormat="false" ht="15.75" hidden="false" customHeight="false" outlineLevel="0" collapsed="false">
      <c r="A316" s="50"/>
      <c r="B316" s="50"/>
      <c r="C316" s="5"/>
      <c r="D316" s="48"/>
      <c r="E316" s="50"/>
      <c r="F316" s="5"/>
      <c r="G316" s="5"/>
      <c r="H316" s="5"/>
      <c r="I316" s="5"/>
      <c r="J316" s="5"/>
      <c r="K316" s="50"/>
      <c r="L316" s="50"/>
      <c r="M316" s="50"/>
      <c r="N316" s="50"/>
      <c r="O316" s="50"/>
      <c r="P316" s="50"/>
      <c r="Q316" s="50"/>
      <c r="R316" s="50"/>
      <c r="S316" s="50"/>
      <c r="T316" s="50"/>
      <c r="U316" s="50"/>
      <c r="V316" s="50"/>
      <c r="W316" s="50"/>
      <c r="X316" s="50"/>
      <c r="Y316" s="50"/>
      <c r="Z316" s="50"/>
      <c r="AA316" s="50"/>
      <c r="AB316" s="50"/>
    </row>
    <row r="317" customFormat="false" ht="15.75" hidden="false" customHeight="false" outlineLevel="0" collapsed="false">
      <c r="A317" s="50"/>
      <c r="B317" s="50"/>
      <c r="C317" s="5"/>
      <c r="D317" s="48"/>
      <c r="E317" s="50"/>
      <c r="F317" s="5"/>
      <c r="G317" s="5"/>
      <c r="H317" s="5"/>
      <c r="I317" s="5"/>
      <c r="J317" s="5"/>
      <c r="K317" s="50"/>
      <c r="L317" s="50"/>
      <c r="M317" s="50"/>
      <c r="N317" s="50"/>
      <c r="O317" s="50"/>
      <c r="P317" s="50"/>
      <c r="Q317" s="50"/>
      <c r="R317" s="50"/>
      <c r="S317" s="50"/>
      <c r="T317" s="50"/>
      <c r="U317" s="50"/>
      <c r="V317" s="50"/>
      <c r="W317" s="50"/>
      <c r="X317" s="50"/>
      <c r="Y317" s="50"/>
      <c r="Z317" s="50"/>
      <c r="AA317" s="50"/>
      <c r="AB317" s="50"/>
    </row>
    <row r="318" customFormat="false" ht="15.75" hidden="false" customHeight="false" outlineLevel="0" collapsed="false">
      <c r="A318" s="50"/>
      <c r="B318" s="50"/>
      <c r="C318" s="5"/>
      <c r="D318" s="48"/>
      <c r="E318" s="50"/>
      <c r="F318" s="5"/>
      <c r="G318" s="5"/>
      <c r="H318" s="5"/>
      <c r="I318" s="5"/>
      <c r="J318" s="5"/>
      <c r="K318" s="50"/>
      <c r="L318" s="50"/>
      <c r="M318" s="50"/>
      <c r="N318" s="50"/>
      <c r="O318" s="50"/>
      <c r="P318" s="50"/>
      <c r="Q318" s="50"/>
      <c r="R318" s="50"/>
      <c r="S318" s="50"/>
      <c r="T318" s="50"/>
      <c r="U318" s="50"/>
      <c r="V318" s="50"/>
      <c r="W318" s="50"/>
      <c r="X318" s="50"/>
      <c r="Y318" s="50"/>
      <c r="Z318" s="50"/>
      <c r="AA318" s="50"/>
      <c r="AB318" s="50"/>
    </row>
    <row r="319" customFormat="false" ht="15.75" hidden="false" customHeight="false" outlineLevel="0" collapsed="false">
      <c r="A319" s="50"/>
      <c r="B319" s="50"/>
      <c r="C319" s="5"/>
      <c r="D319" s="48"/>
      <c r="E319" s="50"/>
      <c r="F319" s="5"/>
      <c r="G319" s="5"/>
      <c r="H319" s="5"/>
      <c r="I319" s="5"/>
      <c r="J319" s="5"/>
      <c r="K319" s="50"/>
      <c r="L319" s="50"/>
      <c r="M319" s="50"/>
      <c r="N319" s="50"/>
      <c r="O319" s="50"/>
      <c r="P319" s="50"/>
      <c r="Q319" s="50"/>
      <c r="R319" s="50"/>
      <c r="S319" s="50"/>
      <c r="T319" s="50"/>
      <c r="U319" s="50"/>
      <c r="V319" s="50"/>
      <c r="W319" s="50"/>
      <c r="X319" s="50"/>
      <c r="Y319" s="50"/>
      <c r="Z319" s="50"/>
      <c r="AA319" s="50"/>
      <c r="AB319" s="50"/>
    </row>
    <row r="320" customFormat="false" ht="15.75" hidden="false" customHeight="false" outlineLevel="0" collapsed="false">
      <c r="A320" s="50"/>
      <c r="B320" s="50"/>
      <c r="C320" s="5"/>
      <c r="D320" s="48"/>
      <c r="E320" s="50"/>
      <c r="F320" s="5"/>
      <c r="G320" s="5"/>
      <c r="H320" s="5"/>
      <c r="I320" s="5"/>
      <c r="J320" s="5"/>
      <c r="K320" s="50"/>
      <c r="L320" s="50"/>
      <c r="M320" s="50"/>
      <c r="N320" s="50"/>
      <c r="O320" s="50"/>
      <c r="P320" s="50"/>
      <c r="Q320" s="50"/>
      <c r="R320" s="50"/>
      <c r="S320" s="50"/>
      <c r="T320" s="50"/>
      <c r="U320" s="50"/>
      <c r="V320" s="50"/>
      <c r="W320" s="50"/>
      <c r="X320" s="50"/>
      <c r="Y320" s="50"/>
      <c r="Z320" s="50"/>
      <c r="AA320" s="50"/>
      <c r="AB320" s="50"/>
    </row>
    <row r="321" customFormat="false" ht="15.75" hidden="false" customHeight="false" outlineLevel="0" collapsed="false">
      <c r="A321" s="50"/>
      <c r="B321" s="50"/>
      <c r="C321" s="5"/>
      <c r="D321" s="48"/>
      <c r="E321" s="50"/>
      <c r="F321" s="5"/>
      <c r="G321" s="5"/>
      <c r="H321" s="5"/>
      <c r="I321" s="5"/>
      <c r="J321" s="5"/>
      <c r="K321" s="50"/>
      <c r="L321" s="50"/>
      <c r="M321" s="50"/>
      <c r="N321" s="50"/>
      <c r="O321" s="50"/>
      <c r="P321" s="50"/>
      <c r="Q321" s="50"/>
      <c r="R321" s="50"/>
      <c r="S321" s="50"/>
      <c r="T321" s="50"/>
      <c r="U321" s="50"/>
      <c r="V321" s="50"/>
      <c r="W321" s="50"/>
      <c r="X321" s="50"/>
      <c r="Y321" s="50"/>
      <c r="Z321" s="50"/>
      <c r="AA321" s="50"/>
      <c r="AB321" s="50"/>
    </row>
    <row r="322" customFormat="false" ht="15.75" hidden="false" customHeight="false" outlineLevel="0" collapsed="false">
      <c r="A322" s="50"/>
      <c r="B322" s="50"/>
      <c r="C322" s="5"/>
      <c r="D322" s="48"/>
      <c r="E322" s="50"/>
      <c r="F322" s="5"/>
      <c r="G322" s="5"/>
      <c r="H322" s="5"/>
      <c r="I322" s="5"/>
      <c r="J322" s="5"/>
      <c r="K322" s="50"/>
      <c r="L322" s="50"/>
      <c r="M322" s="50"/>
      <c r="N322" s="50"/>
      <c r="O322" s="50"/>
      <c r="P322" s="50"/>
      <c r="Q322" s="50"/>
      <c r="R322" s="50"/>
      <c r="S322" s="50"/>
      <c r="T322" s="50"/>
      <c r="U322" s="50"/>
      <c r="V322" s="50"/>
      <c r="W322" s="50"/>
      <c r="X322" s="50"/>
      <c r="Y322" s="50"/>
      <c r="Z322" s="50"/>
      <c r="AA322" s="50"/>
      <c r="AB322" s="50"/>
    </row>
    <row r="323" customFormat="false" ht="15.75" hidden="false" customHeight="false" outlineLevel="0" collapsed="false">
      <c r="A323" s="50"/>
      <c r="B323" s="50"/>
      <c r="C323" s="5"/>
      <c r="D323" s="48"/>
      <c r="E323" s="50"/>
      <c r="F323" s="5"/>
      <c r="G323" s="5"/>
      <c r="H323" s="5"/>
      <c r="I323" s="5"/>
      <c r="J323" s="5"/>
      <c r="K323" s="50"/>
      <c r="L323" s="50"/>
      <c r="M323" s="50"/>
      <c r="N323" s="50"/>
      <c r="O323" s="50"/>
      <c r="P323" s="50"/>
      <c r="Q323" s="50"/>
      <c r="R323" s="50"/>
      <c r="S323" s="50"/>
      <c r="T323" s="50"/>
      <c r="U323" s="50"/>
      <c r="V323" s="50"/>
      <c r="W323" s="50"/>
      <c r="X323" s="50"/>
      <c r="Y323" s="50"/>
      <c r="Z323" s="50"/>
      <c r="AA323" s="50"/>
      <c r="AB323" s="50"/>
    </row>
    <row r="324" customFormat="false" ht="15.75" hidden="false" customHeight="false" outlineLevel="0" collapsed="false">
      <c r="A324" s="50"/>
      <c r="B324" s="50"/>
      <c r="C324" s="5"/>
      <c r="D324" s="48"/>
      <c r="E324" s="50"/>
      <c r="F324" s="5"/>
      <c r="G324" s="5"/>
      <c r="H324" s="5"/>
      <c r="I324" s="5"/>
      <c r="J324" s="5"/>
      <c r="K324" s="50"/>
      <c r="L324" s="50"/>
      <c r="M324" s="50"/>
      <c r="N324" s="50"/>
      <c r="O324" s="50"/>
      <c r="P324" s="50"/>
      <c r="Q324" s="50"/>
      <c r="R324" s="50"/>
      <c r="S324" s="50"/>
      <c r="T324" s="50"/>
      <c r="U324" s="50"/>
      <c r="V324" s="50"/>
      <c r="W324" s="50"/>
      <c r="X324" s="50"/>
      <c r="Y324" s="50"/>
      <c r="Z324" s="50"/>
      <c r="AA324" s="50"/>
      <c r="AB324" s="50"/>
    </row>
    <row r="325" customFormat="false" ht="15.75" hidden="false" customHeight="false" outlineLevel="0" collapsed="false">
      <c r="A325" s="50"/>
      <c r="B325" s="50"/>
      <c r="C325" s="5"/>
      <c r="D325" s="48"/>
      <c r="E325" s="50"/>
      <c r="F325" s="5"/>
      <c r="G325" s="5"/>
      <c r="H325" s="5"/>
      <c r="I325" s="5"/>
      <c r="J325" s="5"/>
      <c r="K325" s="50"/>
      <c r="L325" s="50"/>
      <c r="M325" s="50"/>
      <c r="N325" s="50"/>
      <c r="O325" s="50"/>
      <c r="P325" s="50"/>
      <c r="Q325" s="50"/>
      <c r="R325" s="50"/>
      <c r="S325" s="50"/>
      <c r="T325" s="50"/>
      <c r="U325" s="50"/>
      <c r="V325" s="50"/>
      <c r="W325" s="50"/>
      <c r="X325" s="50"/>
      <c r="Y325" s="50"/>
      <c r="Z325" s="50"/>
      <c r="AA325" s="50"/>
      <c r="AB325" s="50"/>
    </row>
    <row r="326" customFormat="false" ht="15.75" hidden="false" customHeight="false" outlineLevel="0" collapsed="false">
      <c r="A326" s="50"/>
      <c r="B326" s="50"/>
      <c r="C326" s="5"/>
      <c r="D326" s="48"/>
      <c r="E326" s="50"/>
      <c r="F326" s="5"/>
      <c r="G326" s="5"/>
      <c r="H326" s="5"/>
      <c r="I326" s="5"/>
      <c r="J326" s="5"/>
      <c r="K326" s="50"/>
      <c r="L326" s="50"/>
      <c r="M326" s="50"/>
      <c r="N326" s="50"/>
      <c r="O326" s="50"/>
      <c r="P326" s="50"/>
      <c r="Q326" s="50"/>
      <c r="R326" s="50"/>
      <c r="S326" s="50"/>
      <c r="T326" s="50"/>
      <c r="U326" s="50"/>
      <c r="V326" s="50"/>
      <c r="W326" s="50"/>
      <c r="X326" s="50"/>
      <c r="Y326" s="50"/>
      <c r="Z326" s="50"/>
      <c r="AA326" s="50"/>
      <c r="AB326" s="50"/>
    </row>
    <row r="327" customFormat="false" ht="15.75" hidden="false" customHeight="false" outlineLevel="0" collapsed="false">
      <c r="A327" s="50"/>
      <c r="B327" s="50"/>
      <c r="C327" s="5"/>
      <c r="D327" s="48"/>
      <c r="E327" s="50"/>
      <c r="F327" s="5"/>
      <c r="G327" s="5"/>
      <c r="H327" s="5"/>
      <c r="I327" s="5"/>
      <c r="J327" s="5"/>
      <c r="K327" s="50"/>
      <c r="L327" s="50"/>
      <c r="M327" s="50"/>
      <c r="N327" s="50"/>
      <c r="O327" s="50"/>
      <c r="P327" s="50"/>
      <c r="Q327" s="50"/>
      <c r="R327" s="50"/>
      <c r="S327" s="50"/>
      <c r="T327" s="50"/>
      <c r="U327" s="50"/>
      <c r="V327" s="50"/>
      <c r="W327" s="50"/>
      <c r="X327" s="50"/>
      <c r="Y327" s="50"/>
      <c r="Z327" s="50"/>
      <c r="AA327" s="50"/>
      <c r="AB327" s="50"/>
    </row>
    <row r="328" customFormat="false" ht="15.75" hidden="false" customHeight="false" outlineLevel="0" collapsed="false">
      <c r="A328" s="50"/>
      <c r="B328" s="50"/>
      <c r="C328" s="5"/>
      <c r="D328" s="48"/>
      <c r="E328" s="50"/>
      <c r="F328" s="5"/>
      <c r="G328" s="5"/>
      <c r="H328" s="5"/>
      <c r="I328" s="5"/>
      <c r="J328" s="5"/>
      <c r="K328" s="50"/>
      <c r="L328" s="50"/>
      <c r="M328" s="50"/>
      <c r="N328" s="50"/>
      <c r="O328" s="50"/>
      <c r="P328" s="50"/>
      <c r="Q328" s="50"/>
      <c r="R328" s="50"/>
      <c r="S328" s="50"/>
      <c r="T328" s="50"/>
      <c r="U328" s="50"/>
      <c r="V328" s="50"/>
      <c r="W328" s="50"/>
      <c r="X328" s="50"/>
      <c r="Y328" s="50"/>
      <c r="Z328" s="50"/>
      <c r="AA328" s="50"/>
      <c r="AB328" s="50"/>
    </row>
    <row r="329" customFormat="false" ht="15.75" hidden="false" customHeight="false" outlineLevel="0" collapsed="false">
      <c r="A329" s="50"/>
      <c r="B329" s="50"/>
      <c r="C329" s="5"/>
      <c r="D329" s="48"/>
      <c r="E329" s="50"/>
      <c r="F329" s="5"/>
      <c r="G329" s="5"/>
      <c r="H329" s="5"/>
      <c r="I329" s="5"/>
      <c r="J329" s="5"/>
      <c r="K329" s="50"/>
      <c r="L329" s="50"/>
      <c r="M329" s="50"/>
      <c r="N329" s="50"/>
      <c r="O329" s="50"/>
      <c r="P329" s="50"/>
      <c r="Q329" s="50"/>
      <c r="R329" s="50"/>
      <c r="S329" s="50"/>
      <c r="T329" s="50"/>
      <c r="U329" s="50"/>
      <c r="V329" s="50"/>
      <c r="W329" s="50"/>
      <c r="X329" s="50"/>
      <c r="Y329" s="50"/>
      <c r="Z329" s="50"/>
      <c r="AA329" s="50"/>
      <c r="AB329" s="50"/>
    </row>
    <row r="330" customFormat="false" ht="15.75" hidden="false" customHeight="false" outlineLevel="0" collapsed="false">
      <c r="A330" s="50"/>
      <c r="B330" s="50"/>
      <c r="C330" s="5"/>
      <c r="D330" s="48"/>
      <c r="E330" s="50"/>
      <c r="F330" s="5"/>
      <c r="G330" s="5"/>
      <c r="H330" s="5"/>
      <c r="I330" s="5"/>
      <c r="J330" s="5"/>
      <c r="K330" s="50"/>
      <c r="L330" s="50"/>
      <c r="M330" s="50"/>
      <c r="N330" s="50"/>
      <c r="O330" s="50"/>
      <c r="P330" s="50"/>
      <c r="Q330" s="50"/>
      <c r="R330" s="50"/>
      <c r="S330" s="50"/>
      <c r="T330" s="50"/>
      <c r="U330" s="50"/>
      <c r="V330" s="50"/>
      <c r="W330" s="50"/>
      <c r="X330" s="50"/>
      <c r="Y330" s="50"/>
      <c r="Z330" s="50"/>
      <c r="AA330" s="50"/>
      <c r="AB330" s="50"/>
    </row>
    <row r="331" customFormat="false" ht="15.75" hidden="false" customHeight="false" outlineLevel="0" collapsed="false">
      <c r="A331" s="50"/>
      <c r="B331" s="50"/>
      <c r="C331" s="5"/>
      <c r="D331" s="48"/>
      <c r="E331" s="50"/>
      <c r="F331" s="5"/>
      <c r="G331" s="5"/>
      <c r="H331" s="5"/>
      <c r="I331" s="5"/>
      <c r="J331" s="5"/>
      <c r="K331" s="50"/>
      <c r="L331" s="50"/>
      <c r="M331" s="50"/>
      <c r="N331" s="50"/>
      <c r="O331" s="50"/>
      <c r="P331" s="50"/>
      <c r="Q331" s="50"/>
      <c r="R331" s="50"/>
      <c r="S331" s="50"/>
      <c r="T331" s="50"/>
      <c r="U331" s="50"/>
      <c r="V331" s="50"/>
      <c r="W331" s="50"/>
      <c r="X331" s="50"/>
      <c r="Y331" s="50"/>
      <c r="Z331" s="50"/>
      <c r="AA331" s="50"/>
      <c r="AB331" s="50"/>
    </row>
    <row r="332" customFormat="false" ht="15.75" hidden="false" customHeight="false" outlineLevel="0" collapsed="false">
      <c r="A332" s="50"/>
      <c r="B332" s="50"/>
      <c r="C332" s="5"/>
      <c r="D332" s="48"/>
      <c r="E332" s="50"/>
      <c r="F332" s="5"/>
      <c r="G332" s="5"/>
      <c r="H332" s="5"/>
      <c r="I332" s="5"/>
      <c r="J332" s="5"/>
      <c r="K332" s="50"/>
      <c r="L332" s="50"/>
      <c r="M332" s="50"/>
      <c r="N332" s="50"/>
      <c r="O332" s="50"/>
      <c r="P332" s="50"/>
      <c r="Q332" s="50"/>
      <c r="R332" s="50"/>
      <c r="S332" s="50"/>
      <c r="T332" s="50"/>
      <c r="U332" s="50"/>
      <c r="V332" s="50"/>
      <c r="W332" s="50"/>
      <c r="X332" s="50"/>
      <c r="Y332" s="50"/>
      <c r="Z332" s="50"/>
      <c r="AA332" s="50"/>
      <c r="AB332" s="50"/>
    </row>
    <row r="333" customFormat="false" ht="15.75" hidden="false" customHeight="false" outlineLevel="0" collapsed="false">
      <c r="A333" s="50"/>
      <c r="B333" s="50"/>
      <c r="C333" s="5"/>
      <c r="D333" s="48"/>
      <c r="E333" s="50"/>
      <c r="F333" s="5"/>
      <c r="G333" s="5"/>
      <c r="H333" s="5"/>
      <c r="I333" s="5"/>
      <c r="J333" s="5"/>
      <c r="K333" s="50"/>
      <c r="L333" s="50"/>
      <c r="M333" s="50"/>
      <c r="N333" s="50"/>
      <c r="O333" s="50"/>
      <c r="P333" s="50"/>
      <c r="Q333" s="50"/>
      <c r="R333" s="50"/>
      <c r="S333" s="50"/>
      <c r="T333" s="50"/>
      <c r="U333" s="50"/>
      <c r="V333" s="50"/>
      <c r="W333" s="50"/>
      <c r="X333" s="50"/>
      <c r="Y333" s="50"/>
      <c r="Z333" s="50"/>
      <c r="AA333" s="50"/>
      <c r="AB333" s="50"/>
    </row>
    <row r="334" customFormat="false" ht="15.75" hidden="false" customHeight="false" outlineLevel="0" collapsed="false">
      <c r="A334" s="50"/>
      <c r="B334" s="50"/>
      <c r="C334" s="5"/>
      <c r="D334" s="48"/>
      <c r="E334" s="50"/>
      <c r="F334" s="5"/>
      <c r="G334" s="5"/>
      <c r="H334" s="5"/>
      <c r="I334" s="5"/>
      <c r="J334" s="5"/>
      <c r="K334" s="50"/>
      <c r="L334" s="50"/>
      <c r="M334" s="50"/>
      <c r="N334" s="50"/>
      <c r="O334" s="50"/>
      <c r="P334" s="50"/>
      <c r="Q334" s="50"/>
      <c r="R334" s="50"/>
      <c r="S334" s="50"/>
      <c r="T334" s="50"/>
      <c r="U334" s="50"/>
      <c r="V334" s="50"/>
      <c r="W334" s="50"/>
      <c r="X334" s="50"/>
      <c r="Y334" s="50"/>
      <c r="Z334" s="50"/>
      <c r="AA334" s="50"/>
      <c r="AB334" s="50"/>
    </row>
    <row r="335" customFormat="false" ht="15.75" hidden="false" customHeight="false" outlineLevel="0" collapsed="false">
      <c r="A335" s="50"/>
      <c r="B335" s="50"/>
      <c r="C335" s="5"/>
      <c r="D335" s="48"/>
      <c r="E335" s="50"/>
      <c r="F335" s="5"/>
      <c r="G335" s="5"/>
      <c r="H335" s="5"/>
      <c r="I335" s="5"/>
      <c r="J335" s="5"/>
      <c r="K335" s="50"/>
      <c r="L335" s="50"/>
      <c r="M335" s="50"/>
      <c r="N335" s="50"/>
      <c r="O335" s="50"/>
      <c r="P335" s="50"/>
      <c r="Q335" s="50"/>
      <c r="R335" s="50"/>
      <c r="S335" s="50"/>
      <c r="T335" s="50"/>
      <c r="U335" s="50"/>
      <c r="V335" s="50"/>
      <c r="W335" s="50"/>
      <c r="X335" s="50"/>
      <c r="Y335" s="50"/>
      <c r="Z335" s="50"/>
      <c r="AA335" s="50"/>
      <c r="AB335" s="50"/>
    </row>
    <row r="336" customFormat="false" ht="15.75" hidden="false" customHeight="false" outlineLevel="0" collapsed="false">
      <c r="A336" s="50"/>
      <c r="B336" s="50"/>
      <c r="C336" s="5"/>
      <c r="D336" s="48"/>
      <c r="E336" s="50"/>
      <c r="F336" s="5"/>
      <c r="G336" s="5"/>
      <c r="H336" s="5"/>
      <c r="I336" s="5"/>
      <c r="J336" s="5"/>
      <c r="K336" s="50"/>
      <c r="L336" s="50"/>
      <c r="M336" s="50"/>
      <c r="N336" s="50"/>
      <c r="O336" s="50"/>
      <c r="P336" s="50"/>
      <c r="Q336" s="50"/>
      <c r="R336" s="50"/>
      <c r="S336" s="50"/>
      <c r="T336" s="50"/>
      <c r="U336" s="50"/>
      <c r="V336" s="50"/>
      <c r="W336" s="50"/>
      <c r="X336" s="50"/>
      <c r="Y336" s="50"/>
      <c r="Z336" s="50"/>
      <c r="AA336" s="50"/>
      <c r="AB336" s="50"/>
    </row>
    <row r="337" customFormat="false" ht="15.75" hidden="false" customHeight="false" outlineLevel="0" collapsed="false">
      <c r="A337" s="50"/>
      <c r="B337" s="50"/>
      <c r="C337" s="5"/>
      <c r="D337" s="48"/>
      <c r="E337" s="50"/>
      <c r="F337" s="5"/>
      <c r="G337" s="5"/>
      <c r="H337" s="5"/>
      <c r="I337" s="5"/>
      <c r="J337" s="5"/>
      <c r="K337" s="50"/>
      <c r="L337" s="50"/>
      <c r="M337" s="50"/>
      <c r="N337" s="50"/>
      <c r="O337" s="50"/>
      <c r="P337" s="50"/>
      <c r="Q337" s="50"/>
      <c r="R337" s="50"/>
      <c r="S337" s="50"/>
      <c r="T337" s="50"/>
      <c r="U337" s="50"/>
      <c r="V337" s="50"/>
      <c r="W337" s="50"/>
      <c r="X337" s="50"/>
      <c r="Y337" s="50"/>
      <c r="Z337" s="50"/>
      <c r="AA337" s="50"/>
      <c r="AB337" s="50"/>
    </row>
    <row r="338" customFormat="false" ht="15.75" hidden="false" customHeight="false" outlineLevel="0" collapsed="false">
      <c r="A338" s="50"/>
      <c r="B338" s="50"/>
      <c r="C338" s="5"/>
      <c r="D338" s="48"/>
      <c r="E338" s="50"/>
      <c r="F338" s="5"/>
      <c r="G338" s="5"/>
      <c r="H338" s="5"/>
      <c r="I338" s="5"/>
      <c r="J338" s="5"/>
      <c r="K338" s="50"/>
      <c r="L338" s="50"/>
      <c r="M338" s="50"/>
      <c r="N338" s="50"/>
      <c r="O338" s="50"/>
      <c r="P338" s="50"/>
      <c r="Q338" s="50"/>
      <c r="R338" s="50"/>
      <c r="S338" s="50"/>
      <c r="T338" s="50"/>
      <c r="U338" s="50"/>
      <c r="V338" s="50"/>
      <c r="W338" s="50"/>
      <c r="X338" s="50"/>
      <c r="Y338" s="50"/>
      <c r="Z338" s="50"/>
      <c r="AA338" s="50"/>
      <c r="AB338" s="50"/>
    </row>
    <row r="339" customFormat="false" ht="15.75" hidden="false" customHeight="false" outlineLevel="0" collapsed="false">
      <c r="A339" s="50"/>
      <c r="B339" s="50"/>
      <c r="C339" s="5"/>
      <c r="D339" s="48"/>
      <c r="E339" s="50"/>
      <c r="F339" s="5"/>
      <c r="G339" s="5"/>
      <c r="H339" s="5"/>
      <c r="I339" s="5"/>
      <c r="J339" s="5"/>
      <c r="K339" s="50"/>
      <c r="L339" s="50"/>
      <c r="M339" s="50"/>
      <c r="N339" s="50"/>
      <c r="O339" s="50"/>
      <c r="P339" s="50"/>
      <c r="Q339" s="50"/>
      <c r="R339" s="50"/>
      <c r="S339" s="50"/>
      <c r="T339" s="50"/>
      <c r="U339" s="50"/>
      <c r="V339" s="50"/>
      <c r="W339" s="50"/>
      <c r="X339" s="50"/>
      <c r="Y339" s="50"/>
      <c r="Z339" s="50"/>
      <c r="AA339" s="50"/>
      <c r="AB339" s="50"/>
    </row>
    <row r="340" customFormat="false" ht="15.75" hidden="false" customHeight="false" outlineLevel="0" collapsed="false">
      <c r="A340" s="50"/>
      <c r="B340" s="50"/>
      <c r="C340" s="5"/>
      <c r="D340" s="48"/>
      <c r="E340" s="50"/>
      <c r="F340" s="5"/>
      <c r="G340" s="5"/>
      <c r="H340" s="5"/>
      <c r="I340" s="5"/>
      <c r="J340" s="5"/>
      <c r="K340" s="50"/>
      <c r="L340" s="50"/>
      <c r="M340" s="50"/>
      <c r="N340" s="50"/>
      <c r="O340" s="50"/>
      <c r="P340" s="50"/>
      <c r="Q340" s="50"/>
      <c r="R340" s="50"/>
      <c r="S340" s="50"/>
      <c r="T340" s="50"/>
      <c r="U340" s="50"/>
      <c r="V340" s="50"/>
      <c r="W340" s="50"/>
      <c r="X340" s="50"/>
      <c r="Y340" s="50"/>
      <c r="Z340" s="50"/>
      <c r="AA340" s="50"/>
      <c r="AB340" s="50"/>
    </row>
    <row r="341" customFormat="false" ht="15.75" hidden="false" customHeight="false" outlineLevel="0" collapsed="false">
      <c r="A341" s="50"/>
      <c r="B341" s="50"/>
      <c r="C341" s="5"/>
      <c r="D341" s="48"/>
      <c r="E341" s="50"/>
      <c r="F341" s="5"/>
      <c r="G341" s="5"/>
      <c r="H341" s="5"/>
      <c r="I341" s="5"/>
      <c r="J341" s="5"/>
      <c r="K341" s="50"/>
      <c r="L341" s="50"/>
      <c r="M341" s="50"/>
      <c r="N341" s="50"/>
      <c r="O341" s="50"/>
      <c r="P341" s="50"/>
      <c r="Q341" s="50"/>
      <c r="R341" s="50"/>
      <c r="S341" s="50"/>
      <c r="T341" s="50"/>
      <c r="U341" s="50"/>
      <c r="V341" s="50"/>
      <c r="W341" s="50"/>
      <c r="X341" s="50"/>
      <c r="Y341" s="50"/>
      <c r="Z341" s="50"/>
      <c r="AA341" s="50"/>
      <c r="AB341" s="50"/>
    </row>
    <row r="342" customFormat="false" ht="15.75" hidden="false" customHeight="false" outlineLevel="0" collapsed="false">
      <c r="A342" s="50"/>
      <c r="B342" s="50"/>
      <c r="C342" s="5"/>
      <c r="D342" s="48"/>
      <c r="E342" s="50"/>
      <c r="F342" s="5"/>
      <c r="G342" s="5"/>
      <c r="H342" s="5"/>
      <c r="I342" s="5"/>
      <c r="J342" s="5"/>
      <c r="K342" s="50"/>
      <c r="L342" s="50"/>
      <c r="M342" s="50"/>
      <c r="N342" s="50"/>
      <c r="O342" s="50"/>
      <c r="P342" s="50"/>
      <c r="Q342" s="50"/>
      <c r="R342" s="50"/>
      <c r="S342" s="50"/>
      <c r="T342" s="50"/>
      <c r="U342" s="50"/>
      <c r="V342" s="50"/>
      <c r="W342" s="50"/>
      <c r="X342" s="50"/>
      <c r="Y342" s="50"/>
      <c r="Z342" s="50"/>
      <c r="AA342" s="50"/>
      <c r="AB342" s="50"/>
    </row>
    <row r="343" customFormat="false" ht="15.75" hidden="false" customHeight="false" outlineLevel="0" collapsed="false">
      <c r="A343" s="50"/>
      <c r="B343" s="50"/>
      <c r="C343" s="5"/>
      <c r="D343" s="48"/>
      <c r="E343" s="50"/>
      <c r="F343" s="5"/>
      <c r="G343" s="5"/>
      <c r="H343" s="5"/>
      <c r="I343" s="5"/>
      <c r="J343" s="5"/>
      <c r="K343" s="50"/>
      <c r="L343" s="50"/>
      <c r="M343" s="50"/>
      <c r="N343" s="50"/>
      <c r="O343" s="50"/>
      <c r="P343" s="50"/>
      <c r="Q343" s="50"/>
      <c r="R343" s="50"/>
      <c r="S343" s="50"/>
      <c r="T343" s="50"/>
      <c r="U343" s="50"/>
      <c r="V343" s="50"/>
      <c r="W343" s="50"/>
      <c r="X343" s="50"/>
      <c r="Y343" s="50"/>
      <c r="Z343" s="50"/>
      <c r="AA343" s="50"/>
      <c r="AB343" s="50"/>
    </row>
    <row r="344" customFormat="false" ht="15.75" hidden="false" customHeight="false" outlineLevel="0" collapsed="false">
      <c r="A344" s="50"/>
      <c r="B344" s="50"/>
      <c r="C344" s="5"/>
      <c r="D344" s="48"/>
      <c r="E344" s="50"/>
      <c r="F344" s="5"/>
      <c r="G344" s="5"/>
      <c r="H344" s="5"/>
      <c r="I344" s="5"/>
      <c r="J344" s="5"/>
      <c r="K344" s="50"/>
      <c r="L344" s="50"/>
      <c r="M344" s="50"/>
      <c r="N344" s="50"/>
      <c r="O344" s="50"/>
      <c r="P344" s="50"/>
      <c r="Q344" s="50"/>
      <c r="R344" s="50"/>
      <c r="S344" s="50"/>
      <c r="T344" s="50"/>
      <c r="U344" s="50"/>
      <c r="V344" s="50"/>
      <c r="W344" s="50"/>
      <c r="X344" s="50"/>
      <c r="Y344" s="50"/>
      <c r="Z344" s="50"/>
      <c r="AA344" s="50"/>
      <c r="AB344" s="50"/>
    </row>
    <row r="345" customFormat="false" ht="15.75" hidden="false" customHeight="false" outlineLevel="0" collapsed="false">
      <c r="A345" s="50"/>
      <c r="B345" s="50"/>
      <c r="C345" s="5"/>
      <c r="D345" s="48"/>
      <c r="E345" s="50"/>
      <c r="F345" s="5"/>
      <c r="G345" s="5"/>
      <c r="H345" s="5"/>
      <c r="I345" s="5"/>
      <c r="J345" s="5"/>
      <c r="K345" s="50"/>
      <c r="L345" s="50"/>
      <c r="M345" s="50"/>
      <c r="N345" s="50"/>
      <c r="O345" s="50"/>
      <c r="P345" s="50"/>
      <c r="Q345" s="50"/>
      <c r="R345" s="50"/>
      <c r="S345" s="50"/>
      <c r="T345" s="50"/>
      <c r="U345" s="50"/>
      <c r="V345" s="50"/>
      <c r="W345" s="50"/>
      <c r="X345" s="50"/>
      <c r="Y345" s="50"/>
      <c r="Z345" s="50"/>
      <c r="AA345" s="50"/>
      <c r="AB345" s="50"/>
    </row>
    <row r="346" customFormat="false" ht="15.75" hidden="false" customHeight="false" outlineLevel="0" collapsed="false">
      <c r="A346" s="50"/>
      <c r="B346" s="50"/>
      <c r="C346" s="5"/>
      <c r="D346" s="48"/>
      <c r="E346" s="50"/>
      <c r="F346" s="5"/>
      <c r="G346" s="5"/>
      <c r="H346" s="5"/>
      <c r="I346" s="5"/>
      <c r="J346" s="5"/>
      <c r="K346" s="50"/>
      <c r="L346" s="50"/>
      <c r="M346" s="50"/>
      <c r="N346" s="50"/>
      <c r="O346" s="50"/>
      <c r="P346" s="50"/>
      <c r="Q346" s="50"/>
      <c r="R346" s="50"/>
      <c r="S346" s="50"/>
      <c r="T346" s="50"/>
      <c r="U346" s="50"/>
      <c r="V346" s="50"/>
      <c r="W346" s="50"/>
      <c r="X346" s="50"/>
      <c r="Y346" s="50"/>
      <c r="Z346" s="50"/>
      <c r="AA346" s="50"/>
      <c r="AB346" s="50"/>
    </row>
    <row r="347" customFormat="false" ht="15.75" hidden="false" customHeight="false" outlineLevel="0" collapsed="false">
      <c r="A347" s="50"/>
      <c r="B347" s="50"/>
      <c r="C347" s="5"/>
      <c r="D347" s="48"/>
      <c r="E347" s="50"/>
      <c r="F347" s="5"/>
      <c r="G347" s="5"/>
      <c r="H347" s="5"/>
      <c r="I347" s="5"/>
      <c r="J347" s="5"/>
      <c r="K347" s="50"/>
      <c r="L347" s="50"/>
      <c r="M347" s="50"/>
      <c r="N347" s="50"/>
      <c r="O347" s="50"/>
      <c r="P347" s="50"/>
      <c r="Q347" s="50"/>
      <c r="R347" s="50"/>
      <c r="S347" s="50"/>
      <c r="T347" s="50"/>
      <c r="U347" s="50"/>
      <c r="V347" s="50"/>
      <c r="W347" s="50"/>
      <c r="X347" s="50"/>
      <c r="Y347" s="50"/>
      <c r="Z347" s="50"/>
      <c r="AA347" s="50"/>
      <c r="AB347" s="50"/>
    </row>
    <row r="348" customFormat="false" ht="15.75" hidden="false" customHeight="false" outlineLevel="0" collapsed="false">
      <c r="A348" s="50"/>
      <c r="B348" s="50"/>
      <c r="C348" s="5"/>
      <c r="D348" s="48"/>
      <c r="E348" s="50"/>
      <c r="F348" s="5"/>
      <c r="G348" s="5"/>
      <c r="H348" s="5"/>
      <c r="I348" s="5"/>
      <c r="J348" s="5"/>
      <c r="K348" s="50"/>
      <c r="L348" s="50"/>
      <c r="M348" s="50"/>
      <c r="N348" s="50"/>
      <c r="O348" s="50"/>
      <c r="P348" s="50"/>
      <c r="Q348" s="50"/>
      <c r="R348" s="50"/>
      <c r="S348" s="50"/>
      <c r="T348" s="50"/>
      <c r="U348" s="50"/>
      <c r="V348" s="50"/>
      <c r="W348" s="50"/>
      <c r="X348" s="50"/>
      <c r="Y348" s="50"/>
      <c r="Z348" s="50"/>
      <c r="AA348" s="50"/>
      <c r="AB348" s="50"/>
    </row>
    <row r="349" customFormat="false" ht="15.75" hidden="false" customHeight="false" outlineLevel="0" collapsed="false">
      <c r="A349" s="50"/>
      <c r="B349" s="50"/>
      <c r="C349" s="5"/>
      <c r="D349" s="48"/>
      <c r="E349" s="50"/>
      <c r="F349" s="5"/>
      <c r="G349" s="5"/>
      <c r="H349" s="5"/>
      <c r="I349" s="5"/>
      <c r="J349" s="5"/>
      <c r="K349" s="50"/>
      <c r="L349" s="50"/>
      <c r="M349" s="50"/>
      <c r="N349" s="50"/>
      <c r="O349" s="50"/>
      <c r="P349" s="50"/>
      <c r="Q349" s="50"/>
      <c r="R349" s="50"/>
      <c r="S349" s="50"/>
      <c r="T349" s="50"/>
      <c r="U349" s="50"/>
      <c r="V349" s="50"/>
      <c r="W349" s="50"/>
      <c r="X349" s="50"/>
      <c r="Y349" s="50"/>
      <c r="Z349" s="50"/>
      <c r="AA349" s="50"/>
      <c r="AB349" s="50"/>
    </row>
    <row r="350" customFormat="false" ht="15.75" hidden="false" customHeight="false" outlineLevel="0" collapsed="false">
      <c r="A350" s="50"/>
      <c r="B350" s="50"/>
      <c r="C350" s="5"/>
      <c r="D350" s="48"/>
      <c r="E350" s="50"/>
      <c r="F350" s="5"/>
      <c r="G350" s="5"/>
      <c r="H350" s="5"/>
      <c r="I350" s="5"/>
      <c r="J350" s="5"/>
      <c r="K350" s="50"/>
      <c r="L350" s="50"/>
      <c r="M350" s="50"/>
      <c r="N350" s="50"/>
      <c r="O350" s="50"/>
      <c r="P350" s="50"/>
      <c r="Q350" s="50"/>
      <c r="R350" s="50"/>
      <c r="S350" s="50"/>
      <c r="T350" s="50"/>
      <c r="U350" s="50"/>
      <c r="V350" s="50"/>
      <c r="W350" s="50"/>
      <c r="X350" s="50"/>
      <c r="Y350" s="50"/>
      <c r="Z350" s="50"/>
      <c r="AA350" s="50"/>
      <c r="AB350" s="50"/>
    </row>
    <row r="351" customFormat="false" ht="15.75" hidden="false" customHeight="false" outlineLevel="0" collapsed="false">
      <c r="A351" s="50"/>
      <c r="B351" s="50"/>
      <c r="C351" s="5"/>
      <c r="D351" s="48"/>
      <c r="E351" s="50"/>
      <c r="F351" s="5"/>
      <c r="G351" s="5"/>
      <c r="H351" s="5"/>
      <c r="I351" s="5"/>
      <c r="J351" s="5"/>
      <c r="K351" s="50"/>
      <c r="L351" s="50"/>
      <c r="M351" s="50"/>
      <c r="N351" s="50"/>
      <c r="O351" s="50"/>
      <c r="P351" s="50"/>
      <c r="Q351" s="50"/>
      <c r="R351" s="50"/>
      <c r="S351" s="50"/>
      <c r="T351" s="50"/>
      <c r="U351" s="50"/>
      <c r="V351" s="50"/>
      <c r="W351" s="50"/>
      <c r="X351" s="50"/>
      <c r="Y351" s="50"/>
      <c r="Z351" s="50"/>
      <c r="AA351" s="50"/>
      <c r="AB351" s="50"/>
    </row>
    <row r="352" customFormat="false" ht="15.75" hidden="false" customHeight="false" outlineLevel="0" collapsed="false">
      <c r="A352" s="50"/>
      <c r="B352" s="50"/>
      <c r="C352" s="5"/>
      <c r="D352" s="48"/>
      <c r="E352" s="50"/>
      <c r="F352" s="5"/>
      <c r="G352" s="5"/>
      <c r="H352" s="5"/>
      <c r="I352" s="5"/>
      <c r="J352" s="5"/>
      <c r="K352" s="50"/>
      <c r="L352" s="50"/>
      <c r="M352" s="50"/>
      <c r="N352" s="50"/>
      <c r="O352" s="50"/>
      <c r="P352" s="50"/>
      <c r="Q352" s="50"/>
      <c r="R352" s="50"/>
      <c r="S352" s="50"/>
      <c r="T352" s="50"/>
      <c r="U352" s="50"/>
      <c r="V352" s="50"/>
      <c r="W352" s="50"/>
      <c r="X352" s="50"/>
      <c r="Y352" s="50"/>
      <c r="Z352" s="50"/>
      <c r="AA352" s="50"/>
      <c r="AB352" s="50"/>
    </row>
    <row r="353" customFormat="false" ht="15.75" hidden="false" customHeight="false" outlineLevel="0" collapsed="false">
      <c r="A353" s="50"/>
      <c r="B353" s="50"/>
      <c r="C353" s="5"/>
      <c r="D353" s="48"/>
      <c r="E353" s="50"/>
      <c r="F353" s="5"/>
      <c r="G353" s="5"/>
      <c r="H353" s="5"/>
      <c r="I353" s="5"/>
      <c r="J353" s="5"/>
      <c r="K353" s="50"/>
      <c r="L353" s="50"/>
      <c r="M353" s="50"/>
      <c r="N353" s="50"/>
      <c r="O353" s="50"/>
      <c r="P353" s="50"/>
      <c r="Q353" s="50"/>
      <c r="R353" s="50"/>
      <c r="S353" s="50"/>
      <c r="T353" s="50"/>
      <c r="U353" s="50"/>
      <c r="V353" s="50"/>
      <c r="W353" s="50"/>
      <c r="X353" s="50"/>
      <c r="Y353" s="50"/>
      <c r="Z353" s="50"/>
      <c r="AA353" s="50"/>
      <c r="AB353" s="50"/>
    </row>
    <row r="354" customFormat="false" ht="15.75" hidden="false" customHeight="false" outlineLevel="0" collapsed="false">
      <c r="A354" s="50"/>
      <c r="B354" s="50"/>
      <c r="C354" s="5"/>
      <c r="D354" s="48"/>
      <c r="E354" s="50"/>
      <c r="F354" s="5"/>
      <c r="G354" s="5"/>
      <c r="H354" s="5"/>
      <c r="I354" s="5"/>
      <c r="J354" s="5"/>
      <c r="K354" s="50"/>
      <c r="L354" s="50"/>
      <c r="M354" s="50"/>
      <c r="N354" s="50"/>
      <c r="O354" s="50"/>
      <c r="P354" s="50"/>
      <c r="Q354" s="50"/>
      <c r="R354" s="50"/>
      <c r="S354" s="50"/>
      <c r="T354" s="50"/>
      <c r="U354" s="50"/>
      <c r="V354" s="50"/>
      <c r="W354" s="50"/>
      <c r="X354" s="50"/>
      <c r="Y354" s="50"/>
      <c r="Z354" s="50"/>
      <c r="AA354" s="50"/>
      <c r="AB354" s="50"/>
    </row>
    <row r="355" customFormat="false" ht="15.75" hidden="false" customHeight="false" outlineLevel="0" collapsed="false">
      <c r="A355" s="50"/>
      <c r="B355" s="50"/>
      <c r="C355" s="5"/>
      <c r="D355" s="48"/>
      <c r="E355" s="50"/>
      <c r="F355" s="5"/>
      <c r="G355" s="5"/>
      <c r="H355" s="5"/>
      <c r="I355" s="5"/>
      <c r="J355" s="5"/>
      <c r="K355" s="50"/>
      <c r="L355" s="50"/>
      <c r="M355" s="50"/>
      <c r="N355" s="50"/>
      <c r="O355" s="50"/>
      <c r="P355" s="50"/>
      <c r="Q355" s="50"/>
      <c r="R355" s="50"/>
      <c r="S355" s="50"/>
      <c r="T355" s="50"/>
      <c r="U355" s="50"/>
      <c r="V355" s="50"/>
      <c r="W355" s="50"/>
      <c r="X355" s="50"/>
      <c r="Y355" s="50"/>
      <c r="Z355" s="50"/>
      <c r="AA355" s="50"/>
      <c r="AB355" s="50"/>
    </row>
    <row r="356" customFormat="false" ht="15.75" hidden="false" customHeight="false" outlineLevel="0" collapsed="false">
      <c r="A356" s="50"/>
      <c r="B356" s="50"/>
      <c r="C356" s="5"/>
      <c r="D356" s="48"/>
      <c r="E356" s="50"/>
      <c r="F356" s="5"/>
      <c r="G356" s="5"/>
      <c r="H356" s="5"/>
      <c r="I356" s="5"/>
      <c r="J356" s="5"/>
      <c r="K356" s="50"/>
      <c r="L356" s="50"/>
      <c r="M356" s="50"/>
      <c r="N356" s="50"/>
      <c r="O356" s="50"/>
      <c r="P356" s="50"/>
      <c r="Q356" s="50"/>
      <c r="R356" s="50"/>
      <c r="S356" s="50"/>
      <c r="T356" s="50"/>
      <c r="U356" s="50"/>
      <c r="V356" s="50"/>
      <c r="W356" s="50"/>
      <c r="X356" s="50"/>
      <c r="Y356" s="50"/>
      <c r="Z356" s="50"/>
      <c r="AA356" s="50"/>
      <c r="AB356" s="50"/>
    </row>
    <row r="357" customFormat="false" ht="15.75" hidden="false" customHeight="false" outlineLevel="0" collapsed="false">
      <c r="A357" s="50"/>
      <c r="B357" s="50"/>
      <c r="C357" s="5"/>
      <c r="D357" s="48"/>
      <c r="E357" s="50"/>
      <c r="F357" s="5"/>
      <c r="G357" s="5"/>
      <c r="H357" s="5"/>
      <c r="I357" s="5"/>
      <c r="J357" s="5"/>
      <c r="K357" s="50"/>
      <c r="L357" s="50"/>
      <c r="M357" s="50"/>
      <c r="N357" s="50"/>
      <c r="O357" s="50"/>
      <c r="P357" s="50"/>
      <c r="Q357" s="50"/>
      <c r="R357" s="50"/>
      <c r="S357" s="50"/>
      <c r="T357" s="50"/>
      <c r="U357" s="50"/>
      <c r="V357" s="50"/>
      <c r="W357" s="50"/>
      <c r="X357" s="50"/>
      <c r="Y357" s="50"/>
      <c r="Z357" s="50"/>
      <c r="AA357" s="50"/>
      <c r="AB357" s="50"/>
    </row>
    <row r="358" customFormat="false" ht="15.75" hidden="false" customHeight="false" outlineLevel="0" collapsed="false">
      <c r="A358" s="50"/>
      <c r="B358" s="50"/>
      <c r="C358" s="5"/>
      <c r="D358" s="48"/>
      <c r="E358" s="50"/>
      <c r="F358" s="5"/>
      <c r="G358" s="5"/>
      <c r="H358" s="5"/>
      <c r="I358" s="5"/>
      <c r="J358" s="5"/>
      <c r="K358" s="50"/>
      <c r="L358" s="50"/>
      <c r="M358" s="50"/>
      <c r="N358" s="50"/>
      <c r="O358" s="50"/>
      <c r="P358" s="50"/>
      <c r="Q358" s="50"/>
      <c r="R358" s="50"/>
      <c r="S358" s="50"/>
      <c r="T358" s="50"/>
      <c r="U358" s="50"/>
      <c r="V358" s="50"/>
      <c r="W358" s="50"/>
      <c r="X358" s="50"/>
      <c r="Y358" s="50"/>
      <c r="Z358" s="50"/>
      <c r="AA358" s="50"/>
      <c r="AB358" s="50"/>
    </row>
    <row r="359" customFormat="false" ht="15.75" hidden="false" customHeight="false" outlineLevel="0" collapsed="false">
      <c r="A359" s="50"/>
      <c r="B359" s="50"/>
      <c r="C359" s="5"/>
      <c r="D359" s="48"/>
      <c r="E359" s="50"/>
      <c r="F359" s="5"/>
      <c r="G359" s="5"/>
      <c r="H359" s="5"/>
      <c r="I359" s="5"/>
      <c r="J359" s="5"/>
      <c r="K359" s="50"/>
      <c r="L359" s="50"/>
      <c r="M359" s="50"/>
      <c r="N359" s="50"/>
      <c r="O359" s="50"/>
      <c r="P359" s="50"/>
      <c r="Q359" s="50"/>
      <c r="R359" s="50"/>
      <c r="S359" s="50"/>
      <c r="T359" s="50"/>
      <c r="U359" s="50"/>
      <c r="V359" s="50"/>
      <c r="W359" s="50"/>
      <c r="X359" s="50"/>
      <c r="Y359" s="50"/>
      <c r="Z359" s="50"/>
      <c r="AA359" s="50"/>
      <c r="AB359" s="50"/>
    </row>
    <row r="360" customFormat="false" ht="15.75" hidden="false" customHeight="false" outlineLevel="0" collapsed="false">
      <c r="A360" s="50"/>
      <c r="B360" s="50"/>
      <c r="C360" s="5"/>
      <c r="D360" s="48"/>
      <c r="E360" s="50"/>
      <c r="F360" s="5"/>
      <c r="G360" s="5"/>
      <c r="H360" s="5"/>
      <c r="I360" s="5"/>
      <c r="J360" s="5"/>
      <c r="K360" s="50"/>
      <c r="L360" s="50"/>
      <c r="M360" s="50"/>
      <c r="N360" s="50"/>
      <c r="O360" s="50"/>
      <c r="P360" s="50"/>
      <c r="Q360" s="50"/>
      <c r="R360" s="50"/>
      <c r="S360" s="50"/>
      <c r="T360" s="50"/>
      <c r="U360" s="50"/>
      <c r="V360" s="50"/>
      <c r="W360" s="50"/>
      <c r="X360" s="50"/>
      <c r="Y360" s="50"/>
      <c r="Z360" s="50"/>
      <c r="AA360" s="50"/>
      <c r="AB360" s="50"/>
    </row>
    <row r="361" customFormat="false" ht="15.75" hidden="false" customHeight="false" outlineLevel="0" collapsed="false">
      <c r="A361" s="50"/>
      <c r="B361" s="50"/>
      <c r="C361" s="5"/>
      <c r="D361" s="48"/>
      <c r="E361" s="50"/>
      <c r="F361" s="5"/>
      <c r="G361" s="5"/>
      <c r="H361" s="5"/>
      <c r="I361" s="5"/>
      <c r="J361" s="5"/>
      <c r="K361" s="50"/>
      <c r="L361" s="50"/>
      <c r="M361" s="50"/>
      <c r="N361" s="50"/>
      <c r="O361" s="50"/>
      <c r="P361" s="50"/>
      <c r="Q361" s="50"/>
      <c r="R361" s="50"/>
      <c r="S361" s="50"/>
      <c r="T361" s="50"/>
      <c r="U361" s="50"/>
      <c r="V361" s="50"/>
      <c r="W361" s="50"/>
      <c r="X361" s="50"/>
      <c r="Y361" s="50"/>
      <c r="Z361" s="50"/>
      <c r="AA361" s="50"/>
      <c r="AB361" s="50"/>
    </row>
    <row r="362" customFormat="false" ht="15.75" hidden="false" customHeight="false" outlineLevel="0" collapsed="false">
      <c r="A362" s="50"/>
      <c r="B362" s="50"/>
      <c r="C362" s="5"/>
      <c r="D362" s="48"/>
      <c r="E362" s="50"/>
      <c r="F362" s="5"/>
      <c r="G362" s="5"/>
      <c r="H362" s="5"/>
      <c r="I362" s="5"/>
      <c r="J362" s="5"/>
      <c r="K362" s="50"/>
      <c r="L362" s="50"/>
      <c r="M362" s="50"/>
      <c r="N362" s="50"/>
      <c r="O362" s="50"/>
      <c r="P362" s="50"/>
      <c r="Q362" s="50"/>
      <c r="R362" s="50"/>
      <c r="S362" s="50"/>
      <c r="T362" s="50"/>
      <c r="U362" s="50"/>
      <c r="V362" s="50"/>
      <c r="W362" s="50"/>
      <c r="X362" s="50"/>
      <c r="Y362" s="50"/>
      <c r="Z362" s="50"/>
      <c r="AA362" s="50"/>
      <c r="AB362" s="50"/>
    </row>
    <row r="363" customFormat="false" ht="15.75" hidden="false" customHeight="false" outlineLevel="0" collapsed="false">
      <c r="A363" s="50"/>
      <c r="B363" s="50"/>
      <c r="C363" s="5"/>
      <c r="D363" s="48"/>
      <c r="E363" s="50"/>
      <c r="F363" s="5"/>
      <c r="G363" s="5"/>
      <c r="H363" s="5"/>
      <c r="I363" s="5"/>
      <c r="J363" s="5"/>
      <c r="K363" s="50"/>
      <c r="L363" s="50"/>
      <c r="M363" s="50"/>
      <c r="N363" s="50"/>
      <c r="O363" s="50"/>
      <c r="P363" s="50"/>
      <c r="Q363" s="50"/>
      <c r="R363" s="50"/>
      <c r="S363" s="50"/>
      <c r="T363" s="50"/>
      <c r="U363" s="50"/>
      <c r="V363" s="50"/>
      <c r="W363" s="50"/>
      <c r="X363" s="50"/>
      <c r="Y363" s="50"/>
      <c r="Z363" s="50"/>
      <c r="AA363" s="50"/>
      <c r="AB363" s="50"/>
    </row>
    <row r="364" customFormat="false" ht="15.75" hidden="false" customHeight="false" outlineLevel="0" collapsed="false">
      <c r="A364" s="50"/>
      <c r="B364" s="50"/>
      <c r="C364" s="5"/>
      <c r="D364" s="48"/>
      <c r="E364" s="50"/>
      <c r="F364" s="5"/>
      <c r="G364" s="5"/>
      <c r="H364" s="5"/>
      <c r="I364" s="5"/>
      <c r="J364" s="5"/>
      <c r="K364" s="50"/>
      <c r="L364" s="50"/>
      <c r="M364" s="50"/>
      <c r="N364" s="50"/>
      <c r="O364" s="50"/>
      <c r="P364" s="50"/>
      <c r="Q364" s="50"/>
      <c r="R364" s="50"/>
      <c r="S364" s="50"/>
      <c r="T364" s="50"/>
      <c r="U364" s="50"/>
      <c r="V364" s="50"/>
      <c r="W364" s="50"/>
      <c r="X364" s="50"/>
      <c r="Y364" s="50"/>
      <c r="Z364" s="50"/>
      <c r="AA364" s="50"/>
      <c r="AB364" s="50"/>
    </row>
    <row r="365" customFormat="false" ht="15.75" hidden="false" customHeight="false" outlineLevel="0" collapsed="false">
      <c r="A365" s="50"/>
      <c r="B365" s="50"/>
      <c r="C365" s="5"/>
      <c r="D365" s="48"/>
      <c r="E365" s="50"/>
      <c r="F365" s="5"/>
      <c r="G365" s="5"/>
      <c r="H365" s="5"/>
      <c r="I365" s="5"/>
      <c r="J365" s="5"/>
      <c r="K365" s="50"/>
      <c r="L365" s="50"/>
      <c r="M365" s="50"/>
      <c r="N365" s="50"/>
      <c r="O365" s="50"/>
      <c r="P365" s="50"/>
      <c r="Q365" s="50"/>
      <c r="R365" s="50"/>
      <c r="S365" s="50"/>
      <c r="T365" s="50"/>
      <c r="U365" s="50"/>
      <c r="V365" s="50"/>
      <c r="W365" s="50"/>
      <c r="X365" s="50"/>
      <c r="Y365" s="50"/>
      <c r="Z365" s="50"/>
      <c r="AA365" s="50"/>
      <c r="AB365" s="50"/>
    </row>
    <row r="366" customFormat="false" ht="15.75" hidden="false" customHeight="false" outlineLevel="0" collapsed="false">
      <c r="A366" s="50"/>
      <c r="B366" s="50"/>
      <c r="C366" s="5"/>
      <c r="D366" s="48"/>
      <c r="E366" s="50"/>
      <c r="F366" s="5"/>
      <c r="G366" s="5"/>
      <c r="H366" s="5"/>
      <c r="I366" s="5"/>
      <c r="J366" s="5"/>
      <c r="K366" s="50"/>
      <c r="L366" s="50"/>
      <c r="M366" s="50"/>
      <c r="N366" s="50"/>
      <c r="O366" s="50"/>
      <c r="P366" s="50"/>
      <c r="Q366" s="50"/>
      <c r="R366" s="50"/>
      <c r="S366" s="50"/>
      <c r="T366" s="50"/>
      <c r="U366" s="50"/>
      <c r="V366" s="50"/>
      <c r="W366" s="50"/>
      <c r="X366" s="50"/>
      <c r="Y366" s="50"/>
      <c r="Z366" s="50"/>
      <c r="AA366" s="50"/>
      <c r="AB366" s="50"/>
    </row>
    <row r="367" customFormat="false" ht="15.75" hidden="false" customHeight="false" outlineLevel="0" collapsed="false">
      <c r="A367" s="50"/>
      <c r="B367" s="50"/>
      <c r="C367" s="5"/>
      <c r="D367" s="48"/>
      <c r="E367" s="50"/>
      <c r="F367" s="5"/>
      <c r="G367" s="5"/>
      <c r="H367" s="5"/>
      <c r="I367" s="5"/>
      <c r="J367" s="5"/>
      <c r="K367" s="50"/>
      <c r="L367" s="50"/>
      <c r="M367" s="50"/>
      <c r="N367" s="50"/>
      <c r="O367" s="50"/>
      <c r="P367" s="50"/>
      <c r="Q367" s="50"/>
      <c r="R367" s="50"/>
      <c r="S367" s="50"/>
      <c r="T367" s="50"/>
      <c r="U367" s="50"/>
      <c r="V367" s="50"/>
      <c r="W367" s="50"/>
      <c r="X367" s="50"/>
      <c r="Y367" s="50"/>
      <c r="Z367" s="50"/>
      <c r="AA367" s="50"/>
      <c r="AB367" s="50"/>
    </row>
    <row r="368" customFormat="false" ht="15.75" hidden="false" customHeight="false" outlineLevel="0" collapsed="false">
      <c r="A368" s="50"/>
      <c r="B368" s="50"/>
      <c r="C368" s="5"/>
      <c r="D368" s="48"/>
      <c r="E368" s="50"/>
      <c r="F368" s="5"/>
      <c r="G368" s="5"/>
      <c r="H368" s="5"/>
      <c r="I368" s="5"/>
      <c r="J368" s="5"/>
      <c r="K368" s="50"/>
      <c r="L368" s="50"/>
      <c r="M368" s="50"/>
      <c r="N368" s="50"/>
      <c r="O368" s="50"/>
      <c r="P368" s="50"/>
      <c r="Q368" s="50"/>
      <c r="R368" s="50"/>
      <c r="S368" s="50"/>
      <c r="T368" s="50"/>
      <c r="U368" s="50"/>
      <c r="V368" s="50"/>
      <c r="W368" s="50"/>
      <c r="X368" s="50"/>
      <c r="Y368" s="50"/>
      <c r="Z368" s="50"/>
      <c r="AA368" s="50"/>
      <c r="AB368" s="50"/>
    </row>
    <row r="369" customFormat="false" ht="15.75" hidden="false" customHeight="false" outlineLevel="0" collapsed="false">
      <c r="A369" s="50"/>
      <c r="B369" s="50"/>
      <c r="C369" s="5"/>
      <c r="D369" s="48"/>
      <c r="E369" s="50"/>
      <c r="F369" s="5"/>
      <c r="G369" s="5"/>
      <c r="H369" s="5"/>
      <c r="I369" s="5"/>
      <c r="J369" s="5"/>
      <c r="K369" s="50"/>
      <c r="L369" s="50"/>
      <c r="M369" s="50"/>
      <c r="N369" s="50"/>
      <c r="O369" s="50"/>
      <c r="P369" s="50"/>
      <c r="Q369" s="50"/>
      <c r="R369" s="50"/>
      <c r="S369" s="50"/>
      <c r="T369" s="50"/>
      <c r="U369" s="50"/>
      <c r="V369" s="50"/>
      <c r="W369" s="50"/>
      <c r="X369" s="50"/>
      <c r="Y369" s="50"/>
      <c r="Z369" s="50"/>
      <c r="AA369" s="50"/>
      <c r="AB369" s="50"/>
    </row>
    <row r="370" customFormat="false" ht="15.75" hidden="false" customHeight="false" outlineLevel="0" collapsed="false">
      <c r="A370" s="50"/>
      <c r="B370" s="50"/>
      <c r="C370" s="5"/>
      <c r="D370" s="48"/>
      <c r="E370" s="50"/>
      <c r="F370" s="5"/>
      <c r="G370" s="5"/>
      <c r="H370" s="5"/>
      <c r="I370" s="5"/>
      <c r="J370" s="5"/>
      <c r="K370" s="50"/>
      <c r="L370" s="50"/>
      <c r="M370" s="50"/>
      <c r="N370" s="50"/>
      <c r="O370" s="50"/>
      <c r="P370" s="50"/>
      <c r="Q370" s="50"/>
      <c r="R370" s="50"/>
      <c r="S370" s="50"/>
      <c r="T370" s="50"/>
      <c r="U370" s="50"/>
      <c r="V370" s="50"/>
      <c r="W370" s="50"/>
      <c r="X370" s="50"/>
      <c r="Y370" s="50"/>
      <c r="Z370" s="50"/>
      <c r="AA370" s="50"/>
      <c r="AB370" s="50"/>
    </row>
    <row r="371" customFormat="false" ht="15.75" hidden="false" customHeight="false" outlineLevel="0" collapsed="false">
      <c r="A371" s="50"/>
      <c r="B371" s="50"/>
      <c r="C371" s="5"/>
      <c r="D371" s="48"/>
      <c r="E371" s="50"/>
      <c r="F371" s="5"/>
      <c r="G371" s="5"/>
      <c r="H371" s="5"/>
      <c r="I371" s="5"/>
      <c r="J371" s="5"/>
      <c r="K371" s="50"/>
      <c r="L371" s="50"/>
      <c r="M371" s="50"/>
      <c r="N371" s="50"/>
      <c r="O371" s="50"/>
      <c r="P371" s="50"/>
      <c r="Q371" s="50"/>
      <c r="R371" s="50"/>
      <c r="S371" s="50"/>
      <c r="T371" s="50"/>
      <c r="U371" s="50"/>
      <c r="V371" s="50"/>
      <c r="W371" s="50"/>
      <c r="X371" s="50"/>
      <c r="Y371" s="50"/>
      <c r="Z371" s="50"/>
      <c r="AA371" s="50"/>
      <c r="AB371" s="50"/>
    </row>
    <row r="372" customFormat="false" ht="15.75" hidden="false" customHeight="false" outlineLevel="0" collapsed="false">
      <c r="A372" s="50"/>
      <c r="B372" s="50"/>
      <c r="C372" s="5"/>
      <c r="D372" s="48"/>
      <c r="E372" s="50"/>
      <c r="F372" s="5"/>
      <c r="G372" s="5"/>
      <c r="H372" s="5"/>
      <c r="I372" s="5"/>
      <c r="J372" s="5"/>
      <c r="K372" s="50"/>
      <c r="L372" s="50"/>
      <c r="M372" s="50"/>
      <c r="N372" s="50"/>
      <c r="O372" s="50"/>
      <c r="P372" s="50"/>
      <c r="Q372" s="50"/>
      <c r="R372" s="50"/>
      <c r="S372" s="50"/>
      <c r="T372" s="50"/>
      <c r="U372" s="50"/>
      <c r="V372" s="50"/>
      <c r="W372" s="50"/>
      <c r="X372" s="50"/>
      <c r="Y372" s="50"/>
      <c r="Z372" s="50"/>
      <c r="AA372" s="50"/>
      <c r="AB372" s="50"/>
    </row>
    <row r="373" customFormat="false" ht="15.75" hidden="false" customHeight="false" outlineLevel="0" collapsed="false">
      <c r="A373" s="50"/>
      <c r="B373" s="50"/>
      <c r="C373" s="5"/>
      <c r="D373" s="48"/>
      <c r="E373" s="50"/>
      <c r="F373" s="5"/>
      <c r="G373" s="5"/>
      <c r="H373" s="5"/>
      <c r="I373" s="5"/>
      <c r="J373" s="5"/>
      <c r="K373" s="50"/>
      <c r="L373" s="50"/>
      <c r="M373" s="50"/>
      <c r="N373" s="50"/>
      <c r="O373" s="50"/>
      <c r="P373" s="50"/>
      <c r="Q373" s="50"/>
      <c r="R373" s="50"/>
      <c r="S373" s="50"/>
      <c r="T373" s="50"/>
      <c r="U373" s="50"/>
      <c r="V373" s="50"/>
      <c r="W373" s="50"/>
      <c r="X373" s="50"/>
      <c r="Y373" s="50"/>
      <c r="Z373" s="50"/>
      <c r="AA373" s="50"/>
      <c r="AB373" s="50"/>
    </row>
    <row r="374" customFormat="false" ht="15.75" hidden="false" customHeight="false" outlineLevel="0" collapsed="false">
      <c r="A374" s="50"/>
      <c r="B374" s="50"/>
      <c r="C374" s="5"/>
      <c r="D374" s="48"/>
      <c r="E374" s="50"/>
      <c r="F374" s="5"/>
      <c r="G374" s="5"/>
      <c r="H374" s="5"/>
      <c r="I374" s="5"/>
      <c r="J374" s="5"/>
      <c r="K374" s="50"/>
      <c r="L374" s="50"/>
      <c r="M374" s="50"/>
      <c r="N374" s="50"/>
      <c r="O374" s="50"/>
      <c r="P374" s="50"/>
      <c r="Q374" s="50"/>
      <c r="R374" s="50"/>
      <c r="S374" s="50"/>
      <c r="T374" s="50"/>
      <c r="U374" s="50"/>
      <c r="V374" s="50"/>
      <c r="W374" s="50"/>
      <c r="X374" s="50"/>
      <c r="Y374" s="50"/>
      <c r="Z374" s="50"/>
      <c r="AA374" s="50"/>
      <c r="AB374" s="50"/>
    </row>
    <row r="375" customFormat="false" ht="15.75" hidden="false" customHeight="false" outlineLevel="0" collapsed="false">
      <c r="A375" s="50"/>
      <c r="B375" s="50"/>
      <c r="C375" s="5"/>
      <c r="D375" s="48"/>
      <c r="E375" s="50"/>
      <c r="F375" s="5"/>
      <c r="G375" s="5"/>
      <c r="H375" s="5"/>
      <c r="I375" s="5"/>
      <c r="J375" s="5"/>
      <c r="K375" s="50"/>
      <c r="L375" s="50"/>
      <c r="M375" s="50"/>
      <c r="N375" s="50"/>
      <c r="O375" s="50"/>
      <c r="P375" s="50"/>
      <c r="Q375" s="50"/>
      <c r="R375" s="50"/>
      <c r="S375" s="50"/>
      <c r="T375" s="50"/>
      <c r="U375" s="50"/>
      <c r="V375" s="50"/>
      <c r="W375" s="50"/>
      <c r="X375" s="50"/>
      <c r="Y375" s="50"/>
      <c r="Z375" s="50"/>
      <c r="AA375" s="50"/>
      <c r="AB375" s="50"/>
    </row>
    <row r="376" customFormat="false" ht="15.75" hidden="false" customHeight="false" outlineLevel="0" collapsed="false">
      <c r="A376" s="50"/>
      <c r="B376" s="50"/>
      <c r="C376" s="5"/>
      <c r="D376" s="48"/>
      <c r="E376" s="50"/>
      <c r="F376" s="5"/>
      <c r="G376" s="5"/>
      <c r="H376" s="5"/>
      <c r="I376" s="5"/>
      <c r="J376" s="5"/>
      <c r="K376" s="50"/>
      <c r="L376" s="50"/>
      <c r="M376" s="50"/>
      <c r="N376" s="50"/>
      <c r="O376" s="50"/>
      <c r="P376" s="50"/>
      <c r="Q376" s="50"/>
      <c r="R376" s="50"/>
      <c r="S376" s="50"/>
      <c r="T376" s="50"/>
      <c r="U376" s="50"/>
      <c r="V376" s="50"/>
      <c r="W376" s="50"/>
      <c r="X376" s="50"/>
      <c r="Y376" s="50"/>
      <c r="Z376" s="50"/>
      <c r="AA376" s="50"/>
      <c r="AB376" s="50"/>
    </row>
    <row r="377" customFormat="false" ht="15.75" hidden="false" customHeight="false" outlineLevel="0" collapsed="false">
      <c r="A377" s="50"/>
      <c r="B377" s="50"/>
      <c r="C377" s="5"/>
      <c r="D377" s="48"/>
      <c r="E377" s="50"/>
      <c r="F377" s="5"/>
      <c r="G377" s="5"/>
      <c r="H377" s="5"/>
      <c r="I377" s="5"/>
      <c r="J377" s="5"/>
      <c r="K377" s="50"/>
      <c r="L377" s="50"/>
      <c r="M377" s="50"/>
      <c r="N377" s="50"/>
      <c r="O377" s="50"/>
      <c r="P377" s="50"/>
      <c r="Q377" s="50"/>
      <c r="R377" s="50"/>
      <c r="S377" s="50"/>
      <c r="T377" s="50"/>
      <c r="U377" s="50"/>
      <c r="V377" s="50"/>
      <c r="W377" s="50"/>
      <c r="X377" s="50"/>
      <c r="Y377" s="50"/>
      <c r="Z377" s="50"/>
      <c r="AA377" s="50"/>
      <c r="AB377" s="50"/>
    </row>
    <row r="378" customFormat="false" ht="15.75" hidden="false" customHeight="false" outlineLevel="0" collapsed="false">
      <c r="A378" s="50"/>
      <c r="B378" s="50"/>
      <c r="C378" s="5"/>
      <c r="D378" s="48"/>
      <c r="E378" s="50"/>
      <c r="F378" s="5"/>
      <c r="G378" s="5"/>
      <c r="H378" s="5"/>
      <c r="I378" s="5"/>
      <c r="J378" s="5"/>
      <c r="K378" s="50"/>
      <c r="L378" s="50"/>
      <c r="M378" s="50"/>
      <c r="N378" s="50"/>
      <c r="O378" s="50"/>
      <c r="P378" s="50"/>
      <c r="Q378" s="50"/>
      <c r="R378" s="50"/>
      <c r="S378" s="50"/>
      <c r="T378" s="50"/>
      <c r="U378" s="50"/>
      <c r="V378" s="50"/>
      <c r="W378" s="50"/>
      <c r="X378" s="50"/>
      <c r="Y378" s="50"/>
      <c r="Z378" s="50"/>
      <c r="AA378" s="50"/>
      <c r="AB378" s="50"/>
    </row>
    <row r="379" customFormat="false" ht="15.75" hidden="false" customHeight="false" outlineLevel="0" collapsed="false">
      <c r="A379" s="50"/>
      <c r="B379" s="50"/>
      <c r="C379" s="5"/>
      <c r="D379" s="48"/>
      <c r="E379" s="50"/>
      <c r="F379" s="5"/>
      <c r="G379" s="5"/>
      <c r="H379" s="5"/>
      <c r="I379" s="5"/>
      <c r="J379" s="5"/>
      <c r="K379" s="50"/>
      <c r="L379" s="50"/>
      <c r="M379" s="50"/>
      <c r="N379" s="50"/>
      <c r="O379" s="50"/>
      <c r="P379" s="50"/>
      <c r="Q379" s="50"/>
      <c r="R379" s="50"/>
      <c r="S379" s="50"/>
      <c r="T379" s="50"/>
      <c r="U379" s="50"/>
      <c r="V379" s="50"/>
      <c r="W379" s="50"/>
      <c r="X379" s="50"/>
      <c r="Y379" s="50"/>
      <c r="Z379" s="50"/>
      <c r="AA379" s="50"/>
      <c r="AB379" s="50"/>
    </row>
    <row r="380" customFormat="false" ht="15.75" hidden="false" customHeight="false" outlineLevel="0" collapsed="false">
      <c r="A380" s="50"/>
      <c r="B380" s="50"/>
      <c r="C380" s="5"/>
      <c r="D380" s="48"/>
      <c r="E380" s="50"/>
      <c r="F380" s="5"/>
      <c r="G380" s="5"/>
      <c r="H380" s="5"/>
      <c r="I380" s="5"/>
      <c r="J380" s="5"/>
      <c r="K380" s="50"/>
      <c r="L380" s="50"/>
      <c r="M380" s="50"/>
      <c r="N380" s="50"/>
      <c r="O380" s="50"/>
      <c r="P380" s="50"/>
      <c r="Q380" s="50"/>
      <c r="R380" s="50"/>
      <c r="S380" s="50"/>
      <c r="T380" s="50"/>
      <c r="U380" s="50"/>
      <c r="V380" s="50"/>
      <c r="W380" s="50"/>
      <c r="X380" s="50"/>
      <c r="Y380" s="50"/>
      <c r="Z380" s="50"/>
      <c r="AA380" s="50"/>
      <c r="AB380" s="50"/>
    </row>
    <row r="381" customFormat="false" ht="15.75" hidden="false" customHeight="false" outlineLevel="0" collapsed="false">
      <c r="A381" s="50"/>
      <c r="B381" s="50"/>
      <c r="C381" s="5"/>
      <c r="D381" s="48"/>
      <c r="E381" s="50"/>
      <c r="F381" s="5"/>
      <c r="G381" s="5"/>
      <c r="H381" s="5"/>
      <c r="I381" s="5"/>
      <c r="J381" s="5"/>
      <c r="K381" s="50"/>
      <c r="L381" s="50"/>
      <c r="M381" s="50"/>
      <c r="N381" s="50"/>
      <c r="O381" s="50"/>
      <c r="P381" s="50"/>
      <c r="Q381" s="50"/>
      <c r="R381" s="50"/>
      <c r="S381" s="50"/>
      <c r="T381" s="50"/>
      <c r="U381" s="50"/>
      <c r="V381" s="50"/>
      <c r="W381" s="50"/>
      <c r="X381" s="50"/>
      <c r="Y381" s="50"/>
      <c r="Z381" s="50"/>
      <c r="AA381" s="50"/>
      <c r="AB381" s="50"/>
    </row>
    <row r="382" customFormat="false" ht="15.75" hidden="false" customHeight="false" outlineLevel="0" collapsed="false">
      <c r="A382" s="50"/>
      <c r="B382" s="50"/>
      <c r="C382" s="5"/>
      <c r="D382" s="48"/>
      <c r="E382" s="50"/>
      <c r="F382" s="5"/>
      <c r="G382" s="5"/>
      <c r="H382" s="5"/>
      <c r="I382" s="5"/>
      <c r="J382" s="5"/>
      <c r="K382" s="50"/>
      <c r="L382" s="50"/>
      <c r="M382" s="50"/>
      <c r="N382" s="50"/>
      <c r="O382" s="50"/>
      <c r="P382" s="50"/>
      <c r="Q382" s="50"/>
      <c r="R382" s="50"/>
      <c r="S382" s="50"/>
      <c r="T382" s="50"/>
      <c r="U382" s="50"/>
      <c r="V382" s="50"/>
      <c r="W382" s="50"/>
      <c r="X382" s="50"/>
      <c r="Y382" s="50"/>
      <c r="Z382" s="50"/>
      <c r="AA382" s="50"/>
      <c r="AB382" s="50"/>
    </row>
    <row r="383" customFormat="false" ht="15.75" hidden="false" customHeight="false" outlineLevel="0" collapsed="false">
      <c r="A383" s="50"/>
      <c r="B383" s="50"/>
      <c r="C383" s="5"/>
      <c r="D383" s="48"/>
      <c r="E383" s="50"/>
      <c r="F383" s="5"/>
      <c r="G383" s="5"/>
      <c r="H383" s="5"/>
      <c r="I383" s="5"/>
      <c r="J383" s="5"/>
      <c r="K383" s="50"/>
      <c r="L383" s="50"/>
      <c r="M383" s="50"/>
      <c r="N383" s="50"/>
      <c r="O383" s="50"/>
      <c r="P383" s="50"/>
      <c r="Q383" s="50"/>
      <c r="R383" s="50"/>
      <c r="S383" s="50"/>
      <c r="T383" s="50"/>
      <c r="U383" s="50"/>
      <c r="V383" s="50"/>
      <c r="W383" s="50"/>
      <c r="X383" s="50"/>
      <c r="Y383" s="50"/>
      <c r="Z383" s="50"/>
      <c r="AA383" s="50"/>
      <c r="AB383" s="50"/>
    </row>
    <row r="384" customFormat="false" ht="15.75" hidden="false" customHeight="false" outlineLevel="0" collapsed="false">
      <c r="A384" s="50"/>
      <c r="B384" s="50"/>
      <c r="C384" s="5"/>
      <c r="D384" s="48"/>
      <c r="E384" s="50"/>
      <c r="F384" s="5"/>
      <c r="G384" s="5"/>
      <c r="H384" s="5"/>
      <c r="I384" s="5"/>
      <c r="J384" s="5"/>
      <c r="K384" s="50"/>
      <c r="L384" s="50"/>
      <c r="M384" s="50"/>
      <c r="N384" s="50"/>
      <c r="O384" s="50"/>
      <c r="P384" s="50"/>
      <c r="Q384" s="50"/>
      <c r="R384" s="50"/>
      <c r="S384" s="50"/>
      <c r="T384" s="50"/>
      <c r="U384" s="50"/>
      <c r="V384" s="50"/>
      <c r="W384" s="50"/>
      <c r="X384" s="50"/>
      <c r="Y384" s="50"/>
      <c r="Z384" s="50"/>
      <c r="AA384" s="50"/>
      <c r="AB384" s="50"/>
    </row>
    <row r="385" customFormat="false" ht="15.75" hidden="false" customHeight="false" outlineLevel="0" collapsed="false">
      <c r="A385" s="50"/>
      <c r="B385" s="50"/>
      <c r="C385" s="5"/>
      <c r="D385" s="48"/>
      <c r="E385" s="50"/>
      <c r="F385" s="5"/>
      <c r="G385" s="5"/>
      <c r="H385" s="5"/>
      <c r="I385" s="5"/>
      <c r="J385" s="5"/>
      <c r="K385" s="50"/>
      <c r="L385" s="50"/>
      <c r="M385" s="50"/>
      <c r="N385" s="50"/>
      <c r="O385" s="50"/>
      <c r="P385" s="50"/>
      <c r="Q385" s="50"/>
      <c r="R385" s="50"/>
      <c r="S385" s="50"/>
      <c r="T385" s="50"/>
      <c r="U385" s="50"/>
      <c r="V385" s="50"/>
      <c r="W385" s="50"/>
      <c r="X385" s="50"/>
      <c r="Y385" s="50"/>
      <c r="Z385" s="50"/>
      <c r="AA385" s="50"/>
      <c r="AB385" s="50"/>
    </row>
    <row r="386" customFormat="false" ht="15.75" hidden="false" customHeight="false" outlineLevel="0" collapsed="false">
      <c r="A386" s="50"/>
      <c r="B386" s="50"/>
      <c r="C386" s="5"/>
      <c r="D386" s="48"/>
      <c r="E386" s="50"/>
      <c r="F386" s="5"/>
      <c r="G386" s="5"/>
      <c r="H386" s="5"/>
      <c r="I386" s="5"/>
      <c r="J386" s="5"/>
      <c r="K386" s="50"/>
      <c r="L386" s="50"/>
      <c r="M386" s="50"/>
      <c r="N386" s="50"/>
      <c r="O386" s="50"/>
      <c r="P386" s="50"/>
      <c r="Q386" s="50"/>
      <c r="R386" s="50"/>
      <c r="S386" s="50"/>
      <c r="T386" s="50"/>
      <c r="U386" s="50"/>
      <c r="V386" s="50"/>
      <c r="W386" s="50"/>
      <c r="X386" s="50"/>
      <c r="Y386" s="50"/>
      <c r="Z386" s="50"/>
      <c r="AA386" s="50"/>
      <c r="AB386" s="50"/>
    </row>
    <row r="387" customFormat="false" ht="15.75" hidden="false" customHeight="false" outlineLevel="0" collapsed="false">
      <c r="A387" s="50"/>
      <c r="B387" s="50"/>
      <c r="C387" s="5"/>
      <c r="D387" s="48"/>
      <c r="E387" s="50"/>
      <c r="F387" s="5"/>
      <c r="G387" s="5"/>
      <c r="H387" s="5"/>
      <c r="I387" s="5"/>
      <c r="J387" s="5"/>
      <c r="K387" s="50"/>
      <c r="L387" s="50"/>
      <c r="M387" s="50"/>
      <c r="N387" s="50"/>
      <c r="O387" s="50"/>
      <c r="P387" s="50"/>
      <c r="Q387" s="50"/>
      <c r="R387" s="50"/>
      <c r="S387" s="50"/>
      <c r="T387" s="50"/>
      <c r="U387" s="50"/>
      <c r="V387" s="50"/>
      <c r="W387" s="50"/>
      <c r="X387" s="50"/>
      <c r="Y387" s="50"/>
      <c r="Z387" s="50"/>
      <c r="AA387" s="50"/>
      <c r="AB387" s="50"/>
    </row>
    <row r="388" customFormat="false" ht="15.75" hidden="false" customHeight="false" outlineLevel="0" collapsed="false">
      <c r="A388" s="50"/>
      <c r="B388" s="50"/>
      <c r="C388" s="5"/>
      <c r="D388" s="48"/>
      <c r="E388" s="50"/>
      <c r="F388" s="5"/>
      <c r="G388" s="5"/>
      <c r="H388" s="5"/>
      <c r="I388" s="5"/>
      <c r="J388" s="5"/>
      <c r="K388" s="50"/>
      <c r="L388" s="50"/>
      <c r="M388" s="50"/>
      <c r="N388" s="50"/>
      <c r="O388" s="50"/>
      <c r="P388" s="50"/>
      <c r="Q388" s="50"/>
      <c r="R388" s="50"/>
      <c r="S388" s="50"/>
      <c r="T388" s="50"/>
      <c r="U388" s="50"/>
      <c r="V388" s="50"/>
      <c r="W388" s="50"/>
      <c r="X388" s="50"/>
      <c r="Y388" s="50"/>
      <c r="Z388" s="50"/>
      <c r="AA388" s="50"/>
      <c r="AB388" s="50"/>
    </row>
    <row r="389" customFormat="false" ht="15.75" hidden="false" customHeight="false" outlineLevel="0" collapsed="false">
      <c r="A389" s="50"/>
      <c r="B389" s="50"/>
      <c r="C389" s="5"/>
      <c r="D389" s="48"/>
      <c r="E389" s="50"/>
      <c r="F389" s="5"/>
      <c r="G389" s="5"/>
      <c r="H389" s="5"/>
      <c r="I389" s="5"/>
      <c r="J389" s="5"/>
      <c r="K389" s="50"/>
      <c r="L389" s="50"/>
      <c r="M389" s="50"/>
      <c r="N389" s="50"/>
      <c r="O389" s="50"/>
      <c r="P389" s="50"/>
      <c r="Q389" s="50"/>
      <c r="R389" s="50"/>
      <c r="S389" s="50"/>
      <c r="T389" s="50"/>
      <c r="U389" s="50"/>
      <c r="V389" s="50"/>
      <c r="W389" s="50"/>
      <c r="X389" s="50"/>
      <c r="Y389" s="50"/>
      <c r="Z389" s="50"/>
      <c r="AA389" s="50"/>
      <c r="AB389" s="50"/>
    </row>
    <row r="390" customFormat="false" ht="15.75" hidden="false" customHeight="false" outlineLevel="0" collapsed="false">
      <c r="A390" s="50"/>
      <c r="B390" s="50"/>
      <c r="C390" s="5"/>
      <c r="D390" s="48"/>
      <c r="E390" s="50"/>
      <c r="F390" s="5"/>
      <c r="G390" s="5"/>
      <c r="H390" s="5"/>
      <c r="I390" s="5"/>
      <c r="J390" s="5"/>
      <c r="K390" s="50"/>
      <c r="L390" s="50"/>
      <c r="M390" s="50"/>
      <c r="N390" s="50"/>
      <c r="O390" s="50"/>
      <c r="P390" s="50"/>
      <c r="Q390" s="50"/>
      <c r="R390" s="50"/>
      <c r="S390" s="50"/>
      <c r="T390" s="50"/>
      <c r="U390" s="50"/>
      <c r="V390" s="50"/>
      <c r="W390" s="50"/>
      <c r="X390" s="50"/>
      <c r="Y390" s="50"/>
      <c r="Z390" s="50"/>
      <c r="AA390" s="50"/>
      <c r="AB390" s="50"/>
    </row>
    <row r="391" customFormat="false" ht="15.75" hidden="false" customHeight="false" outlineLevel="0" collapsed="false">
      <c r="A391" s="50"/>
      <c r="B391" s="50"/>
      <c r="C391" s="5"/>
      <c r="D391" s="48"/>
      <c r="E391" s="50"/>
      <c r="F391" s="5"/>
      <c r="G391" s="5"/>
      <c r="H391" s="5"/>
      <c r="I391" s="5"/>
      <c r="J391" s="5"/>
      <c r="K391" s="50"/>
      <c r="L391" s="50"/>
      <c r="M391" s="50"/>
      <c r="N391" s="50"/>
      <c r="O391" s="50"/>
      <c r="P391" s="50"/>
      <c r="Q391" s="50"/>
      <c r="R391" s="50"/>
      <c r="S391" s="50"/>
      <c r="T391" s="50"/>
      <c r="U391" s="50"/>
      <c r="V391" s="50"/>
      <c r="W391" s="50"/>
      <c r="X391" s="50"/>
      <c r="Y391" s="50"/>
      <c r="Z391" s="50"/>
      <c r="AA391" s="50"/>
      <c r="AB391" s="50"/>
    </row>
    <row r="392" customFormat="false" ht="15.75" hidden="false" customHeight="false" outlineLevel="0" collapsed="false">
      <c r="A392" s="50"/>
      <c r="B392" s="50"/>
      <c r="C392" s="5"/>
      <c r="D392" s="48"/>
      <c r="E392" s="50"/>
      <c r="F392" s="5"/>
      <c r="G392" s="5"/>
      <c r="H392" s="5"/>
      <c r="I392" s="5"/>
      <c r="J392" s="5"/>
      <c r="K392" s="50"/>
      <c r="L392" s="50"/>
      <c r="M392" s="50"/>
      <c r="N392" s="50"/>
      <c r="O392" s="50"/>
      <c r="P392" s="50"/>
      <c r="Q392" s="50"/>
      <c r="R392" s="50"/>
      <c r="S392" s="50"/>
      <c r="T392" s="50"/>
      <c r="U392" s="50"/>
      <c r="V392" s="50"/>
      <c r="W392" s="50"/>
      <c r="X392" s="50"/>
      <c r="Y392" s="50"/>
      <c r="Z392" s="50"/>
      <c r="AA392" s="50"/>
      <c r="AB392" s="50"/>
    </row>
    <row r="393" customFormat="false" ht="15.75" hidden="false" customHeight="false" outlineLevel="0" collapsed="false">
      <c r="A393" s="50"/>
      <c r="B393" s="50"/>
      <c r="C393" s="5"/>
      <c r="D393" s="48"/>
      <c r="E393" s="50"/>
      <c r="F393" s="5"/>
      <c r="G393" s="5"/>
      <c r="H393" s="5"/>
      <c r="I393" s="5"/>
      <c r="J393" s="5"/>
      <c r="K393" s="50"/>
      <c r="L393" s="50"/>
      <c r="M393" s="50"/>
      <c r="N393" s="50"/>
      <c r="O393" s="50"/>
      <c r="P393" s="50"/>
      <c r="Q393" s="50"/>
      <c r="R393" s="50"/>
      <c r="S393" s="50"/>
      <c r="T393" s="50"/>
      <c r="U393" s="50"/>
      <c r="V393" s="50"/>
      <c r="W393" s="50"/>
      <c r="X393" s="50"/>
      <c r="Y393" s="50"/>
      <c r="Z393" s="50"/>
      <c r="AA393" s="50"/>
      <c r="AB393" s="50"/>
    </row>
    <row r="394" customFormat="false" ht="15.75" hidden="false" customHeight="false" outlineLevel="0" collapsed="false">
      <c r="A394" s="50"/>
      <c r="B394" s="50"/>
      <c r="C394" s="5"/>
      <c r="D394" s="48"/>
      <c r="E394" s="50"/>
      <c r="F394" s="5"/>
      <c r="G394" s="5"/>
      <c r="H394" s="5"/>
      <c r="I394" s="5"/>
      <c r="J394" s="5"/>
      <c r="K394" s="50"/>
      <c r="L394" s="50"/>
      <c r="M394" s="50"/>
      <c r="N394" s="50"/>
      <c r="O394" s="50"/>
      <c r="P394" s="50"/>
      <c r="Q394" s="50"/>
      <c r="R394" s="50"/>
      <c r="S394" s="50"/>
      <c r="T394" s="50"/>
      <c r="U394" s="50"/>
      <c r="V394" s="50"/>
      <c r="W394" s="50"/>
      <c r="X394" s="50"/>
      <c r="Y394" s="50"/>
      <c r="Z394" s="50"/>
      <c r="AA394" s="50"/>
      <c r="AB394" s="50"/>
    </row>
    <row r="395" customFormat="false" ht="15.75" hidden="false" customHeight="false" outlineLevel="0" collapsed="false">
      <c r="A395" s="50"/>
      <c r="B395" s="50"/>
      <c r="C395" s="5"/>
      <c r="D395" s="48"/>
      <c r="E395" s="50"/>
      <c r="F395" s="5"/>
      <c r="G395" s="5"/>
      <c r="H395" s="5"/>
      <c r="I395" s="5"/>
      <c r="J395" s="5"/>
      <c r="K395" s="50"/>
      <c r="L395" s="50"/>
      <c r="M395" s="50"/>
      <c r="N395" s="50"/>
      <c r="O395" s="50"/>
      <c r="P395" s="50"/>
      <c r="Q395" s="50"/>
      <c r="R395" s="50"/>
      <c r="S395" s="50"/>
      <c r="T395" s="50"/>
      <c r="U395" s="50"/>
      <c r="V395" s="50"/>
      <c r="W395" s="50"/>
      <c r="X395" s="50"/>
      <c r="Y395" s="50"/>
      <c r="Z395" s="50"/>
      <c r="AA395" s="50"/>
      <c r="AB395" s="50"/>
    </row>
    <row r="396" customFormat="false" ht="15.75" hidden="false" customHeight="false" outlineLevel="0" collapsed="false">
      <c r="A396" s="50"/>
      <c r="B396" s="50"/>
      <c r="C396" s="5"/>
      <c r="D396" s="48"/>
      <c r="E396" s="50"/>
      <c r="F396" s="5"/>
      <c r="G396" s="5"/>
      <c r="H396" s="5"/>
      <c r="I396" s="5"/>
      <c r="J396" s="5"/>
      <c r="K396" s="50"/>
      <c r="L396" s="50"/>
      <c r="M396" s="50"/>
      <c r="N396" s="50"/>
      <c r="O396" s="50"/>
      <c r="P396" s="50"/>
      <c r="Q396" s="50"/>
      <c r="R396" s="50"/>
      <c r="S396" s="50"/>
      <c r="T396" s="50"/>
      <c r="U396" s="50"/>
      <c r="V396" s="50"/>
      <c r="W396" s="50"/>
      <c r="X396" s="50"/>
      <c r="Y396" s="50"/>
      <c r="Z396" s="50"/>
      <c r="AA396" s="50"/>
      <c r="AB396" s="50"/>
    </row>
    <row r="397" customFormat="false" ht="15.75" hidden="false" customHeight="false" outlineLevel="0" collapsed="false">
      <c r="A397" s="50"/>
      <c r="B397" s="50"/>
      <c r="C397" s="5"/>
      <c r="D397" s="48"/>
      <c r="E397" s="50"/>
      <c r="F397" s="5"/>
      <c r="G397" s="5"/>
      <c r="H397" s="5"/>
      <c r="I397" s="5"/>
      <c r="J397" s="5"/>
      <c r="K397" s="50"/>
      <c r="L397" s="50"/>
      <c r="M397" s="50"/>
      <c r="N397" s="50"/>
      <c r="O397" s="50"/>
      <c r="P397" s="50"/>
      <c r="Q397" s="50"/>
      <c r="R397" s="50"/>
      <c r="S397" s="50"/>
      <c r="T397" s="50"/>
      <c r="U397" s="50"/>
      <c r="V397" s="50"/>
      <c r="W397" s="50"/>
      <c r="X397" s="50"/>
      <c r="Y397" s="50"/>
      <c r="Z397" s="50"/>
      <c r="AA397" s="50"/>
      <c r="AB397" s="50"/>
    </row>
    <row r="398" customFormat="false" ht="15.75" hidden="false" customHeight="false" outlineLevel="0" collapsed="false">
      <c r="A398" s="50"/>
      <c r="B398" s="50"/>
      <c r="C398" s="5"/>
      <c r="D398" s="48"/>
      <c r="E398" s="50"/>
      <c r="F398" s="5"/>
      <c r="G398" s="5"/>
      <c r="H398" s="5"/>
      <c r="I398" s="5"/>
      <c r="J398" s="5"/>
      <c r="K398" s="50"/>
      <c r="L398" s="50"/>
      <c r="M398" s="50"/>
      <c r="N398" s="50"/>
      <c r="O398" s="50"/>
      <c r="P398" s="50"/>
      <c r="Q398" s="50"/>
      <c r="R398" s="50"/>
      <c r="S398" s="50"/>
      <c r="T398" s="50"/>
      <c r="U398" s="50"/>
      <c r="V398" s="50"/>
      <c r="W398" s="50"/>
      <c r="X398" s="50"/>
      <c r="Y398" s="50"/>
      <c r="Z398" s="50"/>
      <c r="AA398" s="50"/>
      <c r="AB398" s="50"/>
    </row>
    <row r="399" customFormat="false" ht="15.75" hidden="false" customHeight="false" outlineLevel="0" collapsed="false">
      <c r="A399" s="50"/>
      <c r="B399" s="50"/>
      <c r="C399" s="5"/>
      <c r="D399" s="48"/>
      <c r="E399" s="50"/>
      <c r="F399" s="5"/>
      <c r="G399" s="5"/>
      <c r="H399" s="5"/>
      <c r="I399" s="5"/>
      <c r="J399" s="5"/>
      <c r="K399" s="50"/>
      <c r="L399" s="50"/>
      <c r="M399" s="50"/>
      <c r="N399" s="50"/>
      <c r="O399" s="50"/>
      <c r="P399" s="50"/>
      <c r="Q399" s="50"/>
      <c r="R399" s="50"/>
      <c r="S399" s="50"/>
      <c r="T399" s="50"/>
      <c r="U399" s="50"/>
      <c r="V399" s="50"/>
      <c r="W399" s="50"/>
      <c r="X399" s="50"/>
      <c r="Y399" s="50"/>
      <c r="Z399" s="50"/>
      <c r="AA399" s="50"/>
      <c r="AB399" s="50"/>
    </row>
    <row r="400" customFormat="false" ht="15.75" hidden="false" customHeight="false" outlineLevel="0" collapsed="false">
      <c r="A400" s="50"/>
      <c r="B400" s="50"/>
      <c r="C400" s="5"/>
      <c r="D400" s="48"/>
      <c r="E400" s="50"/>
      <c r="F400" s="5"/>
      <c r="G400" s="5"/>
      <c r="H400" s="5"/>
      <c r="I400" s="5"/>
      <c r="J400" s="5"/>
      <c r="K400" s="50"/>
      <c r="L400" s="50"/>
      <c r="M400" s="50"/>
      <c r="N400" s="50"/>
      <c r="O400" s="50"/>
      <c r="P400" s="50"/>
      <c r="Q400" s="50"/>
      <c r="R400" s="50"/>
      <c r="S400" s="50"/>
      <c r="T400" s="50"/>
      <c r="U400" s="50"/>
      <c r="V400" s="50"/>
      <c r="W400" s="50"/>
      <c r="X400" s="50"/>
      <c r="Y400" s="50"/>
      <c r="Z400" s="50"/>
      <c r="AA400" s="50"/>
      <c r="AB400" s="50"/>
    </row>
    <row r="401" customFormat="false" ht="15.75" hidden="false" customHeight="false" outlineLevel="0" collapsed="false">
      <c r="A401" s="50"/>
      <c r="B401" s="50"/>
      <c r="C401" s="5"/>
      <c r="D401" s="48"/>
      <c r="E401" s="50"/>
      <c r="F401" s="5"/>
      <c r="G401" s="5"/>
      <c r="H401" s="5"/>
      <c r="I401" s="5"/>
      <c r="J401" s="5"/>
      <c r="K401" s="50"/>
      <c r="L401" s="50"/>
      <c r="M401" s="50"/>
      <c r="N401" s="50"/>
      <c r="O401" s="50"/>
      <c r="P401" s="50"/>
      <c r="Q401" s="50"/>
      <c r="R401" s="50"/>
      <c r="S401" s="50"/>
      <c r="T401" s="50"/>
      <c r="U401" s="50"/>
      <c r="V401" s="50"/>
      <c r="W401" s="50"/>
      <c r="X401" s="50"/>
      <c r="Y401" s="50"/>
      <c r="Z401" s="50"/>
      <c r="AA401" s="50"/>
      <c r="AB401" s="50"/>
    </row>
    <row r="402" customFormat="false" ht="15.75" hidden="false" customHeight="false" outlineLevel="0" collapsed="false">
      <c r="A402" s="50"/>
      <c r="B402" s="50"/>
      <c r="C402" s="5"/>
      <c r="D402" s="48"/>
      <c r="E402" s="50"/>
      <c r="F402" s="5"/>
      <c r="G402" s="5"/>
      <c r="H402" s="5"/>
      <c r="I402" s="5"/>
      <c r="J402" s="5"/>
      <c r="K402" s="50"/>
      <c r="L402" s="50"/>
      <c r="M402" s="50"/>
      <c r="N402" s="50"/>
      <c r="O402" s="50"/>
      <c r="P402" s="50"/>
      <c r="Q402" s="50"/>
      <c r="R402" s="50"/>
      <c r="S402" s="50"/>
      <c r="T402" s="50"/>
      <c r="U402" s="50"/>
      <c r="V402" s="50"/>
      <c r="W402" s="50"/>
      <c r="X402" s="50"/>
      <c r="Y402" s="50"/>
      <c r="Z402" s="50"/>
      <c r="AA402" s="50"/>
      <c r="AB402" s="50"/>
    </row>
    <row r="403" customFormat="false" ht="15.75" hidden="false" customHeight="false" outlineLevel="0" collapsed="false">
      <c r="A403" s="50"/>
      <c r="B403" s="50"/>
      <c r="C403" s="5"/>
      <c r="D403" s="48"/>
      <c r="E403" s="50"/>
      <c r="F403" s="5"/>
      <c r="G403" s="5"/>
      <c r="H403" s="5"/>
      <c r="I403" s="5"/>
      <c r="J403" s="5"/>
      <c r="K403" s="50"/>
      <c r="L403" s="50"/>
      <c r="M403" s="50"/>
      <c r="N403" s="50"/>
      <c r="O403" s="50"/>
      <c r="P403" s="50"/>
      <c r="Q403" s="50"/>
      <c r="R403" s="50"/>
      <c r="S403" s="50"/>
      <c r="T403" s="50"/>
      <c r="U403" s="50"/>
      <c r="V403" s="50"/>
      <c r="W403" s="50"/>
      <c r="X403" s="50"/>
      <c r="Y403" s="50"/>
      <c r="Z403" s="50"/>
      <c r="AA403" s="50"/>
      <c r="AB403" s="50"/>
    </row>
    <row r="404" customFormat="false" ht="15.75" hidden="false" customHeight="false" outlineLevel="0" collapsed="false">
      <c r="A404" s="50"/>
      <c r="B404" s="50"/>
      <c r="C404" s="5"/>
      <c r="D404" s="48"/>
      <c r="E404" s="50"/>
      <c r="F404" s="5"/>
      <c r="G404" s="5"/>
      <c r="H404" s="5"/>
      <c r="I404" s="5"/>
      <c r="J404" s="5"/>
      <c r="K404" s="50"/>
      <c r="L404" s="50"/>
      <c r="M404" s="50"/>
      <c r="N404" s="50"/>
      <c r="O404" s="50"/>
      <c r="P404" s="50"/>
      <c r="Q404" s="50"/>
      <c r="R404" s="50"/>
      <c r="S404" s="50"/>
      <c r="T404" s="50"/>
      <c r="U404" s="50"/>
      <c r="V404" s="50"/>
      <c r="W404" s="50"/>
      <c r="X404" s="50"/>
      <c r="Y404" s="50"/>
      <c r="Z404" s="50"/>
      <c r="AA404" s="50"/>
      <c r="AB404" s="50"/>
    </row>
    <row r="405" customFormat="false" ht="15.75" hidden="false" customHeight="false" outlineLevel="0" collapsed="false">
      <c r="A405" s="50"/>
      <c r="B405" s="50"/>
      <c r="C405" s="5"/>
      <c r="D405" s="48"/>
      <c r="E405" s="50"/>
      <c r="F405" s="5"/>
      <c r="G405" s="5"/>
      <c r="H405" s="5"/>
      <c r="I405" s="5"/>
      <c r="J405" s="5"/>
      <c r="K405" s="50"/>
      <c r="L405" s="50"/>
      <c r="M405" s="50"/>
      <c r="N405" s="50"/>
      <c r="O405" s="50"/>
      <c r="P405" s="50"/>
      <c r="Q405" s="50"/>
      <c r="R405" s="50"/>
      <c r="S405" s="50"/>
      <c r="T405" s="50"/>
      <c r="U405" s="50"/>
      <c r="V405" s="50"/>
      <c r="W405" s="50"/>
      <c r="X405" s="50"/>
      <c r="Y405" s="50"/>
      <c r="Z405" s="50"/>
      <c r="AA405" s="50"/>
      <c r="AB405" s="50"/>
    </row>
    <row r="406" customFormat="false" ht="15.75" hidden="false" customHeight="false" outlineLevel="0" collapsed="false">
      <c r="A406" s="50"/>
      <c r="B406" s="50"/>
      <c r="C406" s="5"/>
      <c r="D406" s="48"/>
      <c r="E406" s="50"/>
      <c r="F406" s="5"/>
      <c r="G406" s="5"/>
      <c r="H406" s="5"/>
      <c r="I406" s="5"/>
      <c r="J406" s="5"/>
      <c r="K406" s="50"/>
      <c r="L406" s="50"/>
      <c r="M406" s="50"/>
      <c r="N406" s="50"/>
      <c r="O406" s="50"/>
      <c r="P406" s="50"/>
      <c r="Q406" s="50"/>
      <c r="R406" s="50"/>
      <c r="S406" s="50"/>
      <c r="T406" s="50"/>
      <c r="U406" s="50"/>
      <c r="V406" s="50"/>
      <c r="W406" s="50"/>
      <c r="X406" s="50"/>
      <c r="Y406" s="50"/>
      <c r="Z406" s="50"/>
      <c r="AA406" s="50"/>
      <c r="AB406" s="50"/>
    </row>
    <row r="407" customFormat="false" ht="15.75" hidden="false" customHeight="false" outlineLevel="0" collapsed="false">
      <c r="A407" s="50"/>
      <c r="B407" s="50"/>
      <c r="C407" s="5"/>
      <c r="D407" s="48"/>
      <c r="E407" s="50"/>
      <c r="F407" s="5"/>
      <c r="G407" s="5"/>
      <c r="H407" s="5"/>
      <c r="I407" s="5"/>
      <c r="J407" s="5"/>
      <c r="K407" s="50"/>
      <c r="L407" s="50"/>
      <c r="M407" s="50"/>
      <c r="N407" s="50"/>
      <c r="O407" s="50"/>
      <c r="P407" s="50"/>
      <c r="Q407" s="50"/>
      <c r="R407" s="50"/>
      <c r="S407" s="50"/>
      <c r="T407" s="50"/>
      <c r="U407" s="50"/>
      <c r="V407" s="50"/>
      <c r="W407" s="50"/>
      <c r="X407" s="50"/>
      <c r="Y407" s="50"/>
      <c r="Z407" s="50"/>
      <c r="AA407" s="50"/>
      <c r="AB407" s="50"/>
    </row>
    <row r="408" customFormat="false" ht="15.75" hidden="false" customHeight="false" outlineLevel="0" collapsed="false">
      <c r="A408" s="50"/>
      <c r="B408" s="50"/>
      <c r="C408" s="5"/>
      <c r="D408" s="48"/>
      <c r="E408" s="50"/>
      <c r="F408" s="5"/>
      <c r="G408" s="5"/>
      <c r="H408" s="5"/>
      <c r="I408" s="5"/>
      <c r="J408" s="5"/>
      <c r="K408" s="50"/>
      <c r="L408" s="50"/>
      <c r="M408" s="50"/>
      <c r="N408" s="50"/>
      <c r="O408" s="50"/>
      <c r="P408" s="50"/>
      <c r="Q408" s="50"/>
      <c r="R408" s="50"/>
      <c r="S408" s="50"/>
      <c r="T408" s="50"/>
      <c r="U408" s="50"/>
      <c r="V408" s="50"/>
      <c r="W408" s="50"/>
      <c r="X408" s="50"/>
      <c r="Y408" s="50"/>
      <c r="Z408" s="50"/>
      <c r="AA408" s="50"/>
      <c r="AB408" s="50"/>
    </row>
    <row r="409" customFormat="false" ht="15.75" hidden="false" customHeight="false" outlineLevel="0" collapsed="false">
      <c r="A409" s="50"/>
      <c r="B409" s="50"/>
      <c r="C409" s="5"/>
      <c r="D409" s="48"/>
      <c r="E409" s="50"/>
      <c r="F409" s="5"/>
      <c r="G409" s="5"/>
      <c r="H409" s="5"/>
      <c r="I409" s="5"/>
      <c r="J409" s="5"/>
      <c r="K409" s="50"/>
      <c r="L409" s="50"/>
      <c r="M409" s="50"/>
      <c r="N409" s="50"/>
      <c r="O409" s="50"/>
      <c r="P409" s="50"/>
      <c r="Q409" s="50"/>
      <c r="R409" s="50"/>
      <c r="S409" s="50"/>
      <c r="T409" s="50"/>
      <c r="U409" s="50"/>
      <c r="V409" s="50"/>
      <c r="W409" s="50"/>
      <c r="X409" s="50"/>
      <c r="Y409" s="50"/>
      <c r="Z409" s="50"/>
      <c r="AA409" s="50"/>
      <c r="AB409" s="50"/>
    </row>
    <row r="410" customFormat="false" ht="15.75" hidden="false" customHeight="false" outlineLevel="0" collapsed="false">
      <c r="A410" s="50"/>
      <c r="B410" s="50"/>
      <c r="C410" s="5"/>
      <c r="D410" s="48"/>
      <c r="E410" s="50"/>
      <c r="F410" s="5"/>
      <c r="G410" s="5"/>
      <c r="H410" s="5"/>
      <c r="I410" s="5"/>
      <c r="J410" s="5"/>
      <c r="K410" s="50"/>
      <c r="L410" s="50"/>
      <c r="M410" s="50"/>
      <c r="N410" s="50"/>
      <c r="O410" s="50"/>
      <c r="P410" s="50"/>
      <c r="Q410" s="50"/>
      <c r="R410" s="50"/>
      <c r="S410" s="50"/>
      <c r="T410" s="50"/>
      <c r="U410" s="50"/>
      <c r="V410" s="50"/>
      <c r="W410" s="50"/>
      <c r="X410" s="50"/>
      <c r="Y410" s="50"/>
      <c r="Z410" s="50"/>
      <c r="AA410" s="50"/>
      <c r="AB410" s="50"/>
    </row>
    <row r="411" customFormat="false" ht="15.75" hidden="false" customHeight="false" outlineLevel="0" collapsed="false">
      <c r="A411" s="50"/>
      <c r="B411" s="50"/>
      <c r="C411" s="5"/>
      <c r="D411" s="48"/>
      <c r="E411" s="50"/>
      <c r="F411" s="5"/>
      <c r="G411" s="5"/>
      <c r="H411" s="5"/>
      <c r="I411" s="5"/>
      <c r="J411" s="5"/>
      <c r="K411" s="50"/>
      <c r="L411" s="50"/>
      <c r="M411" s="50"/>
      <c r="N411" s="50"/>
      <c r="O411" s="50"/>
      <c r="P411" s="50"/>
      <c r="Q411" s="50"/>
      <c r="R411" s="50"/>
      <c r="S411" s="50"/>
      <c r="T411" s="50"/>
      <c r="U411" s="50"/>
      <c r="V411" s="50"/>
      <c r="W411" s="50"/>
      <c r="X411" s="50"/>
      <c r="Y411" s="50"/>
      <c r="Z411" s="50"/>
      <c r="AA411" s="50"/>
      <c r="AB411" s="50"/>
    </row>
    <row r="412" customFormat="false" ht="15.75" hidden="false" customHeight="false" outlineLevel="0" collapsed="false">
      <c r="A412" s="50"/>
      <c r="B412" s="50"/>
      <c r="C412" s="5"/>
      <c r="D412" s="48"/>
      <c r="E412" s="50"/>
      <c r="F412" s="5"/>
      <c r="G412" s="5"/>
      <c r="H412" s="5"/>
      <c r="I412" s="5"/>
      <c r="J412" s="5"/>
      <c r="K412" s="50"/>
      <c r="L412" s="50"/>
      <c r="M412" s="50"/>
      <c r="N412" s="50"/>
      <c r="O412" s="50"/>
      <c r="P412" s="50"/>
      <c r="Q412" s="50"/>
      <c r="R412" s="50"/>
      <c r="S412" s="50"/>
      <c r="T412" s="50"/>
      <c r="U412" s="50"/>
      <c r="V412" s="50"/>
      <c r="W412" s="50"/>
      <c r="X412" s="50"/>
      <c r="Y412" s="50"/>
      <c r="Z412" s="50"/>
      <c r="AA412" s="50"/>
      <c r="AB412" s="50"/>
    </row>
    <row r="413" customFormat="false" ht="15.75" hidden="false" customHeight="false" outlineLevel="0" collapsed="false">
      <c r="A413" s="50"/>
      <c r="B413" s="50"/>
      <c r="C413" s="5"/>
      <c r="D413" s="48"/>
      <c r="E413" s="50"/>
      <c r="F413" s="5"/>
      <c r="G413" s="5"/>
      <c r="H413" s="5"/>
      <c r="I413" s="5"/>
      <c r="J413" s="5"/>
      <c r="K413" s="50"/>
      <c r="L413" s="50"/>
      <c r="M413" s="50"/>
      <c r="N413" s="50"/>
      <c r="O413" s="50"/>
      <c r="P413" s="50"/>
      <c r="Q413" s="50"/>
      <c r="R413" s="50"/>
      <c r="S413" s="50"/>
      <c r="T413" s="50"/>
      <c r="U413" s="50"/>
      <c r="V413" s="50"/>
      <c r="W413" s="50"/>
      <c r="X413" s="50"/>
      <c r="Y413" s="50"/>
      <c r="Z413" s="50"/>
      <c r="AA413" s="50"/>
      <c r="AB413" s="50"/>
    </row>
    <row r="414" customFormat="false" ht="15.75" hidden="false" customHeight="false" outlineLevel="0" collapsed="false">
      <c r="A414" s="50"/>
      <c r="B414" s="50"/>
      <c r="C414" s="5"/>
      <c r="D414" s="48"/>
      <c r="E414" s="50"/>
      <c r="F414" s="5"/>
      <c r="G414" s="5"/>
      <c r="H414" s="5"/>
      <c r="I414" s="5"/>
      <c r="J414" s="5"/>
      <c r="K414" s="50"/>
      <c r="L414" s="50"/>
      <c r="M414" s="50"/>
      <c r="N414" s="50"/>
      <c r="O414" s="50"/>
      <c r="P414" s="50"/>
      <c r="Q414" s="50"/>
      <c r="R414" s="50"/>
      <c r="S414" s="50"/>
      <c r="T414" s="50"/>
      <c r="U414" s="50"/>
      <c r="V414" s="50"/>
      <c r="W414" s="50"/>
      <c r="X414" s="50"/>
      <c r="Y414" s="50"/>
      <c r="Z414" s="50"/>
      <c r="AA414" s="50"/>
      <c r="AB414" s="50"/>
    </row>
    <row r="415" customFormat="false" ht="15.75" hidden="false" customHeight="false" outlineLevel="0" collapsed="false">
      <c r="A415" s="50"/>
      <c r="B415" s="50"/>
      <c r="C415" s="5"/>
      <c r="D415" s="48"/>
      <c r="E415" s="50"/>
      <c r="F415" s="5"/>
      <c r="G415" s="5"/>
      <c r="H415" s="5"/>
      <c r="I415" s="5"/>
      <c r="J415" s="5"/>
      <c r="K415" s="50"/>
      <c r="L415" s="50"/>
      <c r="M415" s="50"/>
      <c r="N415" s="50"/>
      <c r="O415" s="50"/>
      <c r="P415" s="50"/>
      <c r="Q415" s="50"/>
      <c r="R415" s="50"/>
      <c r="S415" s="50"/>
      <c r="T415" s="50"/>
      <c r="U415" s="50"/>
      <c r="V415" s="50"/>
      <c r="W415" s="50"/>
      <c r="X415" s="50"/>
      <c r="Y415" s="50"/>
      <c r="Z415" s="50"/>
      <c r="AA415" s="50"/>
      <c r="AB415" s="50"/>
    </row>
    <row r="416" customFormat="false" ht="15.75" hidden="false" customHeight="false" outlineLevel="0" collapsed="false">
      <c r="A416" s="50"/>
      <c r="B416" s="50"/>
      <c r="C416" s="5"/>
      <c r="D416" s="48"/>
      <c r="E416" s="50"/>
      <c r="F416" s="5"/>
      <c r="G416" s="5"/>
      <c r="H416" s="5"/>
      <c r="I416" s="5"/>
      <c r="J416" s="5"/>
      <c r="K416" s="50"/>
      <c r="L416" s="50"/>
      <c r="M416" s="50"/>
      <c r="N416" s="50"/>
      <c r="O416" s="50"/>
      <c r="P416" s="50"/>
      <c r="Q416" s="50"/>
      <c r="R416" s="50"/>
      <c r="S416" s="50"/>
      <c r="T416" s="50"/>
      <c r="U416" s="50"/>
      <c r="V416" s="50"/>
      <c r="W416" s="50"/>
      <c r="X416" s="50"/>
      <c r="Y416" s="50"/>
      <c r="Z416" s="50"/>
      <c r="AA416" s="50"/>
      <c r="AB416" s="50"/>
    </row>
    <row r="417" customFormat="false" ht="15.75" hidden="false" customHeight="false" outlineLevel="0" collapsed="false">
      <c r="A417" s="50"/>
      <c r="B417" s="50"/>
      <c r="C417" s="5"/>
      <c r="D417" s="48"/>
      <c r="E417" s="50"/>
      <c r="F417" s="5"/>
      <c r="G417" s="5"/>
      <c r="H417" s="5"/>
      <c r="I417" s="5"/>
      <c r="J417" s="5"/>
      <c r="K417" s="50"/>
      <c r="L417" s="50"/>
      <c r="M417" s="50"/>
      <c r="N417" s="50"/>
      <c r="O417" s="50"/>
      <c r="P417" s="50"/>
      <c r="Q417" s="50"/>
      <c r="R417" s="50"/>
      <c r="S417" s="50"/>
      <c r="T417" s="50"/>
      <c r="U417" s="50"/>
      <c r="V417" s="50"/>
      <c r="W417" s="50"/>
      <c r="X417" s="50"/>
      <c r="Y417" s="50"/>
      <c r="Z417" s="50"/>
      <c r="AA417" s="50"/>
      <c r="AB417" s="50"/>
    </row>
    <row r="418" customFormat="false" ht="15.75" hidden="false" customHeight="false" outlineLevel="0" collapsed="false">
      <c r="A418" s="50"/>
      <c r="B418" s="50"/>
      <c r="C418" s="5"/>
      <c r="D418" s="48"/>
      <c r="E418" s="50"/>
      <c r="F418" s="5"/>
      <c r="G418" s="5"/>
      <c r="H418" s="5"/>
      <c r="I418" s="5"/>
      <c r="J418" s="5"/>
      <c r="K418" s="50"/>
      <c r="L418" s="50"/>
      <c r="M418" s="50"/>
      <c r="N418" s="50"/>
      <c r="O418" s="50"/>
      <c r="P418" s="50"/>
      <c r="Q418" s="50"/>
      <c r="R418" s="50"/>
      <c r="S418" s="50"/>
      <c r="T418" s="50"/>
      <c r="U418" s="50"/>
      <c r="V418" s="50"/>
      <c r="W418" s="50"/>
      <c r="X418" s="50"/>
      <c r="Y418" s="50"/>
      <c r="Z418" s="50"/>
      <c r="AA418" s="50"/>
      <c r="AB418" s="50"/>
    </row>
    <row r="419" customFormat="false" ht="15.75" hidden="false" customHeight="false" outlineLevel="0" collapsed="false">
      <c r="A419" s="50"/>
      <c r="B419" s="50"/>
      <c r="C419" s="5"/>
      <c r="D419" s="48"/>
      <c r="E419" s="50"/>
      <c r="F419" s="5"/>
      <c r="G419" s="5"/>
      <c r="H419" s="5"/>
      <c r="I419" s="5"/>
      <c r="J419" s="5"/>
      <c r="K419" s="50"/>
      <c r="L419" s="50"/>
      <c r="M419" s="50"/>
      <c r="N419" s="50"/>
      <c r="O419" s="50"/>
      <c r="P419" s="50"/>
      <c r="Q419" s="50"/>
      <c r="R419" s="50"/>
      <c r="S419" s="50"/>
      <c r="T419" s="50"/>
      <c r="U419" s="50"/>
      <c r="V419" s="50"/>
      <c r="W419" s="50"/>
      <c r="X419" s="50"/>
      <c r="Y419" s="50"/>
      <c r="Z419" s="50"/>
      <c r="AA419" s="50"/>
      <c r="AB419" s="50"/>
    </row>
    <row r="420" customFormat="false" ht="15.75" hidden="false" customHeight="false" outlineLevel="0" collapsed="false">
      <c r="A420" s="50"/>
      <c r="B420" s="50"/>
      <c r="C420" s="5"/>
      <c r="D420" s="48"/>
      <c r="E420" s="50"/>
      <c r="F420" s="5"/>
      <c r="G420" s="5"/>
      <c r="H420" s="5"/>
      <c r="I420" s="5"/>
      <c r="J420" s="5"/>
      <c r="K420" s="50"/>
      <c r="L420" s="50"/>
      <c r="M420" s="50"/>
      <c r="N420" s="50"/>
      <c r="O420" s="50"/>
      <c r="P420" s="50"/>
      <c r="Q420" s="50"/>
      <c r="R420" s="50"/>
      <c r="S420" s="50"/>
      <c r="T420" s="50"/>
      <c r="U420" s="50"/>
      <c r="V420" s="50"/>
      <c r="W420" s="50"/>
      <c r="X420" s="50"/>
      <c r="Y420" s="50"/>
      <c r="Z420" s="50"/>
      <c r="AA420" s="50"/>
      <c r="AB420" s="50"/>
    </row>
    <row r="421" customFormat="false" ht="15.75" hidden="false" customHeight="false" outlineLevel="0" collapsed="false">
      <c r="A421" s="50"/>
      <c r="B421" s="50"/>
      <c r="C421" s="5"/>
      <c r="D421" s="48"/>
      <c r="E421" s="50"/>
      <c r="F421" s="5"/>
      <c r="G421" s="5"/>
      <c r="H421" s="5"/>
      <c r="I421" s="5"/>
      <c r="J421" s="5"/>
      <c r="K421" s="50"/>
      <c r="L421" s="50"/>
      <c r="M421" s="50"/>
      <c r="N421" s="50"/>
      <c r="O421" s="50"/>
      <c r="P421" s="50"/>
      <c r="Q421" s="50"/>
      <c r="R421" s="50"/>
      <c r="S421" s="50"/>
      <c r="T421" s="50"/>
      <c r="U421" s="50"/>
      <c r="V421" s="50"/>
      <c r="W421" s="50"/>
      <c r="X421" s="50"/>
      <c r="Y421" s="50"/>
      <c r="Z421" s="50"/>
      <c r="AA421" s="50"/>
      <c r="AB421" s="50"/>
    </row>
    <row r="422" customFormat="false" ht="15.75" hidden="false" customHeight="false" outlineLevel="0" collapsed="false">
      <c r="A422" s="50"/>
      <c r="B422" s="50"/>
      <c r="C422" s="5"/>
      <c r="D422" s="48"/>
      <c r="E422" s="50"/>
      <c r="F422" s="5"/>
      <c r="G422" s="5"/>
      <c r="H422" s="5"/>
      <c r="I422" s="5"/>
      <c r="J422" s="5"/>
      <c r="K422" s="50"/>
      <c r="L422" s="50"/>
      <c r="M422" s="50"/>
      <c r="N422" s="50"/>
      <c r="O422" s="50"/>
      <c r="P422" s="50"/>
      <c r="Q422" s="50"/>
      <c r="R422" s="50"/>
      <c r="S422" s="50"/>
      <c r="T422" s="50"/>
      <c r="U422" s="50"/>
      <c r="V422" s="50"/>
      <c r="W422" s="50"/>
      <c r="X422" s="50"/>
      <c r="Y422" s="50"/>
      <c r="Z422" s="50"/>
      <c r="AA422" s="50"/>
      <c r="AB422" s="50"/>
    </row>
    <row r="423" customFormat="false" ht="15.75" hidden="false" customHeight="false" outlineLevel="0" collapsed="false">
      <c r="A423" s="50"/>
      <c r="B423" s="50"/>
      <c r="C423" s="5"/>
      <c r="D423" s="48"/>
      <c r="E423" s="50"/>
      <c r="F423" s="5"/>
      <c r="G423" s="5"/>
      <c r="H423" s="5"/>
      <c r="I423" s="5"/>
      <c r="J423" s="5"/>
      <c r="K423" s="50"/>
      <c r="L423" s="50"/>
      <c r="M423" s="50"/>
      <c r="N423" s="50"/>
      <c r="O423" s="50"/>
      <c r="P423" s="50"/>
      <c r="Q423" s="50"/>
      <c r="R423" s="50"/>
      <c r="S423" s="50"/>
      <c r="T423" s="50"/>
      <c r="U423" s="50"/>
      <c r="V423" s="50"/>
      <c r="W423" s="50"/>
      <c r="X423" s="50"/>
      <c r="Y423" s="50"/>
      <c r="Z423" s="50"/>
      <c r="AA423" s="50"/>
      <c r="AB423" s="50"/>
    </row>
    <row r="424" customFormat="false" ht="15.75" hidden="false" customHeight="false" outlineLevel="0" collapsed="false">
      <c r="A424" s="50"/>
      <c r="B424" s="50"/>
      <c r="C424" s="5"/>
      <c r="D424" s="48"/>
      <c r="E424" s="50"/>
      <c r="F424" s="5"/>
      <c r="G424" s="5"/>
      <c r="H424" s="5"/>
      <c r="I424" s="5"/>
      <c r="J424" s="5"/>
      <c r="K424" s="50"/>
      <c r="L424" s="50"/>
      <c r="M424" s="50"/>
      <c r="N424" s="50"/>
      <c r="O424" s="50"/>
      <c r="P424" s="50"/>
      <c r="Q424" s="50"/>
      <c r="R424" s="50"/>
      <c r="S424" s="50"/>
      <c r="T424" s="50"/>
      <c r="U424" s="50"/>
      <c r="V424" s="50"/>
      <c r="W424" s="50"/>
      <c r="X424" s="50"/>
      <c r="Y424" s="50"/>
      <c r="Z424" s="50"/>
      <c r="AA424" s="50"/>
      <c r="AB424" s="50"/>
    </row>
    <row r="425" customFormat="false" ht="15.75" hidden="false" customHeight="false" outlineLevel="0" collapsed="false">
      <c r="A425" s="50"/>
      <c r="B425" s="50"/>
      <c r="C425" s="5"/>
      <c r="D425" s="48"/>
      <c r="E425" s="50"/>
      <c r="F425" s="5"/>
      <c r="G425" s="5"/>
      <c r="H425" s="5"/>
      <c r="I425" s="5"/>
      <c r="J425" s="5"/>
      <c r="K425" s="50"/>
      <c r="L425" s="50"/>
      <c r="M425" s="50"/>
      <c r="N425" s="50"/>
      <c r="O425" s="50"/>
      <c r="P425" s="50"/>
      <c r="Q425" s="50"/>
      <c r="R425" s="50"/>
      <c r="S425" s="50"/>
      <c r="T425" s="50"/>
      <c r="U425" s="50"/>
      <c r="V425" s="50"/>
      <c r="W425" s="50"/>
      <c r="X425" s="50"/>
      <c r="Y425" s="50"/>
      <c r="Z425" s="50"/>
      <c r="AA425" s="50"/>
      <c r="AB425" s="50"/>
    </row>
    <row r="426" customFormat="false" ht="15.75" hidden="false" customHeight="false" outlineLevel="0" collapsed="false">
      <c r="A426" s="50"/>
      <c r="B426" s="50"/>
      <c r="C426" s="5"/>
      <c r="D426" s="48"/>
      <c r="E426" s="50"/>
      <c r="F426" s="5"/>
      <c r="G426" s="5"/>
      <c r="H426" s="5"/>
      <c r="I426" s="5"/>
      <c r="J426" s="5"/>
      <c r="K426" s="50"/>
      <c r="L426" s="50"/>
      <c r="M426" s="50"/>
      <c r="N426" s="50"/>
      <c r="O426" s="50"/>
      <c r="P426" s="50"/>
      <c r="Q426" s="50"/>
      <c r="R426" s="50"/>
      <c r="S426" s="50"/>
      <c r="T426" s="50"/>
      <c r="U426" s="50"/>
      <c r="V426" s="50"/>
      <c r="W426" s="50"/>
      <c r="X426" s="50"/>
      <c r="Y426" s="50"/>
      <c r="Z426" s="50"/>
      <c r="AA426" s="50"/>
      <c r="AB426" s="50"/>
    </row>
    <row r="427" customFormat="false" ht="15.75" hidden="false" customHeight="false" outlineLevel="0" collapsed="false">
      <c r="A427" s="50"/>
      <c r="B427" s="50"/>
      <c r="C427" s="5"/>
      <c r="D427" s="48"/>
      <c r="E427" s="50"/>
      <c r="F427" s="5"/>
      <c r="G427" s="5"/>
      <c r="H427" s="5"/>
      <c r="I427" s="5"/>
      <c r="J427" s="5"/>
      <c r="K427" s="50"/>
      <c r="L427" s="50"/>
      <c r="M427" s="50"/>
      <c r="N427" s="50"/>
      <c r="O427" s="50"/>
      <c r="P427" s="50"/>
      <c r="Q427" s="50"/>
      <c r="R427" s="50"/>
      <c r="S427" s="50"/>
      <c r="T427" s="50"/>
      <c r="U427" s="50"/>
      <c r="V427" s="50"/>
      <c r="W427" s="50"/>
      <c r="X427" s="50"/>
      <c r="Y427" s="50"/>
      <c r="Z427" s="50"/>
      <c r="AA427" s="50"/>
      <c r="AB427" s="50"/>
    </row>
    <row r="428" customFormat="false" ht="15.75" hidden="false" customHeight="false" outlineLevel="0" collapsed="false">
      <c r="A428" s="50"/>
      <c r="B428" s="50"/>
      <c r="C428" s="5"/>
      <c r="D428" s="48"/>
      <c r="E428" s="50"/>
      <c r="F428" s="5"/>
      <c r="G428" s="5"/>
      <c r="H428" s="5"/>
      <c r="I428" s="5"/>
      <c r="J428" s="5"/>
      <c r="K428" s="50"/>
      <c r="L428" s="50"/>
      <c r="M428" s="50"/>
      <c r="N428" s="50"/>
      <c r="O428" s="50"/>
      <c r="P428" s="50"/>
      <c r="Q428" s="50"/>
      <c r="R428" s="50"/>
      <c r="S428" s="50"/>
      <c r="T428" s="50"/>
      <c r="U428" s="50"/>
      <c r="V428" s="50"/>
      <c r="W428" s="50"/>
      <c r="X428" s="50"/>
      <c r="Y428" s="50"/>
      <c r="Z428" s="50"/>
      <c r="AA428" s="50"/>
      <c r="AB428" s="50"/>
    </row>
    <row r="429" customFormat="false" ht="15.75" hidden="false" customHeight="false" outlineLevel="0" collapsed="false">
      <c r="A429" s="50"/>
      <c r="B429" s="50"/>
      <c r="C429" s="5"/>
      <c r="D429" s="48"/>
      <c r="E429" s="50"/>
      <c r="F429" s="5"/>
      <c r="G429" s="5"/>
      <c r="H429" s="5"/>
      <c r="I429" s="5"/>
      <c r="J429" s="5"/>
      <c r="K429" s="50"/>
      <c r="L429" s="50"/>
      <c r="M429" s="50"/>
      <c r="N429" s="50"/>
      <c r="O429" s="50"/>
      <c r="P429" s="50"/>
      <c r="Q429" s="50"/>
      <c r="R429" s="50"/>
      <c r="S429" s="50"/>
      <c r="T429" s="50"/>
      <c r="U429" s="50"/>
      <c r="V429" s="50"/>
      <c r="W429" s="50"/>
      <c r="X429" s="50"/>
      <c r="Y429" s="50"/>
      <c r="Z429" s="50"/>
      <c r="AA429" s="50"/>
      <c r="AB429" s="50"/>
    </row>
    <row r="430" customFormat="false" ht="15.75" hidden="false" customHeight="false" outlineLevel="0" collapsed="false">
      <c r="A430" s="50"/>
      <c r="B430" s="50"/>
      <c r="C430" s="5"/>
      <c r="D430" s="48"/>
      <c r="E430" s="50"/>
      <c r="F430" s="5"/>
      <c r="G430" s="5"/>
      <c r="H430" s="5"/>
      <c r="I430" s="5"/>
      <c r="J430" s="5"/>
      <c r="K430" s="50"/>
      <c r="L430" s="50"/>
      <c r="M430" s="50"/>
      <c r="N430" s="50"/>
      <c r="O430" s="50"/>
      <c r="P430" s="50"/>
      <c r="Q430" s="50"/>
      <c r="R430" s="50"/>
      <c r="S430" s="50"/>
      <c r="T430" s="50"/>
      <c r="U430" s="50"/>
      <c r="V430" s="50"/>
      <c r="W430" s="50"/>
      <c r="X430" s="50"/>
      <c r="Y430" s="50"/>
      <c r="Z430" s="50"/>
      <c r="AA430" s="50"/>
      <c r="AB430" s="50"/>
    </row>
    <row r="431" customFormat="false" ht="15.75" hidden="false" customHeight="false" outlineLevel="0" collapsed="false">
      <c r="A431" s="50"/>
      <c r="B431" s="50"/>
      <c r="C431" s="5"/>
      <c r="D431" s="48"/>
      <c r="E431" s="50"/>
      <c r="F431" s="5"/>
      <c r="G431" s="5"/>
      <c r="H431" s="5"/>
      <c r="I431" s="5"/>
      <c r="J431" s="5"/>
      <c r="K431" s="50"/>
      <c r="L431" s="50"/>
      <c r="M431" s="50"/>
      <c r="N431" s="50"/>
      <c r="O431" s="50"/>
      <c r="P431" s="50"/>
      <c r="Q431" s="50"/>
      <c r="R431" s="50"/>
      <c r="S431" s="50"/>
      <c r="T431" s="50"/>
      <c r="U431" s="50"/>
      <c r="V431" s="50"/>
      <c r="W431" s="50"/>
      <c r="X431" s="50"/>
      <c r="Y431" s="50"/>
      <c r="Z431" s="50"/>
      <c r="AA431" s="50"/>
      <c r="AB431" s="50"/>
    </row>
    <row r="432" customFormat="false" ht="15.75" hidden="false" customHeight="false" outlineLevel="0" collapsed="false">
      <c r="A432" s="50"/>
      <c r="B432" s="50"/>
      <c r="C432" s="5"/>
      <c r="D432" s="48"/>
      <c r="E432" s="50"/>
      <c r="F432" s="5"/>
      <c r="G432" s="5"/>
      <c r="H432" s="5"/>
      <c r="I432" s="5"/>
      <c r="J432" s="5"/>
      <c r="K432" s="50"/>
      <c r="L432" s="50"/>
      <c r="M432" s="50"/>
      <c r="N432" s="50"/>
      <c r="O432" s="50"/>
      <c r="P432" s="50"/>
      <c r="Q432" s="50"/>
      <c r="R432" s="50"/>
      <c r="S432" s="50"/>
      <c r="T432" s="50"/>
      <c r="U432" s="50"/>
      <c r="V432" s="50"/>
      <c r="W432" s="50"/>
      <c r="X432" s="50"/>
      <c r="Y432" s="50"/>
      <c r="Z432" s="50"/>
      <c r="AA432" s="50"/>
      <c r="AB432" s="50"/>
    </row>
    <row r="433" customFormat="false" ht="15.75" hidden="false" customHeight="false" outlineLevel="0" collapsed="false">
      <c r="A433" s="50"/>
      <c r="B433" s="50"/>
      <c r="C433" s="5"/>
      <c r="D433" s="48"/>
      <c r="E433" s="50"/>
      <c r="F433" s="5"/>
      <c r="G433" s="5"/>
      <c r="H433" s="5"/>
      <c r="I433" s="5"/>
      <c r="J433" s="5"/>
      <c r="K433" s="50"/>
      <c r="L433" s="50"/>
      <c r="M433" s="50"/>
      <c r="N433" s="50"/>
      <c r="O433" s="50"/>
      <c r="P433" s="50"/>
      <c r="Q433" s="50"/>
      <c r="R433" s="50"/>
      <c r="S433" s="50"/>
      <c r="T433" s="50"/>
      <c r="U433" s="50"/>
      <c r="V433" s="50"/>
      <c r="W433" s="50"/>
      <c r="X433" s="50"/>
      <c r="Y433" s="50"/>
      <c r="Z433" s="50"/>
      <c r="AA433" s="50"/>
      <c r="AB433" s="50"/>
    </row>
    <row r="434" customFormat="false" ht="15.75" hidden="false" customHeight="false" outlineLevel="0" collapsed="false">
      <c r="A434" s="50"/>
      <c r="B434" s="50"/>
      <c r="C434" s="5"/>
      <c r="D434" s="48"/>
      <c r="E434" s="50"/>
      <c r="F434" s="5"/>
      <c r="G434" s="5"/>
      <c r="H434" s="5"/>
      <c r="I434" s="5"/>
      <c r="J434" s="5"/>
      <c r="K434" s="50"/>
      <c r="L434" s="50"/>
      <c r="M434" s="50"/>
      <c r="N434" s="50"/>
      <c r="O434" s="50"/>
      <c r="P434" s="50"/>
      <c r="Q434" s="50"/>
      <c r="R434" s="50"/>
      <c r="S434" s="50"/>
      <c r="T434" s="50"/>
      <c r="U434" s="50"/>
      <c r="V434" s="50"/>
      <c r="W434" s="50"/>
      <c r="X434" s="50"/>
      <c r="Y434" s="50"/>
      <c r="Z434" s="50"/>
      <c r="AA434" s="50"/>
      <c r="AB434" s="50"/>
    </row>
    <row r="435" customFormat="false" ht="15.75" hidden="false" customHeight="false" outlineLevel="0" collapsed="false">
      <c r="A435" s="50"/>
      <c r="B435" s="50"/>
      <c r="C435" s="5"/>
      <c r="D435" s="48"/>
      <c r="E435" s="50"/>
      <c r="F435" s="5"/>
      <c r="G435" s="5"/>
      <c r="H435" s="5"/>
      <c r="I435" s="5"/>
      <c r="J435" s="5"/>
      <c r="K435" s="50"/>
      <c r="L435" s="50"/>
      <c r="M435" s="50"/>
      <c r="N435" s="50"/>
      <c r="O435" s="50"/>
      <c r="P435" s="50"/>
      <c r="Q435" s="50"/>
      <c r="R435" s="50"/>
      <c r="S435" s="50"/>
      <c r="T435" s="50"/>
      <c r="U435" s="50"/>
      <c r="V435" s="50"/>
      <c r="W435" s="50"/>
      <c r="X435" s="50"/>
      <c r="Y435" s="50"/>
      <c r="Z435" s="50"/>
      <c r="AA435" s="50"/>
      <c r="AB435" s="50"/>
    </row>
    <row r="436" customFormat="false" ht="15.75" hidden="false" customHeight="false" outlineLevel="0" collapsed="false">
      <c r="A436" s="50"/>
      <c r="B436" s="50"/>
      <c r="C436" s="5"/>
      <c r="D436" s="48"/>
      <c r="E436" s="50"/>
      <c r="F436" s="5"/>
      <c r="G436" s="5"/>
      <c r="H436" s="5"/>
      <c r="I436" s="5"/>
      <c r="J436" s="5"/>
      <c r="K436" s="50"/>
      <c r="L436" s="50"/>
      <c r="M436" s="50"/>
      <c r="N436" s="50"/>
      <c r="O436" s="50"/>
      <c r="P436" s="50"/>
      <c r="Q436" s="50"/>
      <c r="R436" s="50"/>
      <c r="S436" s="50"/>
      <c r="T436" s="50"/>
      <c r="U436" s="50"/>
      <c r="V436" s="50"/>
      <c r="W436" s="50"/>
      <c r="X436" s="50"/>
      <c r="Y436" s="50"/>
      <c r="Z436" s="50"/>
      <c r="AA436" s="50"/>
      <c r="AB436" s="50"/>
    </row>
    <row r="437" customFormat="false" ht="15.75" hidden="false" customHeight="false" outlineLevel="0" collapsed="false">
      <c r="A437" s="50"/>
      <c r="B437" s="50"/>
      <c r="C437" s="5"/>
      <c r="D437" s="48"/>
      <c r="E437" s="50"/>
      <c r="F437" s="5"/>
      <c r="G437" s="5"/>
      <c r="H437" s="5"/>
      <c r="I437" s="5"/>
      <c r="J437" s="5"/>
      <c r="K437" s="50"/>
      <c r="L437" s="50"/>
      <c r="M437" s="50"/>
      <c r="N437" s="50"/>
      <c r="O437" s="50"/>
      <c r="P437" s="50"/>
      <c r="Q437" s="50"/>
      <c r="R437" s="50"/>
      <c r="S437" s="50"/>
      <c r="T437" s="50"/>
      <c r="U437" s="50"/>
      <c r="V437" s="50"/>
      <c r="W437" s="50"/>
      <c r="X437" s="50"/>
      <c r="Y437" s="50"/>
      <c r="Z437" s="50"/>
      <c r="AA437" s="50"/>
      <c r="AB437" s="50"/>
    </row>
    <row r="438" customFormat="false" ht="15.75" hidden="false" customHeight="false" outlineLevel="0" collapsed="false">
      <c r="A438" s="50"/>
      <c r="B438" s="50"/>
      <c r="C438" s="5"/>
      <c r="D438" s="48"/>
      <c r="E438" s="50"/>
      <c r="F438" s="5"/>
      <c r="G438" s="5"/>
      <c r="H438" s="5"/>
      <c r="I438" s="5"/>
      <c r="J438" s="5"/>
      <c r="K438" s="50"/>
      <c r="L438" s="50"/>
      <c r="M438" s="50"/>
      <c r="N438" s="50"/>
      <c r="O438" s="50"/>
      <c r="P438" s="50"/>
      <c r="Q438" s="50"/>
      <c r="R438" s="50"/>
      <c r="S438" s="50"/>
      <c r="T438" s="50"/>
      <c r="U438" s="50"/>
      <c r="V438" s="50"/>
      <c r="W438" s="50"/>
      <c r="X438" s="50"/>
      <c r="Y438" s="50"/>
      <c r="Z438" s="50"/>
      <c r="AA438" s="50"/>
      <c r="AB438" s="50"/>
    </row>
    <row r="439" customFormat="false" ht="15.75" hidden="false" customHeight="false" outlineLevel="0" collapsed="false">
      <c r="A439" s="50"/>
      <c r="B439" s="50"/>
      <c r="C439" s="5"/>
      <c r="D439" s="48"/>
      <c r="E439" s="50"/>
      <c r="F439" s="5"/>
      <c r="G439" s="5"/>
      <c r="H439" s="5"/>
      <c r="I439" s="5"/>
      <c r="J439" s="5"/>
      <c r="K439" s="50"/>
      <c r="L439" s="50"/>
      <c r="M439" s="50"/>
      <c r="N439" s="50"/>
      <c r="O439" s="50"/>
      <c r="P439" s="50"/>
      <c r="Q439" s="50"/>
      <c r="R439" s="50"/>
      <c r="S439" s="50"/>
      <c r="T439" s="50"/>
      <c r="U439" s="50"/>
      <c r="V439" s="50"/>
      <c r="W439" s="50"/>
      <c r="X439" s="50"/>
      <c r="Y439" s="50"/>
      <c r="Z439" s="50"/>
      <c r="AA439" s="50"/>
      <c r="AB439" s="50"/>
    </row>
    <row r="440" customFormat="false" ht="15.75" hidden="false" customHeight="false" outlineLevel="0" collapsed="false">
      <c r="A440" s="50"/>
      <c r="B440" s="50"/>
      <c r="C440" s="5"/>
      <c r="D440" s="48"/>
      <c r="E440" s="50"/>
      <c r="F440" s="5"/>
      <c r="G440" s="5"/>
      <c r="H440" s="5"/>
      <c r="I440" s="5"/>
      <c r="J440" s="5"/>
      <c r="K440" s="50"/>
      <c r="L440" s="50"/>
      <c r="M440" s="50"/>
      <c r="N440" s="50"/>
      <c r="O440" s="50"/>
      <c r="P440" s="50"/>
      <c r="Q440" s="50"/>
      <c r="R440" s="50"/>
      <c r="S440" s="50"/>
      <c r="T440" s="50"/>
      <c r="U440" s="50"/>
      <c r="V440" s="50"/>
      <c r="W440" s="50"/>
      <c r="X440" s="50"/>
      <c r="Y440" s="50"/>
      <c r="Z440" s="50"/>
      <c r="AA440" s="50"/>
      <c r="AB440" s="50"/>
    </row>
    <row r="441" customFormat="false" ht="15.75" hidden="false" customHeight="false" outlineLevel="0" collapsed="false">
      <c r="A441" s="50"/>
      <c r="B441" s="50"/>
      <c r="C441" s="5"/>
      <c r="D441" s="48"/>
      <c r="E441" s="50"/>
      <c r="F441" s="5"/>
      <c r="G441" s="5"/>
      <c r="H441" s="5"/>
      <c r="I441" s="5"/>
      <c r="J441" s="5"/>
      <c r="K441" s="50"/>
      <c r="L441" s="50"/>
      <c r="M441" s="50"/>
      <c r="N441" s="50"/>
      <c r="O441" s="50"/>
      <c r="P441" s="50"/>
      <c r="Q441" s="50"/>
      <c r="R441" s="50"/>
      <c r="S441" s="50"/>
      <c r="T441" s="50"/>
      <c r="U441" s="50"/>
      <c r="V441" s="50"/>
      <c r="W441" s="50"/>
      <c r="X441" s="50"/>
      <c r="Y441" s="50"/>
      <c r="Z441" s="50"/>
      <c r="AA441" s="50"/>
      <c r="AB441" s="50"/>
    </row>
    <row r="442" customFormat="false" ht="15.75" hidden="false" customHeight="false" outlineLevel="0" collapsed="false">
      <c r="A442" s="50"/>
      <c r="B442" s="50"/>
      <c r="C442" s="5"/>
      <c r="D442" s="48"/>
      <c r="E442" s="50"/>
      <c r="F442" s="5"/>
      <c r="G442" s="5"/>
      <c r="H442" s="5"/>
      <c r="I442" s="5"/>
      <c r="J442" s="5"/>
      <c r="K442" s="50"/>
      <c r="L442" s="50"/>
      <c r="M442" s="50"/>
      <c r="N442" s="50"/>
      <c r="O442" s="50"/>
      <c r="P442" s="50"/>
      <c r="Q442" s="50"/>
      <c r="R442" s="50"/>
      <c r="S442" s="50"/>
      <c r="T442" s="50"/>
      <c r="U442" s="50"/>
      <c r="V442" s="50"/>
      <c r="W442" s="50"/>
      <c r="X442" s="50"/>
      <c r="Y442" s="50"/>
      <c r="Z442" s="50"/>
      <c r="AA442" s="50"/>
      <c r="AB442" s="50"/>
    </row>
    <row r="443" customFormat="false" ht="15.75" hidden="false" customHeight="false" outlineLevel="0" collapsed="false">
      <c r="A443" s="50"/>
      <c r="B443" s="50"/>
      <c r="C443" s="5"/>
      <c r="D443" s="48"/>
      <c r="E443" s="50"/>
      <c r="F443" s="5"/>
      <c r="G443" s="5"/>
      <c r="H443" s="5"/>
      <c r="I443" s="5"/>
      <c r="J443" s="5"/>
      <c r="K443" s="50"/>
      <c r="L443" s="50"/>
      <c r="M443" s="50"/>
      <c r="N443" s="50"/>
      <c r="O443" s="50"/>
      <c r="P443" s="50"/>
      <c r="Q443" s="50"/>
      <c r="R443" s="50"/>
      <c r="S443" s="50"/>
      <c r="T443" s="50"/>
      <c r="U443" s="50"/>
      <c r="V443" s="50"/>
      <c r="W443" s="50"/>
      <c r="X443" s="50"/>
      <c r="Y443" s="50"/>
      <c r="Z443" s="50"/>
      <c r="AA443" s="50"/>
      <c r="AB443" s="50"/>
    </row>
    <row r="444" customFormat="false" ht="15.75" hidden="false" customHeight="false" outlineLevel="0" collapsed="false">
      <c r="A444" s="50"/>
      <c r="B444" s="50"/>
      <c r="C444" s="5"/>
      <c r="D444" s="48"/>
      <c r="E444" s="50"/>
      <c r="F444" s="5"/>
      <c r="G444" s="5"/>
      <c r="H444" s="5"/>
      <c r="I444" s="5"/>
      <c r="J444" s="5"/>
      <c r="K444" s="50"/>
      <c r="L444" s="50"/>
      <c r="M444" s="50"/>
      <c r="N444" s="50"/>
      <c r="O444" s="50"/>
      <c r="P444" s="50"/>
      <c r="Q444" s="50"/>
      <c r="R444" s="50"/>
      <c r="S444" s="50"/>
      <c r="T444" s="50"/>
      <c r="U444" s="50"/>
      <c r="V444" s="50"/>
      <c r="W444" s="50"/>
      <c r="X444" s="50"/>
      <c r="Y444" s="50"/>
      <c r="Z444" s="50"/>
      <c r="AA444" s="50"/>
      <c r="AB444" s="50"/>
    </row>
    <row r="445" customFormat="false" ht="15.75" hidden="false" customHeight="false" outlineLevel="0" collapsed="false">
      <c r="A445" s="50"/>
      <c r="B445" s="50"/>
      <c r="C445" s="5"/>
      <c r="D445" s="48"/>
      <c r="E445" s="50"/>
      <c r="F445" s="5"/>
      <c r="G445" s="5"/>
      <c r="H445" s="5"/>
      <c r="I445" s="5"/>
      <c r="J445" s="5"/>
      <c r="K445" s="50"/>
      <c r="L445" s="50"/>
      <c r="M445" s="50"/>
      <c r="N445" s="50"/>
      <c r="O445" s="50"/>
      <c r="P445" s="50"/>
      <c r="Q445" s="50"/>
      <c r="R445" s="50"/>
      <c r="S445" s="50"/>
      <c r="T445" s="50"/>
      <c r="U445" s="50"/>
      <c r="V445" s="50"/>
      <c r="W445" s="50"/>
      <c r="X445" s="50"/>
      <c r="Y445" s="50"/>
      <c r="Z445" s="50"/>
      <c r="AA445" s="50"/>
      <c r="AB445" s="50"/>
    </row>
    <row r="446" customFormat="false" ht="15.75" hidden="false" customHeight="false" outlineLevel="0" collapsed="false">
      <c r="A446" s="50"/>
      <c r="B446" s="50"/>
      <c r="C446" s="5"/>
      <c r="D446" s="48"/>
      <c r="E446" s="50"/>
      <c r="F446" s="5"/>
      <c r="G446" s="5"/>
      <c r="H446" s="5"/>
      <c r="I446" s="5"/>
      <c r="J446" s="5"/>
      <c r="K446" s="50"/>
      <c r="L446" s="50"/>
      <c r="M446" s="50"/>
      <c r="N446" s="50"/>
      <c r="O446" s="50"/>
      <c r="P446" s="50"/>
      <c r="Q446" s="50"/>
      <c r="R446" s="50"/>
      <c r="S446" s="50"/>
      <c r="T446" s="50"/>
      <c r="U446" s="50"/>
      <c r="V446" s="50"/>
      <c r="W446" s="50"/>
      <c r="X446" s="50"/>
      <c r="Y446" s="50"/>
      <c r="Z446" s="50"/>
      <c r="AA446" s="50"/>
      <c r="AB446" s="50"/>
    </row>
    <row r="447" customFormat="false" ht="15.75" hidden="false" customHeight="false" outlineLevel="0" collapsed="false">
      <c r="A447" s="50"/>
      <c r="B447" s="50"/>
      <c r="C447" s="5"/>
      <c r="D447" s="48"/>
      <c r="E447" s="50"/>
      <c r="F447" s="5"/>
      <c r="G447" s="5"/>
      <c r="H447" s="5"/>
      <c r="I447" s="5"/>
      <c r="J447" s="5"/>
      <c r="K447" s="50"/>
      <c r="L447" s="50"/>
      <c r="M447" s="50"/>
      <c r="N447" s="50"/>
      <c r="O447" s="50"/>
      <c r="P447" s="50"/>
      <c r="Q447" s="50"/>
      <c r="R447" s="50"/>
      <c r="S447" s="50"/>
      <c r="T447" s="50"/>
      <c r="U447" s="50"/>
      <c r="V447" s="50"/>
      <c r="W447" s="50"/>
      <c r="X447" s="50"/>
      <c r="Y447" s="50"/>
      <c r="Z447" s="50"/>
      <c r="AA447" s="50"/>
      <c r="AB447" s="50"/>
    </row>
    <row r="448" customFormat="false" ht="15.75" hidden="false" customHeight="false" outlineLevel="0" collapsed="false">
      <c r="A448" s="50"/>
      <c r="B448" s="50"/>
      <c r="C448" s="5"/>
      <c r="D448" s="48"/>
      <c r="E448" s="50"/>
      <c r="F448" s="5"/>
      <c r="G448" s="5"/>
      <c r="H448" s="5"/>
      <c r="I448" s="5"/>
      <c r="J448" s="5"/>
      <c r="K448" s="50"/>
      <c r="L448" s="50"/>
      <c r="M448" s="50"/>
      <c r="N448" s="50"/>
      <c r="O448" s="50"/>
      <c r="P448" s="50"/>
      <c r="Q448" s="50"/>
      <c r="R448" s="50"/>
      <c r="S448" s="50"/>
      <c r="T448" s="50"/>
      <c r="U448" s="50"/>
      <c r="V448" s="50"/>
      <c r="W448" s="50"/>
      <c r="X448" s="50"/>
      <c r="Y448" s="50"/>
      <c r="Z448" s="50"/>
      <c r="AA448" s="50"/>
      <c r="AB448" s="50"/>
    </row>
    <row r="449" customFormat="false" ht="15.75" hidden="false" customHeight="false" outlineLevel="0" collapsed="false">
      <c r="A449" s="50"/>
      <c r="B449" s="50"/>
      <c r="C449" s="5"/>
      <c r="D449" s="48"/>
      <c r="E449" s="50"/>
      <c r="F449" s="5"/>
      <c r="G449" s="5"/>
      <c r="H449" s="5"/>
      <c r="I449" s="5"/>
      <c r="J449" s="5"/>
      <c r="K449" s="50"/>
      <c r="L449" s="50"/>
      <c r="M449" s="50"/>
      <c r="N449" s="50"/>
      <c r="O449" s="50"/>
      <c r="P449" s="50"/>
      <c r="Q449" s="50"/>
      <c r="R449" s="50"/>
      <c r="S449" s="50"/>
      <c r="T449" s="50"/>
      <c r="U449" s="50"/>
      <c r="V449" s="50"/>
      <c r="W449" s="50"/>
      <c r="X449" s="50"/>
      <c r="Y449" s="50"/>
      <c r="Z449" s="50"/>
      <c r="AA449" s="50"/>
      <c r="AB449" s="50"/>
    </row>
    <row r="450" customFormat="false" ht="15.75" hidden="false" customHeight="false" outlineLevel="0" collapsed="false">
      <c r="A450" s="50"/>
      <c r="B450" s="50"/>
      <c r="C450" s="5"/>
      <c r="D450" s="48"/>
      <c r="E450" s="50"/>
      <c r="F450" s="5"/>
      <c r="G450" s="5"/>
      <c r="H450" s="5"/>
      <c r="I450" s="5"/>
      <c r="J450" s="5"/>
      <c r="K450" s="50"/>
      <c r="L450" s="50"/>
      <c r="M450" s="50"/>
      <c r="N450" s="50"/>
      <c r="O450" s="50"/>
      <c r="P450" s="50"/>
      <c r="Q450" s="50"/>
      <c r="R450" s="50"/>
      <c r="S450" s="50"/>
      <c r="T450" s="50"/>
      <c r="U450" s="50"/>
      <c r="V450" s="50"/>
      <c r="W450" s="50"/>
      <c r="X450" s="50"/>
      <c r="Y450" s="50"/>
      <c r="Z450" s="50"/>
      <c r="AA450" s="50"/>
      <c r="AB450" s="50"/>
    </row>
    <row r="451" customFormat="false" ht="15.75" hidden="false" customHeight="false" outlineLevel="0" collapsed="false">
      <c r="A451" s="50"/>
      <c r="B451" s="50"/>
      <c r="C451" s="5"/>
      <c r="D451" s="48"/>
      <c r="E451" s="50"/>
      <c r="F451" s="5"/>
      <c r="G451" s="5"/>
      <c r="H451" s="5"/>
      <c r="I451" s="5"/>
      <c r="J451" s="5"/>
      <c r="K451" s="50"/>
      <c r="L451" s="50"/>
      <c r="M451" s="50"/>
      <c r="N451" s="50"/>
      <c r="O451" s="50"/>
      <c r="P451" s="50"/>
      <c r="Q451" s="50"/>
      <c r="R451" s="50"/>
      <c r="S451" s="50"/>
      <c r="T451" s="50"/>
      <c r="U451" s="50"/>
      <c r="V451" s="50"/>
      <c r="W451" s="50"/>
      <c r="X451" s="50"/>
      <c r="Y451" s="50"/>
      <c r="Z451" s="50"/>
      <c r="AA451" s="50"/>
      <c r="AB451" s="50"/>
    </row>
    <row r="452" customFormat="false" ht="15.75" hidden="false" customHeight="false" outlineLevel="0" collapsed="false">
      <c r="A452" s="50"/>
      <c r="B452" s="50"/>
      <c r="C452" s="5"/>
      <c r="D452" s="48"/>
      <c r="E452" s="50"/>
      <c r="F452" s="5"/>
      <c r="G452" s="5"/>
      <c r="H452" s="5"/>
      <c r="I452" s="5"/>
      <c r="J452" s="5"/>
      <c r="K452" s="50"/>
      <c r="L452" s="50"/>
      <c r="M452" s="50"/>
      <c r="N452" s="50"/>
      <c r="O452" s="50"/>
      <c r="P452" s="50"/>
      <c r="Q452" s="50"/>
      <c r="R452" s="50"/>
      <c r="S452" s="50"/>
      <c r="T452" s="50"/>
      <c r="U452" s="50"/>
      <c r="V452" s="50"/>
      <c r="W452" s="50"/>
      <c r="X452" s="50"/>
      <c r="Y452" s="50"/>
      <c r="Z452" s="50"/>
      <c r="AA452" s="50"/>
      <c r="AB452" s="50"/>
    </row>
    <row r="453" customFormat="false" ht="15.75" hidden="false" customHeight="false" outlineLevel="0" collapsed="false">
      <c r="A453" s="50"/>
      <c r="B453" s="50"/>
      <c r="C453" s="5"/>
      <c r="D453" s="48"/>
      <c r="E453" s="50"/>
      <c r="F453" s="5"/>
      <c r="G453" s="5"/>
      <c r="H453" s="5"/>
      <c r="I453" s="5"/>
      <c r="J453" s="5"/>
      <c r="K453" s="50"/>
      <c r="L453" s="50"/>
      <c r="M453" s="50"/>
      <c r="N453" s="50"/>
      <c r="O453" s="50"/>
      <c r="P453" s="50"/>
      <c r="Q453" s="50"/>
      <c r="R453" s="50"/>
      <c r="S453" s="50"/>
      <c r="T453" s="50"/>
      <c r="U453" s="50"/>
      <c r="V453" s="50"/>
      <c r="W453" s="50"/>
      <c r="X453" s="50"/>
      <c r="Y453" s="50"/>
      <c r="Z453" s="50"/>
      <c r="AA453" s="50"/>
      <c r="AB453" s="50"/>
    </row>
    <row r="454" customFormat="false" ht="15.75" hidden="false" customHeight="false" outlineLevel="0" collapsed="false">
      <c r="A454" s="50"/>
      <c r="B454" s="50"/>
      <c r="C454" s="5"/>
      <c r="D454" s="48"/>
      <c r="E454" s="50"/>
      <c r="F454" s="5"/>
      <c r="G454" s="5"/>
      <c r="H454" s="5"/>
      <c r="I454" s="5"/>
      <c r="J454" s="5"/>
      <c r="K454" s="50"/>
      <c r="L454" s="50"/>
      <c r="M454" s="50"/>
      <c r="N454" s="50"/>
      <c r="O454" s="50"/>
      <c r="P454" s="50"/>
      <c r="Q454" s="50"/>
      <c r="R454" s="50"/>
      <c r="S454" s="50"/>
      <c r="T454" s="50"/>
      <c r="U454" s="50"/>
      <c r="V454" s="50"/>
      <c r="W454" s="50"/>
      <c r="X454" s="50"/>
      <c r="Y454" s="50"/>
      <c r="Z454" s="50"/>
      <c r="AA454" s="50"/>
      <c r="AB454" s="50"/>
    </row>
    <row r="455" customFormat="false" ht="15.75" hidden="false" customHeight="false" outlineLevel="0" collapsed="false">
      <c r="A455" s="50"/>
      <c r="B455" s="50"/>
      <c r="C455" s="5"/>
      <c r="D455" s="48"/>
      <c r="E455" s="50"/>
      <c r="F455" s="5"/>
      <c r="G455" s="5"/>
      <c r="H455" s="5"/>
      <c r="I455" s="5"/>
      <c r="J455" s="5"/>
      <c r="K455" s="50"/>
      <c r="L455" s="50"/>
      <c r="M455" s="50"/>
      <c r="N455" s="50"/>
      <c r="O455" s="50"/>
      <c r="P455" s="50"/>
      <c r="Q455" s="50"/>
      <c r="R455" s="50"/>
      <c r="S455" s="50"/>
      <c r="T455" s="50"/>
      <c r="U455" s="50"/>
      <c r="V455" s="50"/>
      <c r="W455" s="50"/>
      <c r="X455" s="50"/>
      <c r="Y455" s="50"/>
      <c r="Z455" s="50"/>
      <c r="AA455" s="50"/>
      <c r="AB455" s="50"/>
    </row>
    <row r="456" customFormat="false" ht="15.75" hidden="false" customHeight="false" outlineLevel="0" collapsed="false">
      <c r="A456" s="50"/>
      <c r="B456" s="50"/>
      <c r="C456" s="5"/>
      <c r="D456" s="48"/>
      <c r="E456" s="50"/>
      <c r="F456" s="5"/>
      <c r="G456" s="5"/>
      <c r="H456" s="5"/>
      <c r="I456" s="5"/>
      <c r="J456" s="5"/>
      <c r="K456" s="50"/>
      <c r="L456" s="50"/>
      <c r="M456" s="50"/>
      <c r="N456" s="50"/>
      <c r="O456" s="50"/>
      <c r="P456" s="50"/>
      <c r="Q456" s="50"/>
      <c r="R456" s="50"/>
      <c r="S456" s="50"/>
      <c r="T456" s="50"/>
      <c r="U456" s="50"/>
      <c r="V456" s="50"/>
      <c r="W456" s="50"/>
      <c r="X456" s="50"/>
      <c r="Y456" s="50"/>
      <c r="Z456" s="50"/>
      <c r="AA456" s="50"/>
      <c r="AB456" s="50"/>
    </row>
    <row r="457" customFormat="false" ht="15.75" hidden="false" customHeight="false" outlineLevel="0" collapsed="false">
      <c r="A457" s="50"/>
      <c r="B457" s="50"/>
      <c r="C457" s="5"/>
      <c r="D457" s="48"/>
      <c r="E457" s="50"/>
      <c r="F457" s="5"/>
      <c r="G457" s="5"/>
      <c r="H457" s="5"/>
      <c r="I457" s="5"/>
      <c r="J457" s="5"/>
      <c r="K457" s="50"/>
      <c r="L457" s="50"/>
      <c r="M457" s="50"/>
      <c r="N457" s="50"/>
      <c r="O457" s="50"/>
      <c r="P457" s="50"/>
      <c r="Q457" s="50"/>
      <c r="R457" s="50"/>
      <c r="S457" s="50"/>
      <c r="T457" s="50"/>
      <c r="U457" s="50"/>
      <c r="V457" s="50"/>
      <c r="W457" s="50"/>
      <c r="X457" s="50"/>
      <c r="Y457" s="50"/>
      <c r="Z457" s="50"/>
      <c r="AA457" s="50"/>
      <c r="AB457" s="50"/>
    </row>
    <row r="458" customFormat="false" ht="15.75" hidden="false" customHeight="false" outlineLevel="0" collapsed="false">
      <c r="A458" s="50"/>
      <c r="B458" s="50"/>
      <c r="C458" s="5"/>
      <c r="D458" s="48"/>
      <c r="E458" s="50"/>
      <c r="F458" s="5"/>
      <c r="G458" s="5"/>
      <c r="H458" s="5"/>
      <c r="I458" s="5"/>
      <c r="J458" s="5"/>
      <c r="K458" s="50"/>
      <c r="L458" s="50"/>
      <c r="M458" s="50"/>
      <c r="N458" s="50"/>
      <c r="O458" s="50"/>
      <c r="P458" s="50"/>
      <c r="Q458" s="50"/>
      <c r="R458" s="50"/>
      <c r="S458" s="50"/>
      <c r="T458" s="50"/>
      <c r="U458" s="50"/>
      <c r="V458" s="50"/>
      <c r="W458" s="50"/>
      <c r="X458" s="50"/>
      <c r="Y458" s="50"/>
      <c r="Z458" s="50"/>
      <c r="AA458" s="50"/>
      <c r="AB458" s="50"/>
    </row>
    <row r="459" customFormat="false" ht="15.75" hidden="false" customHeight="false" outlineLevel="0" collapsed="false">
      <c r="A459" s="50"/>
      <c r="B459" s="50"/>
      <c r="C459" s="5"/>
      <c r="D459" s="48"/>
      <c r="E459" s="50"/>
      <c r="F459" s="5"/>
      <c r="G459" s="5"/>
      <c r="H459" s="5"/>
      <c r="I459" s="5"/>
      <c r="J459" s="5"/>
      <c r="K459" s="50"/>
      <c r="L459" s="50"/>
      <c r="M459" s="50"/>
      <c r="N459" s="50"/>
      <c r="O459" s="50"/>
      <c r="P459" s="50"/>
      <c r="Q459" s="50"/>
      <c r="R459" s="50"/>
      <c r="S459" s="50"/>
      <c r="T459" s="50"/>
      <c r="U459" s="50"/>
      <c r="V459" s="50"/>
      <c r="W459" s="50"/>
      <c r="X459" s="50"/>
      <c r="Y459" s="50"/>
      <c r="Z459" s="50"/>
      <c r="AA459" s="50"/>
      <c r="AB459" s="50"/>
    </row>
    <row r="460" customFormat="false" ht="15.75" hidden="false" customHeight="false" outlineLevel="0" collapsed="false">
      <c r="A460" s="50"/>
      <c r="B460" s="50"/>
      <c r="C460" s="5"/>
      <c r="D460" s="48"/>
      <c r="E460" s="50"/>
      <c r="F460" s="5"/>
      <c r="G460" s="5"/>
      <c r="H460" s="5"/>
      <c r="I460" s="5"/>
      <c r="J460" s="5"/>
      <c r="K460" s="50"/>
      <c r="L460" s="50"/>
      <c r="M460" s="50"/>
      <c r="N460" s="50"/>
      <c r="O460" s="50"/>
      <c r="P460" s="50"/>
      <c r="Q460" s="50"/>
      <c r="R460" s="50"/>
      <c r="S460" s="50"/>
      <c r="T460" s="50"/>
      <c r="U460" s="50"/>
      <c r="V460" s="50"/>
      <c r="W460" s="50"/>
      <c r="X460" s="50"/>
      <c r="Y460" s="50"/>
      <c r="Z460" s="50"/>
      <c r="AA460" s="50"/>
      <c r="AB460" s="50"/>
    </row>
    <row r="461" customFormat="false" ht="15.75" hidden="false" customHeight="false" outlineLevel="0" collapsed="false">
      <c r="A461" s="50"/>
      <c r="B461" s="50"/>
      <c r="C461" s="5"/>
      <c r="D461" s="48"/>
      <c r="E461" s="50"/>
      <c r="F461" s="5"/>
      <c r="G461" s="5"/>
      <c r="H461" s="5"/>
      <c r="I461" s="5"/>
      <c r="J461" s="5"/>
      <c r="K461" s="50"/>
      <c r="L461" s="50"/>
      <c r="M461" s="50"/>
      <c r="N461" s="50"/>
      <c r="O461" s="50"/>
      <c r="P461" s="50"/>
      <c r="Q461" s="50"/>
      <c r="R461" s="50"/>
      <c r="S461" s="50"/>
      <c r="T461" s="50"/>
      <c r="U461" s="50"/>
      <c r="V461" s="50"/>
      <c r="W461" s="50"/>
      <c r="X461" s="50"/>
      <c r="Y461" s="50"/>
      <c r="Z461" s="50"/>
      <c r="AA461" s="50"/>
      <c r="AB461" s="50"/>
    </row>
    <row r="462" customFormat="false" ht="15.75" hidden="false" customHeight="false" outlineLevel="0" collapsed="false">
      <c r="A462" s="50"/>
      <c r="B462" s="50"/>
      <c r="C462" s="5"/>
      <c r="D462" s="48"/>
      <c r="E462" s="50"/>
      <c r="F462" s="5"/>
      <c r="G462" s="5"/>
      <c r="H462" s="5"/>
      <c r="I462" s="5"/>
      <c r="J462" s="5"/>
      <c r="K462" s="50"/>
      <c r="L462" s="50"/>
      <c r="M462" s="50"/>
      <c r="N462" s="50"/>
      <c r="O462" s="50"/>
      <c r="P462" s="50"/>
      <c r="Q462" s="50"/>
      <c r="R462" s="50"/>
      <c r="S462" s="50"/>
      <c r="T462" s="50"/>
      <c r="U462" s="50"/>
      <c r="V462" s="50"/>
      <c r="W462" s="50"/>
      <c r="X462" s="50"/>
      <c r="Y462" s="50"/>
      <c r="Z462" s="50"/>
      <c r="AA462" s="50"/>
      <c r="AB462" s="50"/>
    </row>
    <row r="463" customFormat="false" ht="15.75" hidden="false" customHeight="false" outlineLevel="0" collapsed="false">
      <c r="A463" s="50"/>
      <c r="B463" s="50"/>
      <c r="C463" s="5"/>
      <c r="D463" s="48"/>
      <c r="E463" s="50"/>
      <c r="F463" s="5"/>
      <c r="G463" s="5"/>
      <c r="H463" s="5"/>
      <c r="I463" s="5"/>
      <c r="J463" s="5"/>
      <c r="K463" s="50"/>
      <c r="L463" s="50"/>
      <c r="M463" s="50"/>
      <c r="N463" s="50"/>
      <c r="O463" s="50"/>
      <c r="P463" s="50"/>
      <c r="Q463" s="50"/>
      <c r="R463" s="50"/>
      <c r="S463" s="50"/>
      <c r="T463" s="50"/>
      <c r="U463" s="50"/>
      <c r="V463" s="50"/>
      <c r="W463" s="50"/>
      <c r="X463" s="50"/>
      <c r="Y463" s="50"/>
      <c r="Z463" s="50"/>
      <c r="AA463" s="50"/>
      <c r="AB463" s="50"/>
    </row>
    <row r="464" customFormat="false" ht="15.75" hidden="false" customHeight="false" outlineLevel="0" collapsed="false">
      <c r="A464" s="50"/>
      <c r="B464" s="50"/>
      <c r="C464" s="5"/>
      <c r="D464" s="48"/>
      <c r="E464" s="50"/>
      <c r="F464" s="5"/>
      <c r="G464" s="5"/>
      <c r="H464" s="5"/>
      <c r="I464" s="5"/>
      <c r="J464" s="5"/>
      <c r="K464" s="50"/>
      <c r="L464" s="50"/>
      <c r="M464" s="50"/>
      <c r="N464" s="50"/>
      <c r="O464" s="50"/>
      <c r="P464" s="50"/>
      <c r="Q464" s="50"/>
      <c r="R464" s="50"/>
      <c r="S464" s="50"/>
      <c r="T464" s="50"/>
      <c r="U464" s="50"/>
      <c r="V464" s="50"/>
      <c r="W464" s="50"/>
      <c r="X464" s="50"/>
      <c r="Y464" s="50"/>
      <c r="Z464" s="50"/>
      <c r="AA464" s="50"/>
      <c r="AB464" s="50"/>
    </row>
    <row r="465" customFormat="false" ht="15.75" hidden="false" customHeight="false" outlineLevel="0" collapsed="false">
      <c r="A465" s="50"/>
      <c r="B465" s="50"/>
      <c r="C465" s="5"/>
      <c r="D465" s="48"/>
      <c r="E465" s="50"/>
      <c r="F465" s="5"/>
      <c r="G465" s="5"/>
      <c r="H465" s="5"/>
      <c r="I465" s="5"/>
      <c r="J465" s="5"/>
      <c r="K465" s="50"/>
      <c r="L465" s="50"/>
      <c r="M465" s="50"/>
      <c r="N465" s="50"/>
      <c r="O465" s="50"/>
      <c r="P465" s="50"/>
      <c r="Q465" s="50"/>
      <c r="R465" s="50"/>
      <c r="S465" s="50"/>
      <c r="T465" s="50"/>
      <c r="U465" s="50"/>
      <c r="V465" s="50"/>
      <c r="W465" s="50"/>
      <c r="X465" s="50"/>
      <c r="Y465" s="50"/>
      <c r="Z465" s="50"/>
      <c r="AA465" s="50"/>
      <c r="AB465" s="50"/>
    </row>
    <row r="466" customFormat="false" ht="15.75" hidden="false" customHeight="false" outlineLevel="0" collapsed="false">
      <c r="A466" s="50"/>
      <c r="B466" s="50"/>
      <c r="C466" s="5"/>
      <c r="D466" s="48"/>
      <c r="E466" s="50"/>
      <c r="F466" s="5"/>
      <c r="G466" s="5"/>
      <c r="H466" s="5"/>
      <c r="I466" s="5"/>
      <c r="J466" s="5"/>
      <c r="K466" s="50"/>
      <c r="L466" s="50"/>
      <c r="M466" s="50"/>
      <c r="N466" s="50"/>
      <c r="O466" s="50"/>
      <c r="P466" s="50"/>
      <c r="Q466" s="50"/>
      <c r="R466" s="50"/>
      <c r="S466" s="50"/>
      <c r="T466" s="50"/>
      <c r="U466" s="50"/>
      <c r="V466" s="50"/>
      <c r="W466" s="50"/>
      <c r="X466" s="50"/>
      <c r="Y466" s="50"/>
      <c r="Z466" s="50"/>
      <c r="AA466" s="50"/>
      <c r="AB466" s="50"/>
    </row>
    <row r="467" customFormat="false" ht="15.75" hidden="false" customHeight="false" outlineLevel="0" collapsed="false">
      <c r="A467" s="50"/>
      <c r="B467" s="50"/>
      <c r="C467" s="5"/>
      <c r="D467" s="48"/>
      <c r="E467" s="50"/>
      <c r="F467" s="5"/>
      <c r="G467" s="5"/>
      <c r="H467" s="5"/>
      <c r="I467" s="5"/>
      <c r="J467" s="5"/>
      <c r="K467" s="50"/>
      <c r="L467" s="50"/>
      <c r="M467" s="50"/>
      <c r="N467" s="50"/>
      <c r="O467" s="50"/>
      <c r="P467" s="50"/>
      <c r="Q467" s="50"/>
      <c r="R467" s="50"/>
      <c r="S467" s="50"/>
      <c r="T467" s="50"/>
      <c r="U467" s="50"/>
      <c r="V467" s="50"/>
      <c r="W467" s="50"/>
      <c r="X467" s="50"/>
      <c r="Y467" s="50"/>
      <c r="Z467" s="50"/>
      <c r="AA467" s="50"/>
      <c r="AB467" s="50"/>
    </row>
    <row r="468" customFormat="false" ht="15.75" hidden="false" customHeight="false" outlineLevel="0" collapsed="false">
      <c r="A468" s="50"/>
      <c r="B468" s="50"/>
      <c r="C468" s="5"/>
      <c r="D468" s="48"/>
      <c r="E468" s="50"/>
      <c r="F468" s="5"/>
      <c r="G468" s="5"/>
      <c r="H468" s="5"/>
      <c r="I468" s="5"/>
      <c r="J468" s="5"/>
      <c r="K468" s="50"/>
      <c r="L468" s="50"/>
      <c r="M468" s="50"/>
      <c r="N468" s="50"/>
      <c r="O468" s="50"/>
      <c r="P468" s="50"/>
      <c r="Q468" s="50"/>
      <c r="R468" s="50"/>
      <c r="S468" s="50"/>
      <c r="T468" s="50"/>
      <c r="U468" s="50"/>
      <c r="V468" s="50"/>
      <c r="W468" s="50"/>
      <c r="X468" s="50"/>
      <c r="Y468" s="50"/>
      <c r="Z468" s="50"/>
      <c r="AA468" s="50"/>
      <c r="AB468" s="50"/>
    </row>
    <row r="469" customFormat="false" ht="15.75" hidden="false" customHeight="false" outlineLevel="0" collapsed="false">
      <c r="A469" s="50"/>
      <c r="B469" s="50"/>
      <c r="C469" s="5"/>
      <c r="D469" s="48"/>
      <c r="E469" s="50"/>
      <c r="F469" s="5"/>
      <c r="G469" s="5"/>
      <c r="H469" s="5"/>
      <c r="I469" s="5"/>
      <c r="J469" s="5"/>
      <c r="K469" s="50"/>
      <c r="L469" s="50"/>
      <c r="M469" s="50"/>
      <c r="N469" s="50"/>
      <c r="O469" s="50"/>
      <c r="P469" s="50"/>
      <c r="Q469" s="50"/>
      <c r="R469" s="50"/>
      <c r="S469" s="50"/>
      <c r="T469" s="50"/>
      <c r="U469" s="50"/>
      <c r="V469" s="50"/>
      <c r="W469" s="50"/>
      <c r="X469" s="50"/>
      <c r="Y469" s="50"/>
      <c r="Z469" s="50"/>
      <c r="AA469" s="50"/>
      <c r="AB469" s="50"/>
    </row>
    <row r="470" customFormat="false" ht="15.75" hidden="false" customHeight="false" outlineLevel="0" collapsed="false">
      <c r="A470" s="50"/>
      <c r="B470" s="50"/>
      <c r="C470" s="5"/>
      <c r="D470" s="48"/>
      <c r="E470" s="50"/>
      <c r="F470" s="5"/>
      <c r="G470" s="5"/>
      <c r="H470" s="5"/>
      <c r="I470" s="5"/>
      <c r="J470" s="5"/>
      <c r="K470" s="50"/>
      <c r="L470" s="50"/>
      <c r="M470" s="50"/>
      <c r="N470" s="50"/>
      <c r="O470" s="50"/>
      <c r="P470" s="50"/>
      <c r="Q470" s="50"/>
      <c r="R470" s="50"/>
      <c r="S470" s="50"/>
      <c r="T470" s="50"/>
      <c r="U470" s="50"/>
      <c r="V470" s="50"/>
      <c r="W470" s="50"/>
      <c r="X470" s="50"/>
      <c r="Y470" s="50"/>
      <c r="Z470" s="50"/>
      <c r="AA470" s="50"/>
      <c r="AB470" s="50"/>
    </row>
    <row r="471" customFormat="false" ht="15.75" hidden="false" customHeight="false" outlineLevel="0" collapsed="false">
      <c r="A471" s="50"/>
      <c r="B471" s="50"/>
      <c r="C471" s="5"/>
      <c r="D471" s="48"/>
      <c r="E471" s="50"/>
      <c r="F471" s="5"/>
      <c r="G471" s="5"/>
      <c r="H471" s="5"/>
      <c r="I471" s="5"/>
      <c r="J471" s="5"/>
      <c r="K471" s="50"/>
      <c r="L471" s="50"/>
      <c r="M471" s="50"/>
      <c r="N471" s="50"/>
      <c r="O471" s="50"/>
      <c r="P471" s="50"/>
      <c r="Q471" s="50"/>
      <c r="R471" s="50"/>
      <c r="S471" s="50"/>
      <c r="T471" s="50"/>
      <c r="U471" s="50"/>
      <c r="V471" s="50"/>
      <c r="W471" s="50"/>
      <c r="X471" s="50"/>
      <c r="Y471" s="50"/>
      <c r="Z471" s="50"/>
      <c r="AA471" s="50"/>
      <c r="AB471" s="50"/>
    </row>
    <row r="472" customFormat="false" ht="15.75" hidden="false" customHeight="false" outlineLevel="0" collapsed="false">
      <c r="A472" s="50"/>
      <c r="B472" s="50"/>
      <c r="C472" s="5"/>
      <c r="D472" s="48"/>
      <c r="E472" s="50"/>
      <c r="F472" s="5"/>
      <c r="G472" s="5"/>
      <c r="H472" s="5"/>
      <c r="I472" s="5"/>
      <c r="J472" s="5"/>
      <c r="K472" s="50"/>
      <c r="L472" s="50"/>
      <c r="M472" s="50"/>
      <c r="N472" s="50"/>
      <c r="O472" s="50"/>
      <c r="P472" s="50"/>
      <c r="Q472" s="50"/>
      <c r="R472" s="50"/>
      <c r="S472" s="50"/>
      <c r="T472" s="50"/>
      <c r="U472" s="50"/>
      <c r="V472" s="50"/>
      <c r="W472" s="50"/>
      <c r="X472" s="50"/>
      <c r="Y472" s="50"/>
      <c r="Z472" s="50"/>
      <c r="AA472" s="50"/>
      <c r="AB472" s="50"/>
    </row>
    <row r="473" customFormat="false" ht="15.75" hidden="false" customHeight="false" outlineLevel="0" collapsed="false">
      <c r="A473" s="50"/>
      <c r="B473" s="50"/>
      <c r="C473" s="5"/>
      <c r="D473" s="48"/>
      <c r="E473" s="50"/>
      <c r="F473" s="5"/>
      <c r="G473" s="5"/>
      <c r="H473" s="5"/>
      <c r="I473" s="5"/>
      <c r="J473" s="5"/>
      <c r="K473" s="50"/>
      <c r="L473" s="50"/>
      <c r="M473" s="50"/>
      <c r="N473" s="50"/>
      <c r="O473" s="50"/>
      <c r="P473" s="50"/>
      <c r="Q473" s="50"/>
      <c r="R473" s="50"/>
      <c r="S473" s="50"/>
      <c r="T473" s="50"/>
      <c r="U473" s="50"/>
      <c r="V473" s="50"/>
      <c r="W473" s="50"/>
      <c r="X473" s="50"/>
      <c r="Y473" s="50"/>
      <c r="Z473" s="50"/>
      <c r="AA473" s="50"/>
      <c r="AB473" s="50"/>
    </row>
    <row r="474" customFormat="false" ht="15.75" hidden="false" customHeight="false" outlineLevel="0" collapsed="false">
      <c r="A474" s="50"/>
      <c r="B474" s="50"/>
      <c r="C474" s="5"/>
      <c r="D474" s="48"/>
      <c r="E474" s="50"/>
      <c r="F474" s="5"/>
      <c r="G474" s="5"/>
      <c r="H474" s="5"/>
      <c r="I474" s="5"/>
      <c r="J474" s="5"/>
      <c r="K474" s="50"/>
      <c r="L474" s="50"/>
      <c r="M474" s="50"/>
      <c r="N474" s="50"/>
      <c r="O474" s="50"/>
      <c r="P474" s="50"/>
      <c r="Q474" s="50"/>
      <c r="R474" s="50"/>
      <c r="S474" s="50"/>
      <c r="T474" s="50"/>
      <c r="U474" s="50"/>
      <c r="V474" s="50"/>
      <c r="W474" s="50"/>
      <c r="X474" s="50"/>
      <c r="Y474" s="50"/>
      <c r="Z474" s="50"/>
      <c r="AA474" s="50"/>
      <c r="AB474" s="50"/>
    </row>
    <row r="475" customFormat="false" ht="15.75" hidden="false" customHeight="false" outlineLevel="0" collapsed="false">
      <c r="A475" s="50"/>
      <c r="B475" s="50"/>
      <c r="C475" s="5"/>
      <c r="D475" s="48"/>
      <c r="E475" s="50"/>
      <c r="F475" s="5"/>
      <c r="G475" s="5"/>
      <c r="H475" s="5"/>
      <c r="I475" s="5"/>
      <c r="J475" s="5"/>
      <c r="K475" s="50"/>
      <c r="L475" s="50"/>
      <c r="M475" s="50"/>
      <c r="N475" s="50"/>
      <c r="O475" s="50"/>
      <c r="P475" s="50"/>
      <c r="Q475" s="50"/>
      <c r="R475" s="50"/>
      <c r="S475" s="50"/>
      <c r="T475" s="50"/>
      <c r="U475" s="50"/>
      <c r="V475" s="50"/>
      <c r="W475" s="50"/>
      <c r="X475" s="50"/>
      <c r="Y475" s="50"/>
      <c r="Z475" s="50"/>
      <c r="AA475" s="50"/>
      <c r="AB475" s="50"/>
    </row>
    <row r="476" customFormat="false" ht="15.75" hidden="false" customHeight="false" outlineLevel="0" collapsed="false">
      <c r="A476" s="50"/>
      <c r="B476" s="50"/>
      <c r="C476" s="5"/>
      <c r="D476" s="48"/>
      <c r="E476" s="50"/>
      <c r="F476" s="5"/>
      <c r="G476" s="5"/>
      <c r="H476" s="5"/>
      <c r="I476" s="5"/>
      <c r="J476" s="5"/>
      <c r="K476" s="50"/>
      <c r="L476" s="50"/>
      <c r="M476" s="50"/>
      <c r="N476" s="50"/>
      <c r="O476" s="50"/>
      <c r="P476" s="50"/>
      <c r="Q476" s="50"/>
      <c r="R476" s="50"/>
      <c r="S476" s="50"/>
      <c r="T476" s="50"/>
      <c r="U476" s="50"/>
      <c r="V476" s="50"/>
      <c r="W476" s="50"/>
      <c r="X476" s="50"/>
      <c r="Y476" s="50"/>
      <c r="Z476" s="50"/>
      <c r="AA476" s="50"/>
      <c r="AB476" s="50"/>
    </row>
    <row r="477" customFormat="false" ht="15.75" hidden="false" customHeight="false" outlineLevel="0" collapsed="false">
      <c r="A477" s="50"/>
      <c r="B477" s="50"/>
      <c r="C477" s="5"/>
      <c r="D477" s="48"/>
      <c r="E477" s="50"/>
      <c r="F477" s="5"/>
      <c r="G477" s="5"/>
      <c r="H477" s="5"/>
      <c r="I477" s="5"/>
      <c r="J477" s="5"/>
      <c r="K477" s="50"/>
      <c r="L477" s="50"/>
      <c r="M477" s="50"/>
      <c r="N477" s="50"/>
      <c r="O477" s="50"/>
      <c r="P477" s="50"/>
      <c r="Q477" s="50"/>
      <c r="R477" s="50"/>
      <c r="S477" s="50"/>
      <c r="T477" s="50"/>
      <c r="U477" s="50"/>
      <c r="V477" s="50"/>
      <c r="W477" s="50"/>
      <c r="X477" s="50"/>
      <c r="Y477" s="50"/>
      <c r="Z477" s="50"/>
      <c r="AA477" s="50"/>
      <c r="AB477" s="50"/>
    </row>
    <row r="478" customFormat="false" ht="15.75" hidden="false" customHeight="false" outlineLevel="0" collapsed="false">
      <c r="A478" s="50"/>
      <c r="B478" s="50"/>
      <c r="C478" s="5"/>
      <c r="D478" s="48"/>
      <c r="E478" s="50"/>
      <c r="F478" s="5"/>
      <c r="G478" s="5"/>
      <c r="H478" s="5"/>
      <c r="I478" s="5"/>
      <c r="J478" s="5"/>
      <c r="K478" s="50"/>
      <c r="L478" s="50"/>
      <c r="M478" s="50"/>
      <c r="N478" s="50"/>
      <c r="O478" s="50"/>
      <c r="P478" s="50"/>
      <c r="Q478" s="50"/>
      <c r="R478" s="50"/>
      <c r="S478" s="50"/>
      <c r="T478" s="50"/>
      <c r="U478" s="50"/>
      <c r="V478" s="50"/>
      <c r="W478" s="50"/>
      <c r="X478" s="50"/>
      <c r="Y478" s="50"/>
      <c r="Z478" s="50"/>
      <c r="AA478" s="50"/>
      <c r="AB478" s="50"/>
    </row>
    <row r="479" customFormat="false" ht="15.75" hidden="false" customHeight="false" outlineLevel="0" collapsed="false">
      <c r="A479" s="50"/>
      <c r="B479" s="50"/>
      <c r="C479" s="5"/>
      <c r="D479" s="48"/>
      <c r="E479" s="50"/>
      <c r="F479" s="5"/>
      <c r="G479" s="5"/>
      <c r="H479" s="5"/>
      <c r="I479" s="5"/>
      <c r="J479" s="5"/>
      <c r="K479" s="50"/>
      <c r="L479" s="50"/>
      <c r="M479" s="50"/>
      <c r="N479" s="50"/>
      <c r="O479" s="50"/>
      <c r="P479" s="50"/>
      <c r="Q479" s="50"/>
      <c r="R479" s="50"/>
      <c r="S479" s="50"/>
      <c r="T479" s="50"/>
      <c r="U479" s="50"/>
      <c r="V479" s="50"/>
      <c r="W479" s="50"/>
      <c r="X479" s="50"/>
      <c r="Y479" s="50"/>
      <c r="Z479" s="50"/>
      <c r="AA479" s="50"/>
      <c r="AB479" s="50"/>
    </row>
    <row r="480" customFormat="false" ht="15.75" hidden="false" customHeight="false" outlineLevel="0" collapsed="false">
      <c r="A480" s="50"/>
      <c r="B480" s="50"/>
      <c r="C480" s="5"/>
      <c r="D480" s="48"/>
      <c r="E480" s="50"/>
      <c r="F480" s="5"/>
      <c r="G480" s="5"/>
      <c r="H480" s="5"/>
      <c r="I480" s="5"/>
      <c r="J480" s="5"/>
      <c r="K480" s="50"/>
      <c r="L480" s="50"/>
      <c r="M480" s="50"/>
      <c r="N480" s="50"/>
      <c r="O480" s="50"/>
      <c r="P480" s="50"/>
      <c r="Q480" s="50"/>
      <c r="R480" s="50"/>
      <c r="S480" s="50"/>
      <c r="T480" s="50"/>
      <c r="U480" s="50"/>
      <c r="V480" s="50"/>
      <c r="W480" s="50"/>
      <c r="X480" s="50"/>
      <c r="Y480" s="50"/>
      <c r="Z480" s="50"/>
      <c r="AA480" s="50"/>
      <c r="AB480" s="50"/>
    </row>
    <row r="481" customFormat="false" ht="15.75" hidden="false" customHeight="false" outlineLevel="0" collapsed="false">
      <c r="A481" s="50"/>
      <c r="B481" s="50"/>
      <c r="C481" s="5"/>
      <c r="D481" s="48"/>
      <c r="E481" s="50"/>
      <c r="F481" s="5"/>
      <c r="G481" s="5"/>
      <c r="H481" s="5"/>
      <c r="I481" s="5"/>
      <c r="J481" s="5"/>
      <c r="K481" s="50"/>
      <c r="L481" s="50"/>
      <c r="M481" s="50"/>
      <c r="N481" s="50"/>
      <c r="O481" s="50"/>
      <c r="P481" s="50"/>
      <c r="Q481" s="50"/>
      <c r="R481" s="50"/>
      <c r="S481" s="50"/>
      <c r="T481" s="50"/>
      <c r="U481" s="50"/>
      <c r="V481" s="50"/>
      <c r="W481" s="50"/>
      <c r="X481" s="50"/>
      <c r="Y481" s="50"/>
      <c r="Z481" s="50"/>
      <c r="AA481" s="50"/>
      <c r="AB481" s="50"/>
    </row>
    <row r="482" customFormat="false" ht="15.75" hidden="false" customHeight="false" outlineLevel="0" collapsed="false">
      <c r="A482" s="50"/>
      <c r="B482" s="50"/>
      <c r="C482" s="5"/>
      <c r="D482" s="48"/>
      <c r="E482" s="50"/>
      <c r="F482" s="5"/>
      <c r="G482" s="5"/>
      <c r="H482" s="5"/>
      <c r="I482" s="5"/>
      <c r="J482" s="5"/>
      <c r="K482" s="50"/>
      <c r="L482" s="50"/>
      <c r="M482" s="50"/>
      <c r="N482" s="50"/>
      <c r="O482" s="50"/>
      <c r="P482" s="50"/>
      <c r="Q482" s="50"/>
      <c r="R482" s="50"/>
      <c r="S482" s="50"/>
      <c r="T482" s="50"/>
      <c r="U482" s="50"/>
      <c r="V482" s="50"/>
      <c r="W482" s="50"/>
      <c r="X482" s="50"/>
      <c r="Y482" s="50"/>
      <c r="Z482" s="50"/>
      <c r="AA482" s="50"/>
      <c r="AB482" s="50"/>
    </row>
    <row r="483" customFormat="false" ht="15.75" hidden="false" customHeight="false" outlineLevel="0" collapsed="false">
      <c r="A483" s="50"/>
      <c r="B483" s="50"/>
      <c r="C483" s="5"/>
      <c r="D483" s="48"/>
      <c r="E483" s="50"/>
      <c r="F483" s="5"/>
      <c r="G483" s="5"/>
      <c r="H483" s="5"/>
      <c r="I483" s="5"/>
      <c r="J483" s="5"/>
      <c r="K483" s="50"/>
      <c r="L483" s="50"/>
      <c r="M483" s="50"/>
      <c r="N483" s="50"/>
      <c r="O483" s="50"/>
      <c r="P483" s="50"/>
      <c r="Q483" s="50"/>
      <c r="R483" s="50"/>
      <c r="S483" s="50"/>
      <c r="T483" s="50"/>
      <c r="U483" s="50"/>
      <c r="V483" s="50"/>
      <c r="W483" s="50"/>
      <c r="X483" s="50"/>
      <c r="Y483" s="50"/>
      <c r="Z483" s="50"/>
      <c r="AA483" s="50"/>
      <c r="AB483" s="50"/>
    </row>
    <row r="484" customFormat="false" ht="15.75" hidden="false" customHeight="false" outlineLevel="0" collapsed="false">
      <c r="A484" s="50"/>
      <c r="B484" s="50"/>
      <c r="C484" s="5"/>
      <c r="D484" s="48"/>
      <c r="E484" s="50"/>
      <c r="F484" s="5"/>
      <c r="G484" s="5"/>
      <c r="H484" s="5"/>
      <c r="I484" s="5"/>
      <c r="J484" s="5"/>
      <c r="K484" s="50"/>
      <c r="L484" s="50"/>
      <c r="M484" s="50"/>
      <c r="N484" s="50"/>
      <c r="O484" s="50"/>
      <c r="P484" s="50"/>
      <c r="Q484" s="50"/>
      <c r="R484" s="50"/>
      <c r="S484" s="50"/>
      <c r="T484" s="50"/>
      <c r="U484" s="50"/>
      <c r="V484" s="50"/>
      <c r="W484" s="50"/>
      <c r="X484" s="50"/>
      <c r="Y484" s="50"/>
      <c r="Z484" s="50"/>
      <c r="AA484" s="50"/>
      <c r="AB484" s="50"/>
    </row>
    <row r="485" customFormat="false" ht="15.75" hidden="false" customHeight="false" outlineLevel="0" collapsed="false">
      <c r="A485" s="50"/>
      <c r="B485" s="50"/>
      <c r="C485" s="5"/>
      <c r="D485" s="48"/>
      <c r="E485" s="50"/>
      <c r="F485" s="5"/>
      <c r="G485" s="5"/>
      <c r="H485" s="5"/>
      <c r="I485" s="5"/>
      <c r="J485" s="5"/>
      <c r="K485" s="50"/>
      <c r="L485" s="50"/>
      <c r="M485" s="50"/>
      <c r="N485" s="50"/>
      <c r="O485" s="50"/>
      <c r="P485" s="50"/>
      <c r="Q485" s="50"/>
      <c r="R485" s="50"/>
      <c r="S485" s="50"/>
      <c r="T485" s="50"/>
      <c r="U485" s="50"/>
      <c r="V485" s="50"/>
      <c r="W485" s="50"/>
      <c r="X485" s="50"/>
      <c r="Y485" s="50"/>
      <c r="Z485" s="50"/>
      <c r="AA485" s="50"/>
      <c r="AB485" s="50"/>
    </row>
    <row r="486" customFormat="false" ht="15.75" hidden="false" customHeight="false" outlineLevel="0" collapsed="false">
      <c r="A486" s="50"/>
      <c r="B486" s="50"/>
      <c r="C486" s="5"/>
      <c r="D486" s="48"/>
      <c r="E486" s="50"/>
      <c r="F486" s="5"/>
      <c r="G486" s="5"/>
      <c r="H486" s="5"/>
      <c r="I486" s="5"/>
      <c r="J486" s="5"/>
      <c r="K486" s="50"/>
      <c r="L486" s="50"/>
      <c r="M486" s="50"/>
      <c r="N486" s="50"/>
      <c r="O486" s="50"/>
      <c r="P486" s="50"/>
      <c r="Q486" s="50"/>
      <c r="R486" s="50"/>
      <c r="S486" s="50"/>
      <c r="T486" s="50"/>
      <c r="U486" s="50"/>
      <c r="V486" s="50"/>
      <c r="W486" s="50"/>
      <c r="X486" s="50"/>
      <c r="Y486" s="50"/>
      <c r="Z486" s="50"/>
      <c r="AA486" s="50"/>
      <c r="AB486" s="50"/>
    </row>
    <row r="487" customFormat="false" ht="15.75" hidden="false" customHeight="false" outlineLevel="0" collapsed="false">
      <c r="A487" s="50"/>
      <c r="B487" s="50"/>
      <c r="C487" s="5"/>
      <c r="D487" s="48"/>
      <c r="E487" s="50"/>
      <c r="F487" s="5"/>
      <c r="G487" s="5"/>
      <c r="H487" s="5"/>
      <c r="I487" s="5"/>
      <c r="J487" s="5"/>
      <c r="K487" s="50"/>
      <c r="L487" s="50"/>
      <c r="M487" s="50"/>
      <c r="N487" s="50"/>
      <c r="O487" s="50"/>
      <c r="P487" s="50"/>
      <c r="Q487" s="50"/>
      <c r="R487" s="50"/>
      <c r="S487" s="50"/>
      <c r="T487" s="50"/>
      <c r="U487" s="50"/>
      <c r="V487" s="50"/>
      <c r="W487" s="50"/>
      <c r="X487" s="50"/>
      <c r="Y487" s="50"/>
      <c r="Z487" s="50"/>
      <c r="AA487" s="50"/>
      <c r="AB487" s="50"/>
    </row>
    <row r="488" customFormat="false" ht="15.75" hidden="false" customHeight="false" outlineLevel="0" collapsed="false">
      <c r="A488" s="50"/>
      <c r="B488" s="50"/>
      <c r="C488" s="5"/>
      <c r="D488" s="48"/>
      <c r="E488" s="50"/>
      <c r="F488" s="5"/>
      <c r="G488" s="5"/>
      <c r="H488" s="5"/>
      <c r="I488" s="5"/>
      <c r="J488" s="5"/>
      <c r="K488" s="50"/>
      <c r="L488" s="50"/>
      <c r="M488" s="50"/>
      <c r="N488" s="50"/>
      <c r="O488" s="50"/>
      <c r="P488" s="50"/>
      <c r="Q488" s="50"/>
      <c r="R488" s="50"/>
      <c r="S488" s="50"/>
      <c r="T488" s="50"/>
      <c r="U488" s="50"/>
      <c r="V488" s="50"/>
      <c r="W488" s="50"/>
      <c r="X488" s="50"/>
      <c r="Y488" s="50"/>
      <c r="Z488" s="50"/>
      <c r="AA488" s="50"/>
      <c r="AB488" s="50"/>
    </row>
    <row r="489" customFormat="false" ht="15.75" hidden="false" customHeight="false" outlineLevel="0" collapsed="false">
      <c r="A489" s="50"/>
      <c r="B489" s="50"/>
      <c r="C489" s="5"/>
      <c r="D489" s="48"/>
      <c r="E489" s="50"/>
      <c r="F489" s="5"/>
      <c r="G489" s="5"/>
      <c r="H489" s="5"/>
      <c r="I489" s="5"/>
      <c r="J489" s="5"/>
      <c r="K489" s="50"/>
      <c r="L489" s="50"/>
      <c r="M489" s="50"/>
      <c r="N489" s="50"/>
      <c r="O489" s="50"/>
      <c r="P489" s="50"/>
      <c r="Q489" s="50"/>
      <c r="R489" s="50"/>
      <c r="S489" s="50"/>
      <c r="T489" s="50"/>
      <c r="U489" s="50"/>
      <c r="V489" s="50"/>
      <c r="W489" s="50"/>
      <c r="X489" s="50"/>
      <c r="Y489" s="50"/>
      <c r="Z489" s="50"/>
      <c r="AA489" s="50"/>
      <c r="AB489" s="50"/>
    </row>
    <row r="490" customFormat="false" ht="15.75" hidden="false" customHeight="false" outlineLevel="0" collapsed="false">
      <c r="A490" s="50"/>
      <c r="B490" s="50"/>
      <c r="C490" s="5"/>
      <c r="D490" s="48"/>
      <c r="E490" s="50"/>
      <c r="F490" s="5"/>
      <c r="G490" s="5"/>
      <c r="H490" s="5"/>
      <c r="I490" s="5"/>
      <c r="J490" s="5"/>
      <c r="K490" s="50"/>
      <c r="L490" s="50"/>
      <c r="M490" s="50"/>
      <c r="N490" s="50"/>
      <c r="O490" s="50"/>
      <c r="P490" s="50"/>
      <c r="Q490" s="50"/>
      <c r="R490" s="50"/>
      <c r="S490" s="50"/>
      <c r="T490" s="50"/>
      <c r="U490" s="50"/>
      <c r="V490" s="50"/>
      <c r="W490" s="50"/>
      <c r="X490" s="50"/>
      <c r="Y490" s="50"/>
      <c r="Z490" s="50"/>
      <c r="AA490" s="50"/>
      <c r="AB490" s="50"/>
    </row>
    <row r="491" customFormat="false" ht="15.75" hidden="false" customHeight="false" outlineLevel="0" collapsed="false">
      <c r="A491" s="50"/>
      <c r="B491" s="50"/>
      <c r="C491" s="5"/>
      <c r="D491" s="48"/>
      <c r="E491" s="50"/>
      <c r="F491" s="5"/>
      <c r="G491" s="5"/>
      <c r="H491" s="5"/>
      <c r="I491" s="5"/>
      <c r="J491" s="5"/>
      <c r="K491" s="50"/>
      <c r="L491" s="50"/>
      <c r="M491" s="50"/>
      <c r="N491" s="50"/>
      <c r="O491" s="50"/>
      <c r="P491" s="50"/>
      <c r="Q491" s="50"/>
      <c r="R491" s="50"/>
      <c r="S491" s="50"/>
      <c r="T491" s="50"/>
      <c r="U491" s="50"/>
      <c r="V491" s="50"/>
      <c r="W491" s="50"/>
      <c r="X491" s="50"/>
      <c r="Y491" s="50"/>
      <c r="Z491" s="50"/>
      <c r="AA491" s="50"/>
      <c r="AB491" s="50"/>
    </row>
    <row r="492" customFormat="false" ht="15.75" hidden="false" customHeight="false" outlineLevel="0" collapsed="false">
      <c r="A492" s="50"/>
      <c r="B492" s="50"/>
      <c r="C492" s="5"/>
      <c r="D492" s="48"/>
      <c r="E492" s="50"/>
      <c r="F492" s="5"/>
      <c r="G492" s="5"/>
      <c r="H492" s="5"/>
      <c r="I492" s="5"/>
      <c r="J492" s="5"/>
      <c r="K492" s="50"/>
      <c r="L492" s="50"/>
      <c r="M492" s="50"/>
      <c r="N492" s="50"/>
      <c r="O492" s="50"/>
      <c r="P492" s="50"/>
      <c r="Q492" s="50"/>
      <c r="R492" s="50"/>
      <c r="S492" s="50"/>
      <c r="T492" s="50"/>
      <c r="U492" s="50"/>
      <c r="V492" s="50"/>
      <c r="W492" s="50"/>
      <c r="X492" s="50"/>
      <c r="Y492" s="50"/>
      <c r="Z492" s="50"/>
      <c r="AA492" s="50"/>
      <c r="AB492" s="50"/>
    </row>
    <row r="493" customFormat="false" ht="15.75" hidden="false" customHeight="false" outlineLevel="0" collapsed="false">
      <c r="A493" s="50"/>
      <c r="B493" s="50"/>
      <c r="C493" s="5"/>
      <c r="D493" s="48"/>
      <c r="E493" s="50"/>
      <c r="F493" s="5"/>
      <c r="G493" s="5"/>
      <c r="H493" s="5"/>
      <c r="I493" s="5"/>
      <c r="J493" s="5"/>
      <c r="K493" s="50"/>
      <c r="L493" s="50"/>
      <c r="M493" s="50"/>
      <c r="N493" s="50"/>
      <c r="O493" s="50"/>
      <c r="P493" s="50"/>
      <c r="Q493" s="50"/>
      <c r="R493" s="50"/>
      <c r="S493" s="50"/>
      <c r="T493" s="50"/>
      <c r="U493" s="50"/>
      <c r="V493" s="50"/>
      <c r="W493" s="50"/>
      <c r="X493" s="50"/>
      <c r="Y493" s="50"/>
      <c r="Z493" s="50"/>
      <c r="AA493" s="50"/>
      <c r="AB493" s="50"/>
    </row>
    <row r="494" customFormat="false" ht="15.75" hidden="false" customHeight="false" outlineLevel="0" collapsed="false">
      <c r="A494" s="50"/>
      <c r="B494" s="50"/>
      <c r="C494" s="5"/>
      <c r="D494" s="48"/>
      <c r="E494" s="50"/>
      <c r="F494" s="5"/>
      <c r="G494" s="5"/>
      <c r="H494" s="5"/>
      <c r="I494" s="5"/>
      <c r="J494" s="5"/>
      <c r="K494" s="50"/>
      <c r="L494" s="50"/>
      <c r="M494" s="50"/>
      <c r="N494" s="50"/>
      <c r="O494" s="50"/>
      <c r="P494" s="50"/>
      <c r="Q494" s="50"/>
      <c r="R494" s="50"/>
      <c r="S494" s="50"/>
      <c r="T494" s="50"/>
      <c r="U494" s="50"/>
      <c r="V494" s="50"/>
      <c r="W494" s="50"/>
      <c r="X494" s="50"/>
      <c r="Y494" s="50"/>
      <c r="Z494" s="50"/>
      <c r="AA494" s="50"/>
      <c r="AB494" s="50"/>
    </row>
    <row r="495" customFormat="false" ht="15.75" hidden="false" customHeight="false" outlineLevel="0" collapsed="false">
      <c r="A495" s="50"/>
      <c r="B495" s="50"/>
      <c r="C495" s="5"/>
      <c r="D495" s="48"/>
      <c r="E495" s="50"/>
      <c r="F495" s="5"/>
      <c r="G495" s="5"/>
      <c r="H495" s="5"/>
      <c r="I495" s="5"/>
      <c r="J495" s="5"/>
      <c r="K495" s="50"/>
      <c r="L495" s="50"/>
      <c r="M495" s="50"/>
      <c r="N495" s="50"/>
      <c r="O495" s="50"/>
      <c r="P495" s="50"/>
      <c r="Q495" s="50"/>
      <c r="R495" s="50"/>
      <c r="S495" s="50"/>
      <c r="T495" s="50"/>
      <c r="U495" s="50"/>
      <c r="V495" s="50"/>
      <c r="W495" s="50"/>
      <c r="X495" s="50"/>
      <c r="Y495" s="50"/>
      <c r="Z495" s="50"/>
      <c r="AA495" s="50"/>
      <c r="AB495" s="50"/>
    </row>
    <row r="496" customFormat="false" ht="15.75" hidden="false" customHeight="false" outlineLevel="0" collapsed="false">
      <c r="A496" s="50"/>
      <c r="B496" s="50"/>
      <c r="C496" s="5"/>
      <c r="D496" s="48"/>
      <c r="E496" s="50"/>
      <c r="F496" s="5"/>
      <c r="G496" s="5"/>
      <c r="H496" s="5"/>
      <c r="I496" s="5"/>
      <c r="J496" s="5"/>
      <c r="K496" s="50"/>
      <c r="L496" s="50"/>
      <c r="M496" s="50"/>
      <c r="N496" s="50"/>
      <c r="O496" s="50"/>
      <c r="P496" s="50"/>
      <c r="Q496" s="50"/>
      <c r="R496" s="50"/>
      <c r="S496" s="50"/>
      <c r="T496" s="50"/>
      <c r="U496" s="50"/>
      <c r="V496" s="50"/>
      <c r="W496" s="50"/>
      <c r="X496" s="50"/>
      <c r="Y496" s="50"/>
      <c r="Z496" s="50"/>
      <c r="AA496" s="50"/>
      <c r="AB496" s="50"/>
    </row>
    <row r="497" customFormat="false" ht="15.75" hidden="false" customHeight="false" outlineLevel="0" collapsed="false">
      <c r="A497" s="50"/>
      <c r="B497" s="50"/>
      <c r="C497" s="5"/>
      <c r="D497" s="48"/>
      <c r="E497" s="50"/>
      <c r="F497" s="5"/>
      <c r="G497" s="5"/>
      <c r="H497" s="5"/>
      <c r="I497" s="5"/>
      <c r="J497" s="5"/>
      <c r="K497" s="50"/>
      <c r="L497" s="50"/>
      <c r="M497" s="50"/>
      <c r="N497" s="50"/>
      <c r="O497" s="50"/>
      <c r="P497" s="50"/>
      <c r="Q497" s="50"/>
      <c r="R497" s="50"/>
      <c r="S497" s="50"/>
      <c r="T497" s="50"/>
      <c r="U497" s="50"/>
      <c r="V497" s="50"/>
      <c r="W497" s="50"/>
      <c r="X497" s="50"/>
      <c r="Y497" s="50"/>
      <c r="Z497" s="50"/>
      <c r="AA497" s="50"/>
      <c r="AB497" s="50"/>
    </row>
    <row r="498" customFormat="false" ht="15.75" hidden="false" customHeight="false" outlineLevel="0" collapsed="false">
      <c r="A498" s="50"/>
      <c r="B498" s="50"/>
      <c r="C498" s="5"/>
      <c r="D498" s="48"/>
      <c r="E498" s="50"/>
      <c r="F498" s="5"/>
      <c r="G498" s="5"/>
      <c r="H498" s="5"/>
      <c r="I498" s="5"/>
      <c r="J498" s="5"/>
      <c r="K498" s="50"/>
      <c r="L498" s="50"/>
      <c r="M498" s="50"/>
      <c r="N498" s="50"/>
      <c r="O498" s="50"/>
      <c r="P498" s="50"/>
      <c r="Q498" s="50"/>
      <c r="R498" s="50"/>
      <c r="S498" s="50"/>
      <c r="T498" s="50"/>
      <c r="U498" s="50"/>
      <c r="V498" s="50"/>
      <c r="W498" s="50"/>
      <c r="X498" s="50"/>
      <c r="Y498" s="50"/>
      <c r="Z498" s="50"/>
      <c r="AA498" s="50"/>
      <c r="AB498" s="50"/>
    </row>
    <row r="499" customFormat="false" ht="15.75" hidden="false" customHeight="false" outlineLevel="0" collapsed="false">
      <c r="A499" s="50"/>
      <c r="B499" s="50"/>
      <c r="C499" s="5"/>
      <c r="D499" s="48"/>
      <c r="E499" s="50"/>
      <c r="F499" s="5"/>
      <c r="G499" s="5"/>
      <c r="H499" s="5"/>
      <c r="I499" s="5"/>
      <c r="J499" s="5"/>
      <c r="K499" s="50"/>
      <c r="L499" s="50"/>
      <c r="M499" s="50"/>
      <c r="N499" s="50"/>
      <c r="O499" s="50"/>
      <c r="P499" s="50"/>
      <c r="Q499" s="50"/>
      <c r="R499" s="50"/>
      <c r="S499" s="50"/>
      <c r="T499" s="50"/>
      <c r="U499" s="50"/>
      <c r="V499" s="50"/>
      <c r="W499" s="50"/>
      <c r="X499" s="50"/>
      <c r="Y499" s="50"/>
      <c r="Z499" s="50"/>
      <c r="AA499" s="50"/>
      <c r="AB499" s="50"/>
    </row>
    <row r="500" customFormat="false" ht="15.75" hidden="false" customHeight="false" outlineLevel="0" collapsed="false">
      <c r="A500" s="50"/>
      <c r="B500" s="50"/>
      <c r="C500" s="5"/>
      <c r="D500" s="48"/>
      <c r="E500" s="50"/>
      <c r="F500" s="5"/>
      <c r="G500" s="5"/>
      <c r="H500" s="5"/>
      <c r="I500" s="5"/>
      <c r="J500" s="5"/>
      <c r="K500" s="50"/>
      <c r="L500" s="50"/>
      <c r="M500" s="50"/>
      <c r="N500" s="50"/>
      <c r="O500" s="50"/>
      <c r="P500" s="50"/>
      <c r="Q500" s="50"/>
      <c r="R500" s="50"/>
      <c r="S500" s="50"/>
      <c r="T500" s="50"/>
      <c r="U500" s="50"/>
      <c r="V500" s="50"/>
      <c r="W500" s="50"/>
      <c r="X500" s="50"/>
      <c r="Y500" s="50"/>
      <c r="Z500" s="50"/>
      <c r="AA500" s="50"/>
      <c r="AB500" s="50"/>
    </row>
    <row r="501" customFormat="false" ht="15.75" hidden="false" customHeight="false" outlineLevel="0" collapsed="false">
      <c r="A501" s="50"/>
      <c r="B501" s="50"/>
      <c r="C501" s="5"/>
      <c r="D501" s="48"/>
      <c r="E501" s="50"/>
      <c r="F501" s="5"/>
      <c r="G501" s="5"/>
      <c r="H501" s="5"/>
      <c r="I501" s="5"/>
      <c r="J501" s="5"/>
      <c r="K501" s="50"/>
      <c r="L501" s="50"/>
      <c r="M501" s="50"/>
      <c r="N501" s="50"/>
      <c r="O501" s="50"/>
      <c r="P501" s="50"/>
      <c r="Q501" s="50"/>
      <c r="R501" s="50"/>
      <c r="S501" s="50"/>
      <c r="T501" s="50"/>
      <c r="U501" s="50"/>
      <c r="V501" s="50"/>
      <c r="W501" s="50"/>
      <c r="X501" s="50"/>
      <c r="Y501" s="50"/>
      <c r="Z501" s="50"/>
      <c r="AA501" s="50"/>
      <c r="AB501" s="50"/>
    </row>
    <row r="502" customFormat="false" ht="15.75" hidden="false" customHeight="false" outlineLevel="0" collapsed="false">
      <c r="A502" s="50"/>
      <c r="B502" s="50"/>
      <c r="C502" s="5"/>
      <c r="D502" s="48"/>
      <c r="E502" s="50"/>
      <c r="F502" s="5"/>
      <c r="G502" s="5"/>
      <c r="H502" s="5"/>
      <c r="I502" s="5"/>
      <c r="J502" s="5"/>
      <c r="K502" s="50"/>
      <c r="L502" s="50"/>
      <c r="M502" s="50"/>
      <c r="N502" s="50"/>
      <c r="O502" s="50"/>
      <c r="P502" s="50"/>
      <c r="Q502" s="50"/>
      <c r="R502" s="50"/>
      <c r="S502" s="50"/>
      <c r="T502" s="50"/>
      <c r="U502" s="50"/>
      <c r="V502" s="50"/>
      <c r="W502" s="50"/>
      <c r="X502" s="50"/>
      <c r="Y502" s="50"/>
      <c r="Z502" s="50"/>
      <c r="AA502" s="50"/>
      <c r="AB502" s="50"/>
    </row>
    <row r="503" customFormat="false" ht="15.75" hidden="false" customHeight="false" outlineLevel="0" collapsed="false">
      <c r="A503" s="50"/>
      <c r="B503" s="50"/>
      <c r="C503" s="5"/>
      <c r="D503" s="48"/>
      <c r="E503" s="50"/>
      <c r="F503" s="5"/>
      <c r="G503" s="5"/>
      <c r="H503" s="5"/>
      <c r="I503" s="5"/>
      <c r="J503" s="5"/>
      <c r="K503" s="50"/>
      <c r="L503" s="50"/>
      <c r="M503" s="50"/>
      <c r="N503" s="50"/>
      <c r="O503" s="50"/>
      <c r="P503" s="50"/>
      <c r="Q503" s="50"/>
      <c r="R503" s="50"/>
      <c r="S503" s="50"/>
      <c r="T503" s="50"/>
      <c r="U503" s="50"/>
      <c r="V503" s="50"/>
      <c r="W503" s="50"/>
      <c r="X503" s="50"/>
      <c r="Y503" s="50"/>
      <c r="Z503" s="50"/>
      <c r="AA503" s="50"/>
      <c r="AB503" s="50"/>
    </row>
    <row r="504" customFormat="false" ht="15.75" hidden="false" customHeight="false" outlineLevel="0" collapsed="false">
      <c r="A504" s="50"/>
      <c r="B504" s="50"/>
      <c r="C504" s="5"/>
      <c r="D504" s="48"/>
      <c r="E504" s="50"/>
      <c r="F504" s="5"/>
      <c r="G504" s="5"/>
      <c r="H504" s="5"/>
      <c r="I504" s="5"/>
      <c r="J504" s="5"/>
      <c r="K504" s="50"/>
      <c r="L504" s="50"/>
      <c r="M504" s="50"/>
      <c r="N504" s="50"/>
      <c r="O504" s="50"/>
      <c r="P504" s="50"/>
      <c r="Q504" s="50"/>
      <c r="R504" s="50"/>
      <c r="S504" s="50"/>
      <c r="T504" s="50"/>
      <c r="U504" s="50"/>
      <c r="V504" s="50"/>
      <c r="W504" s="50"/>
      <c r="X504" s="50"/>
      <c r="Y504" s="50"/>
      <c r="Z504" s="50"/>
      <c r="AA504" s="50"/>
      <c r="AB504" s="50"/>
    </row>
    <row r="505" customFormat="false" ht="15.75" hidden="false" customHeight="false" outlineLevel="0" collapsed="false">
      <c r="A505" s="50"/>
      <c r="B505" s="50"/>
      <c r="C505" s="5"/>
      <c r="D505" s="48"/>
      <c r="E505" s="50"/>
      <c r="F505" s="5"/>
      <c r="G505" s="5"/>
      <c r="H505" s="5"/>
      <c r="I505" s="5"/>
      <c r="J505" s="5"/>
      <c r="K505" s="50"/>
      <c r="L505" s="50"/>
      <c r="M505" s="50"/>
      <c r="N505" s="50"/>
      <c r="O505" s="50"/>
      <c r="P505" s="50"/>
      <c r="Q505" s="50"/>
      <c r="R505" s="50"/>
      <c r="S505" s="50"/>
      <c r="T505" s="50"/>
      <c r="U505" s="50"/>
      <c r="V505" s="50"/>
      <c r="W505" s="50"/>
      <c r="X505" s="50"/>
      <c r="Y505" s="50"/>
      <c r="Z505" s="50"/>
      <c r="AA505" s="50"/>
      <c r="AB505" s="50"/>
    </row>
    <row r="506" customFormat="false" ht="15.75" hidden="false" customHeight="false" outlineLevel="0" collapsed="false">
      <c r="A506" s="50"/>
      <c r="B506" s="50"/>
      <c r="C506" s="5"/>
      <c r="D506" s="48"/>
      <c r="E506" s="50"/>
      <c r="F506" s="5"/>
      <c r="G506" s="5"/>
      <c r="H506" s="5"/>
      <c r="I506" s="5"/>
      <c r="J506" s="5"/>
      <c r="K506" s="50"/>
      <c r="L506" s="50"/>
      <c r="M506" s="50"/>
      <c r="N506" s="50"/>
      <c r="O506" s="50"/>
      <c r="P506" s="50"/>
      <c r="Q506" s="50"/>
      <c r="R506" s="50"/>
      <c r="S506" s="50"/>
      <c r="T506" s="50"/>
      <c r="U506" s="50"/>
      <c r="V506" s="50"/>
      <c r="W506" s="50"/>
      <c r="X506" s="50"/>
      <c r="Y506" s="50"/>
      <c r="Z506" s="50"/>
      <c r="AA506" s="50"/>
      <c r="AB506" s="50"/>
    </row>
    <row r="507" customFormat="false" ht="15.75" hidden="false" customHeight="false" outlineLevel="0" collapsed="false">
      <c r="A507" s="50"/>
      <c r="B507" s="50"/>
      <c r="C507" s="5"/>
      <c r="D507" s="48"/>
      <c r="E507" s="50"/>
      <c r="F507" s="5"/>
      <c r="G507" s="5"/>
      <c r="H507" s="5"/>
      <c r="I507" s="5"/>
      <c r="J507" s="5"/>
      <c r="K507" s="50"/>
      <c r="L507" s="50"/>
      <c r="M507" s="50"/>
      <c r="N507" s="50"/>
      <c r="O507" s="50"/>
      <c r="P507" s="50"/>
      <c r="Q507" s="50"/>
      <c r="R507" s="50"/>
      <c r="S507" s="50"/>
      <c r="T507" s="50"/>
      <c r="U507" s="50"/>
      <c r="V507" s="50"/>
      <c r="W507" s="50"/>
      <c r="X507" s="50"/>
      <c r="Y507" s="50"/>
      <c r="Z507" s="50"/>
      <c r="AA507" s="50"/>
      <c r="AB507" s="50"/>
    </row>
    <row r="508" customFormat="false" ht="15.75" hidden="false" customHeight="false" outlineLevel="0" collapsed="false">
      <c r="A508" s="50"/>
      <c r="B508" s="50"/>
      <c r="C508" s="5"/>
      <c r="D508" s="48"/>
      <c r="E508" s="50"/>
      <c r="F508" s="5"/>
      <c r="G508" s="5"/>
      <c r="H508" s="5"/>
      <c r="I508" s="5"/>
      <c r="J508" s="5"/>
      <c r="K508" s="50"/>
      <c r="L508" s="50"/>
      <c r="M508" s="50"/>
      <c r="N508" s="50"/>
      <c r="O508" s="50"/>
      <c r="P508" s="50"/>
      <c r="Q508" s="50"/>
      <c r="R508" s="50"/>
      <c r="S508" s="50"/>
      <c r="T508" s="50"/>
      <c r="U508" s="50"/>
      <c r="V508" s="50"/>
      <c r="W508" s="50"/>
      <c r="X508" s="50"/>
      <c r="Y508" s="50"/>
      <c r="Z508" s="50"/>
      <c r="AA508" s="50"/>
      <c r="AB508" s="50"/>
    </row>
    <row r="509" customFormat="false" ht="15.75" hidden="false" customHeight="false" outlineLevel="0" collapsed="false">
      <c r="A509" s="50"/>
      <c r="B509" s="50"/>
      <c r="C509" s="5"/>
      <c r="D509" s="48"/>
      <c r="E509" s="50"/>
      <c r="F509" s="5"/>
      <c r="G509" s="5"/>
      <c r="H509" s="5"/>
      <c r="I509" s="5"/>
      <c r="J509" s="5"/>
      <c r="K509" s="50"/>
      <c r="L509" s="50"/>
      <c r="M509" s="50"/>
      <c r="N509" s="50"/>
      <c r="O509" s="50"/>
      <c r="P509" s="50"/>
      <c r="Q509" s="50"/>
      <c r="R509" s="50"/>
      <c r="S509" s="50"/>
      <c r="T509" s="50"/>
      <c r="U509" s="50"/>
      <c r="V509" s="50"/>
      <c r="W509" s="50"/>
      <c r="X509" s="50"/>
      <c r="Y509" s="50"/>
      <c r="Z509" s="50"/>
      <c r="AA509" s="50"/>
      <c r="AB509" s="50"/>
    </row>
    <row r="510" customFormat="false" ht="15.75" hidden="false" customHeight="false" outlineLevel="0" collapsed="false">
      <c r="A510" s="50"/>
      <c r="B510" s="50"/>
      <c r="C510" s="5"/>
      <c r="D510" s="48"/>
      <c r="E510" s="50"/>
      <c r="F510" s="5"/>
      <c r="G510" s="5"/>
      <c r="H510" s="5"/>
      <c r="I510" s="5"/>
      <c r="J510" s="5"/>
      <c r="K510" s="50"/>
      <c r="L510" s="50"/>
      <c r="M510" s="50"/>
      <c r="N510" s="50"/>
      <c r="O510" s="50"/>
      <c r="P510" s="50"/>
      <c r="Q510" s="50"/>
      <c r="R510" s="50"/>
      <c r="S510" s="50"/>
      <c r="T510" s="50"/>
      <c r="U510" s="50"/>
      <c r="V510" s="50"/>
      <c r="W510" s="50"/>
      <c r="X510" s="50"/>
      <c r="Y510" s="50"/>
      <c r="Z510" s="50"/>
      <c r="AA510" s="50"/>
      <c r="AB510" s="50"/>
    </row>
    <row r="511" customFormat="false" ht="15.75" hidden="false" customHeight="false" outlineLevel="0" collapsed="false">
      <c r="A511" s="50"/>
      <c r="B511" s="50"/>
      <c r="C511" s="5"/>
      <c r="D511" s="48"/>
      <c r="E511" s="50"/>
      <c r="F511" s="5"/>
      <c r="G511" s="5"/>
      <c r="H511" s="5"/>
      <c r="I511" s="5"/>
      <c r="J511" s="5"/>
      <c r="K511" s="50"/>
      <c r="L511" s="50"/>
      <c r="M511" s="50"/>
      <c r="N511" s="50"/>
      <c r="O511" s="50"/>
      <c r="P511" s="50"/>
      <c r="Q511" s="50"/>
      <c r="R511" s="50"/>
      <c r="S511" s="50"/>
      <c r="T511" s="50"/>
      <c r="U511" s="50"/>
      <c r="V511" s="50"/>
      <c r="W511" s="50"/>
      <c r="X511" s="50"/>
      <c r="Y511" s="50"/>
      <c r="Z511" s="50"/>
      <c r="AA511" s="50"/>
      <c r="AB511" s="50"/>
    </row>
    <row r="512" customFormat="false" ht="15.75" hidden="false" customHeight="false" outlineLevel="0" collapsed="false">
      <c r="A512" s="50"/>
      <c r="B512" s="50"/>
      <c r="C512" s="5"/>
      <c r="D512" s="48"/>
      <c r="E512" s="50"/>
      <c r="F512" s="5"/>
      <c r="G512" s="5"/>
      <c r="H512" s="5"/>
      <c r="I512" s="5"/>
      <c r="J512" s="5"/>
      <c r="K512" s="50"/>
      <c r="L512" s="50"/>
      <c r="M512" s="50"/>
      <c r="N512" s="50"/>
      <c r="O512" s="50"/>
      <c r="P512" s="50"/>
      <c r="Q512" s="50"/>
      <c r="R512" s="50"/>
      <c r="S512" s="50"/>
      <c r="T512" s="50"/>
      <c r="U512" s="50"/>
      <c r="V512" s="50"/>
      <c r="W512" s="50"/>
      <c r="X512" s="50"/>
      <c r="Y512" s="50"/>
      <c r="Z512" s="50"/>
      <c r="AA512" s="50"/>
      <c r="AB512" s="50"/>
    </row>
    <row r="513" customFormat="false" ht="15.75" hidden="false" customHeight="false" outlineLevel="0" collapsed="false">
      <c r="A513" s="50"/>
      <c r="B513" s="50"/>
      <c r="C513" s="5"/>
      <c r="D513" s="48"/>
      <c r="E513" s="50"/>
      <c r="F513" s="5"/>
      <c r="G513" s="5"/>
      <c r="H513" s="5"/>
      <c r="I513" s="5"/>
      <c r="J513" s="5"/>
      <c r="K513" s="50"/>
      <c r="L513" s="50"/>
      <c r="M513" s="50"/>
      <c r="N513" s="50"/>
      <c r="O513" s="50"/>
      <c r="P513" s="50"/>
      <c r="Q513" s="50"/>
      <c r="R513" s="50"/>
      <c r="S513" s="50"/>
      <c r="T513" s="50"/>
      <c r="U513" s="50"/>
      <c r="V513" s="50"/>
      <c r="W513" s="50"/>
      <c r="X513" s="50"/>
      <c r="Y513" s="50"/>
      <c r="Z513" s="50"/>
      <c r="AA513" s="50"/>
      <c r="AB513" s="50"/>
    </row>
    <row r="514" customFormat="false" ht="15.75" hidden="false" customHeight="false" outlineLevel="0" collapsed="false">
      <c r="A514" s="50"/>
      <c r="B514" s="50"/>
      <c r="C514" s="5"/>
      <c r="D514" s="48"/>
      <c r="E514" s="50"/>
      <c r="F514" s="5"/>
      <c r="G514" s="5"/>
      <c r="H514" s="5"/>
      <c r="I514" s="5"/>
      <c r="J514" s="5"/>
      <c r="K514" s="50"/>
      <c r="L514" s="50"/>
      <c r="M514" s="50"/>
      <c r="N514" s="50"/>
      <c r="O514" s="50"/>
      <c r="P514" s="50"/>
      <c r="Q514" s="50"/>
      <c r="R514" s="50"/>
      <c r="S514" s="50"/>
      <c r="T514" s="50"/>
      <c r="U514" s="50"/>
      <c r="V514" s="50"/>
      <c r="W514" s="50"/>
      <c r="X514" s="50"/>
      <c r="Y514" s="50"/>
      <c r="Z514" s="50"/>
      <c r="AA514" s="50"/>
      <c r="AB514" s="50"/>
    </row>
    <row r="515" customFormat="false" ht="15.75" hidden="false" customHeight="false" outlineLevel="0" collapsed="false">
      <c r="A515" s="50"/>
      <c r="B515" s="50"/>
      <c r="C515" s="5"/>
      <c r="D515" s="48"/>
      <c r="E515" s="50"/>
      <c r="F515" s="5"/>
      <c r="G515" s="5"/>
      <c r="H515" s="5"/>
      <c r="I515" s="5"/>
      <c r="J515" s="5"/>
      <c r="K515" s="50"/>
      <c r="L515" s="50"/>
      <c r="M515" s="50"/>
      <c r="N515" s="50"/>
      <c r="O515" s="50"/>
      <c r="P515" s="50"/>
      <c r="Q515" s="50"/>
      <c r="R515" s="50"/>
      <c r="S515" s="50"/>
      <c r="T515" s="50"/>
      <c r="U515" s="50"/>
      <c r="V515" s="50"/>
      <c r="W515" s="50"/>
      <c r="X515" s="50"/>
      <c r="Y515" s="50"/>
      <c r="Z515" s="50"/>
      <c r="AA515" s="50"/>
      <c r="AB515" s="50"/>
    </row>
    <row r="516" customFormat="false" ht="15.75" hidden="false" customHeight="false" outlineLevel="0" collapsed="false">
      <c r="A516" s="50"/>
      <c r="B516" s="50"/>
      <c r="C516" s="5"/>
      <c r="D516" s="48"/>
      <c r="E516" s="50"/>
      <c r="F516" s="5"/>
      <c r="G516" s="5"/>
      <c r="H516" s="5"/>
      <c r="I516" s="5"/>
      <c r="J516" s="5"/>
      <c r="K516" s="50"/>
      <c r="L516" s="50"/>
      <c r="M516" s="50"/>
      <c r="N516" s="50"/>
      <c r="O516" s="50"/>
      <c r="P516" s="50"/>
      <c r="Q516" s="50"/>
      <c r="R516" s="50"/>
      <c r="S516" s="50"/>
      <c r="T516" s="50"/>
      <c r="U516" s="50"/>
      <c r="V516" s="50"/>
      <c r="W516" s="50"/>
      <c r="X516" s="50"/>
      <c r="Y516" s="50"/>
      <c r="Z516" s="50"/>
      <c r="AA516" s="50"/>
      <c r="AB516" s="50"/>
    </row>
    <row r="517" customFormat="false" ht="15.75" hidden="false" customHeight="false" outlineLevel="0" collapsed="false">
      <c r="A517" s="50"/>
      <c r="B517" s="50"/>
      <c r="C517" s="5"/>
      <c r="D517" s="48"/>
      <c r="E517" s="50"/>
      <c r="F517" s="5"/>
      <c r="G517" s="5"/>
      <c r="H517" s="5"/>
      <c r="I517" s="5"/>
      <c r="J517" s="5"/>
      <c r="K517" s="50"/>
      <c r="L517" s="50"/>
      <c r="M517" s="50"/>
      <c r="N517" s="50"/>
      <c r="O517" s="50"/>
      <c r="P517" s="50"/>
      <c r="Q517" s="50"/>
      <c r="R517" s="50"/>
      <c r="S517" s="50"/>
      <c r="T517" s="50"/>
      <c r="U517" s="50"/>
      <c r="V517" s="50"/>
      <c r="W517" s="50"/>
      <c r="X517" s="50"/>
      <c r="Y517" s="50"/>
      <c r="Z517" s="50"/>
      <c r="AA517" s="50"/>
      <c r="AB517" s="50"/>
    </row>
    <row r="518" customFormat="false" ht="15.75" hidden="false" customHeight="false" outlineLevel="0" collapsed="false">
      <c r="A518" s="50"/>
      <c r="B518" s="50"/>
      <c r="C518" s="5"/>
      <c r="D518" s="48"/>
      <c r="E518" s="50"/>
      <c r="F518" s="5"/>
      <c r="G518" s="5"/>
      <c r="H518" s="5"/>
      <c r="I518" s="5"/>
      <c r="J518" s="5"/>
      <c r="K518" s="50"/>
      <c r="L518" s="50"/>
      <c r="M518" s="50"/>
      <c r="N518" s="50"/>
      <c r="O518" s="50"/>
      <c r="P518" s="50"/>
      <c r="Q518" s="50"/>
      <c r="R518" s="50"/>
      <c r="S518" s="50"/>
      <c r="T518" s="50"/>
      <c r="U518" s="50"/>
      <c r="V518" s="50"/>
      <c r="W518" s="50"/>
      <c r="X518" s="50"/>
      <c r="Y518" s="50"/>
      <c r="Z518" s="50"/>
      <c r="AA518" s="50"/>
      <c r="AB518" s="50"/>
    </row>
    <row r="519" customFormat="false" ht="15.75" hidden="false" customHeight="false" outlineLevel="0" collapsed="false">
      <c r="A519" s="50"/>
      <c r="B519" s="50"/>
      <c r="C519" s="5"/>
      <c r="D519" s="48"/>
      <c r="E519" s="50"/>
      <c r="F519" s="5"/>
      <c r="G519" s="5"/>
      <c r="H519" s="5"/>
      <c r="I519" s="5"/>
      <c r="J519" s="5"/>
      <c r="K519" s="50"/>
      <c r="L519" s="50"/>
      <c r="M519" s="50"/>
      <c r="N519" s="50"/>
      <c r="O519" s="50"/>
      <c r="P519" s="50"/>
      <c r="Q519" s="50"/>
      <c r="R519" s="50"/>
      <c r="S519" s="50"/>
      <c r="T519" s="50"/>
      <c r="U519" s="50"/>
      <c r="V519" s="50"/>
      <c r="W519" s="50"/>
      <c r="X519" s="50"/>
      <c r="Y519" s="50"/>
      <c r="Z519" s="50"/>
      <c r="AA519" s="50"/>
      <c r="AB519" s="50"/>
    </row>
    <row r="520" customFormat="false" ht="15.75" hidden="false" customHeight="false" outlineLevel="0" collapsed="false">
      <c r="A520" s="50"/>
      <c r="B520" s="50"/>
      <c r="C520" s="5"/>
      <c r="D520" s="48"/>
      <c r="E520" s="50"/>
      <c r="F520" s="5"/>
      <c r="G520" s="5"/>
      <c r="H520" s="5"/>
      <c r="I520" s="5"/>
      <c r="J520" s="5"/>
      <c r="K520" s="50"/>
      <c r="L520" s="50"/>
      <c r="M520" s="50"/>
      <c r="N520" s="50"/>
      <c r="O520" s="50"/>
      <c r="P520" s="50"/>
      <c r="Q520" s="50"/>
      <c r="R520" s="50"/>
      <c r="S520" s="50"/>
      <c r="T520" s="50"/>
      <c r="U520" s="50"/>
      <c r="V520" s="50"/>
      <c r="W520" s="50"/>
      <c r="X520" s="50"/>
      <c r="Y520" s="50"/>
      <c r="Z520" s="50"/>
      <c r="AA520" s="50"/>
      <c r="AB520" s="50"/>
    </row>
    <row r="521" customFormat="false" ht="15.75" hidden="false" customHeight="false" outlineLevel="0" collapsed="false">
      <c r="A521" s="50"/>
      <c r="B521" s="50"/>
      <c r="C521" s="5"/>
      <c r="D521" s="48"/>
      <c r="E521" s="50"/>
      <c r="F521" s="5"/>
      <c r="G521" s="5"/>
      <c r="H521" s="5"/>
      <c r="I521" s="5"/>
      <c r="J521" s="5"/>
      <c r="K521" s="50"/>
      <c r="L521" s="50"/>
      <c r="M521" s="50"/>
      <c r="N521" s="50"/>
      <c r="O521" s="50"/>
      <c r="P521" s="50"/>
      <c r="Q521" s="50"/>
      <c r="R521" s="50"/>
      <c r="S521" s="50"/>
      <c r="T521" s="50"/>
      <c r="U521" s="50"/>
      <c r="V521" s="50"/>
      <c r="W521" s="50"/>
      <c r="X521" s="50"/>
      <c r="Y521" s="50"/>
      <c r="Z521" s="50"/>
      <c r="AA521" s="50"/>
      <c r="AB521" s="50"/>
    </row>
    <row r="522" customFormat="false" ht="15.75" hidden="false" customHeight="false" outlineLevel="0" collapsed="false">
      <c r="A522" s="50"/>
      <c r="B522" s="50"/>
      <c r="C522" s="5"/>
      <c r="D522" s="48"/>
      <c r="E522" s="50"/>
      <c r="F522" s="5"/>
      <c r="G522" s="5"/>
      <c r="H522" s="5"/>
      <c r="I522" s="5"/>
      <c r="J522" s="5"/>
      <c r="K522" s="50"/>
      <c r="L522" s="50"/>
      <c r="M522" s="50"/>
      <c r="N522" s="50"/>
      <c r="O522" s="50"/>
      <c r="P522" s="50"/>
      <c r="Q522" s="50"/>
      <c r="R522" s="50"/>
      <c r="S522" s="50"/>
      <c r="T522" s="50"/>
      <c r="U522" s="50"/>
      <c r="V522" s="50"/>
      <c r="W522" s="50"/>
      <c r="X522" s="50"/>
      <c r="Y522" s="50"/>
      <c r="Z522" s="50"/>
      <c r="AA522" s="50"/>
      <c r="AB522" s="50"/>
    </row>
    <row r="523" customFormat="false" ht="15.75" hidden="false" customHeight="false" outlineLevel="0" collapsed="false">
      <c r="A523" s="50"/>
      <c r="B523" s="50"/>
      <c r="C523" s="5"/>
      <c r="D523" s="48"/>
      <c r="E523" s="50"/>
      <c r="F523" s="5"/>
      <c r="G523" s="5"/>
      <c r="H523" s="5"/>
      <c r="I523" s="5"/>
      <c r="J523" s="5"/>
      <c r="K523" s="50"/>
      <c r="L523" s="50"/>
      <c r="M523" s="50"/>
      <c r="N523" s="50"/>
      <c r="O523" s="50"/>
      <c r="P523" s="50"/>
      <c r="Q523" s="50"/>
      <c r="R523" s="50"/>
      <c r="S523" s="50"/>
      <c r="T523" s="50"/>
      <c r="U523" s="50"/>
      <c r="V523" s="50"/>
      <c r="W523" s="50"/>
      <c r="X523" s="50"/>
      <c r="Y523" s="50"/>
      <c r="Z523" s="50"/>
      <c r="AA523" s="50"/>
      <c r="AB523" s="50"/>
    </row>
    <row r="524" customFormat="false" ht="15.75" hidden="false" customHeight="false" outlineLevel="0" collapsed="false">
      <c r="A524" s="50"/>
      <c r="B524" s="50"/>
      <c r="C524" s="5"/>
      <c r="D524" s="48"/>
      <c r="E524" s="50"/>
      <c r="F524" s="5"/>
      <c r="G524" s="5"/>
      <c r="H524" s="5"/>
      <c r="I524" s="5"/>
      <c r="J524" s="5"/>
      <c r="K524" s="50"/>
      <c r="L524" s="50"/>
      <c r="M524" s="50"/>
      <c r="N524" s="50"/>
      <c r="O524" s="50"/>
      <c r="P524" s="50"/>
      <c r="Q524" s="50"/>
      <c r="R524" s="50"/>
      <c r="S524" s="50"/>
      <c r="T524" s="50"/>
      <c r="U524" s="50"/>
      <c r="V524" s="50"/>
      <c r="W524" s="50"/>
      <c r="X524" s="50"/>
      <c r="Y524" s="50"/>
      <c r="Z524" s="50"/>
      <c r="AA524" s="50"/>
      <c r="AB524" s="50"/>
    </row>
    <row r="525" customFormat="false" ht="15.75" hidden="false" customHeight="false" outlineLevel="0" collapsed="false">
      <c r="A525" s="50"/>
      <c r="B525" s="50"/>
      <c r="C525" s="5"/>
      <c r="D525" s="48"/>
      <c r="E525" s="50"/>
      <c r="F525" s="5"/>
      <c r="G525" s="5"/>
      <c r="H525" s="5"/>
      <c r="I525" s="5"/>
      <c r="J525" s="5"/>
      <c r="K525" s="50"/>
      <c r="L525" s="50"/>
      <c r="M525" s="50"/>
      <c r="N525" s="50"/>
      <c r="O525" s="50"/>
      <c r="P525" s="50"/>
      <c r="Q525" s="50"/>
      <c r="R525" s="50"/>
      <c r="S525" s="50"/>
      <c r="T525" s="50"/>
      <c r="U525" s="50"/>
      <c r="V525" s="50"/>
      <c r="W525" s="50"/>
      <c r="X525" s="50"/>
      <c r="Y525" s="50"/>
      <c r="Z525" s="50"/>
      <c r="AA525" s="50"/>
      <c r="AB525" s="50"/>
    </row>
    <row r="526" customFormat="false" ht="15.75" hidden="false" customHeight="false" outlineLevel="0" collapsed="false">
      <c r="A526" s="50"/>
      <c r="B526" s="50"/>
      <c r="C526" s="5"/>
      <c r="D526" s="48"/>
      <c r="E526" s="50"/>
      <c r="F526" s="5"/>
      <c r="G526" s="5"/>
      <c r="H526" s="5"/>
      <c r="I526" s="5"/>
      <c r="J526" s="5"/>
      <c r="K526" s="50"/>
      <c r="L526" s="50"/>
      <c r="M526" s="50"/>
      <c r="N526" s="50"/>
      <c r="O526" s="50"/>
      <c r="P526" s="50"/>
      <c r="Q526" s="50"/>
      <c r="R526" s="50"/>
      <c r="S526" s="50"/>
      <c r="T526" s="50"/>
      <c r="U526" s="50"/>
      <c r="V526" s="50"/>
      <c r="W526" s="50"/>
      <c r="X526" s="50"/>
      <c r="Y526" s="50"/>
      <c r="Z526" s="50"/>
      <c r="AA526" s="50"/>
      <c r="AB526" s="50"/>
    </row>
    <row r="527" customFormat="false" ht="15.75" hidden="false" customHeight="false" outlineLevel="0" collapsed="false">
      <c r="A527" s="50"/>
      <c r="B527" s="50"/>
      <c r="C527" s="5"/>
      <c r="D527" s="48"/>
      <c r="E527" s="50"/>
      <c r="F527" s="5"/>
      <c r="G527" s="5"/>
      <c r="H527" s="5"/>
      <c r="I527" s="5"/>
      <c r="J527" s="5"/>
      <c r="K527" s="50"/>
      <c r="L527" s="50"/>
      <c r="M527" s="50"/>
      <c r="N527" s="50"/>
      <c r="O527" s="50"/>
      <c r="P527" s="50"/>
      <c r="Q527" s="50"/>
      <c r="R527" s="50"/>
      <c r="S527" s="50"/>
      <c r="T527" s="50"/>
      <c r="U527" s="50"/>
      <c r="V527" s="50"/>
      <c r="W527" s="50"/>
      <c r="X527" s="50"/>
      <c r="Y527" s="50"/>
      <c r="Z527" s="50"/>
      <c r="AA527" s="50"/>
      <c r="AB527" s="50"/>
    </row>
    <row r="528" customFormat="false" ht="15.75" hidden="false" customHeight="false" outlineLevel="0" collapsed="false">
      <c r="A528" s="50"/>
      <c r="B528" s="50"/>
      <c r="C528" s="5"/>
      <c r="D528" s="48"/>
      <c r="E528" s="50"/>
      <c r="F528" s="5"/>
      <c r="G528" s="5"/>
      <c r="H528" s="5"/>
      <c r="I528" s="5"/>
      <c r="J528" s="5"/>
      <c r="K528" s="50"/>
      <c r="L528" s="50"/>
      <c r="M528" s="50"/>
      <c r="N528" s="50"/>
      <c r="O528" s="50"/>
      <c r="P528" s="50"/>
      <c r="Q528" s="50"/>
      <c r="R528" s="50"/>
      <c r="S528" s="50"/>
      <c r="T528" s="50"/>
      <c r="U528" s="50"/>
      <c r="V528" s="50"/>
      <c r="W528" s="50"/>
      <c r="X528" s="50"/>
      <c r="Y528" s="50"/>
      <c r="Z528" s="50"/>
      <c r="AA528" s="50"/>
      <c r="AB528" s="50"/>
    </row>
    <row r="529" customFormat="false" ht="15.75" hidden="false" customHeight="false" outlineLevel="0" collapsed="false">
      <c r="A529" s="50"/>
      <c r="B529" s="50"/>
      <c r="C529" s="5"/>
      <c r="D529" s="48"/>
      <c r="E529" s="50"/>
      <c r="F529" s="5"/>
      <c r="G529" s="5"/>
      <c r="H529" s="5"/>
      <c r="I529" s="5"/>
      <c r="J529" s="5"/>
      <c r="K529" s="50"/>
      <c r="L529" s="50"/>
      <c r="M529" s="50"/>
      <c r="N529" s="50"/>
      <c r="O529" s="50"/>
      <c r="P529" s="50"/>
      <c r="Q529" s="50"/>
      <c r="R529" s="50"/>
      <c r="S529" s="50"/>
      <c r="T529" s="50"/>
      <c r="U529" s="50"/>
      <c r="V529" s="50"/>
      <c r="W529" s="50"/>
      <c r="X529" s="50"/>
      <c r="Y529" s="50"/>
      <c r="Z529" s="50"/>
      <c r="AA529" s="50"/>
      <c r="AB529" s="50"/>
    </row>
    <row r="530" customFormat="false" ht="15.75" hidden="false" customHeight="false" outlineLevel="0" collapsed="false">
      <c r="A530" s="50"/>
      <c r="B530" s="50"/>
      <c r="C530" s="5"/>
      <c r="D530" s="48"/>
      <c r="E530" s="50"/>
      <c r="F530" s="5"/>
      <c r="G530" s="5"/>
      <c r="H530" s="5"/>
      <c r="I530" s="5"/>
      <c r="J530" s="5"/>
      <c r="K530" s="50"/>
      <c r="L530" s="50"/>
      <c r="M530" s="50"/>
      <c r="N530" s="50"/>
      <c r="O530" s="50"/>
      <c r="P530" s="50"/>
      <c r="Q530" s="50"/>
      <c r="R530" s="50"/>
      <c r="S530" s="50"/>
      <c r="T530" s="50"/>
      <c r="U530" s="50"/>
      <c r="V530" s="50"/>
      <c r="W530" s="50"/>
      <c r="X530" s="50"/>
      <c r="Y530" s="50"/>
      <c r="Z530" s="50"/>
      <c r="AA530" s="50"/>
      <c r="AB530" s="50"/>
    </row>
    <row r="531" customFormat="false" ht="15.75" hidden="false" customHeight="false" outlineLevel="0" collapsed="false">
      <c r="A531" s="50"/>
      <c r="B531" s="50"/>
      <c r="C531" s="5"/>
      <c r="D531" s="48"/>
      <c r="E531" s="50"/>
      <c r="F531" s="5"/>
      <c r="G531" s="5"/>
      <c r="H531" s="5"/>
      <c r="I531" s="5"/>
      <c r="J531" s="5"/>
      <c r="K531" s="50"/>
      <c r="L531" s="50"/>
      <c r="M531" s="50"/>
      <c r="N531" s="50"/>
      <c r="O531" s="50"/>
      <c r="P531" s="50"/>
      <c r="Q531" s="50"/>
      <c r="R531" s="50"/>
      <c r="S531" s="50"/>
      <c r="T531" s="50"/>
      <c r="U531" s="50"/>
      <c r="V531" s="50"/>
      <c r="W531" s="50"/>
      <c r="X531" s="50"/>
      <c r="Y531" s="50"/>
      <c r="Z531" s="50"/>
      <c r="AA531" s="50"/>
      <c r="AB531" s="50"/>
    </row>
    <row r="532" customFormat="false" ht="15.75" hidden="false" customHeight="false" outlineLevel="0" collapsed="false">
      <c r="A532" s="50"/>
      <c r="B532" s="50"/>
      <c r="C532" s="5"/>
      <c r="D532" s="48"/>
      <c r="E532" s="50"/>
      <c r="F532" s="5"/>
      <c r="G532" s="5"/>
      <c r="H532" s="5"/>
      <c r="I532" s="5"/>
      <c r="J532" s="5"/>
      <c r="K532" s="50"/>
      <c r="L532" s="50"/>
      <c r="M532" s="50"/>
      <c r="N532" s="50"/>
      <c r="O532" s="50"/>
      <c r="P532" s="50"/>
      <c r="Q532" s="50"/>
      <c r="R532" s="50"/>
      <c r="S532" s="50"/>
      <c r="T532" s="50"/>
      <c r="U532" s="50"/>
      <c r="V532" s="50"/>
      <c r="W532" s="50"/>
      <c r="X532" s="50"/>
      <c r="Y532" s="50"/>
      <c r="Z532" s="50"/>
      <c r="AA532" s="50"/>
      <c r="AB532" s="50"/>
    </row>
    <row r="533" customFormat="false" ht="15.75" hidden="false" customHeight="false" outlineLevel="0" collapsed="false">
      <c r="A533" s="50"/>
      <c r="B533" s="50"/>
      <c r="C533" s="5"/>
      <c r="D533" s="48"/>
      <c r="E533" s="50"/>
      <c r="F533" s="5"/>
      <c r="G533" s="5"/>
      <c r="H533" s="5"/>
      <c r="I533" s="5"/>
      <c r="J533" s="5"/>
      <c r="K533" s="50"/>
      <c r="L533" s="50"/>
      <c r="M533" s="50"/>
      <c r="N533" s="50"/>
      <c r="O533" s="50"/>
      <c r="P533" s="50"/>
      <c r="Q533" s="50"/>
      <c r="R533" s="50"/>
      <c r="S533" s="50"/>
      <c r="T533" s="50"/>
      <c r="U533" s="50"/>
      <c r="V533" s="50"/>
      <c r="W533" s="50"/>
      <c r="X533" s="50"/>
      <c r="Y533" s="50"/>
      <c r="Z533" s="50"/>
      <c r="AA533" s="50"/>
      <c r="AB533" s="50"/>
    </row>
    <row r="534" customFormat="false" ht="15.75" hidden="false" customHeight="false" outlineLevel="0" collapsed="false">
      <c r="A534" s="50"/>
      <c r="B534" s="50"/>
      <c r="C534" s="5"/>
      <c r="D534" s="48"/>
      <c r="E534" s="50"/>
      <c r="F534" s="5"/>
      <c r="G534" s="5"/>
      <c r="H534" s="5"/>
      <c r="I534" s="5"/>
      <c r="J534" s="5"/>
      <c r="K534" s="50"/>
      <c r="L534" s="50"/>
      <c r="M534" s="50"/>
      <c r="N534" s="50"/>
      <c r="O534" s="50"/>
      <c r="P534" s="50"/>
      <c r="Q534" s="50"/>
      <c r="R534" s="50"/>
      <c r="S534" s="50"/>
      <c r="T534" s="50"/>
      <c r="U534" s="50"/>
      <c r="V534" s="50"/>
      <c r="W534" s="50"/>
      <c r="X534" s="50"/>
      <c r="Y534" s="50"/>
      <c r="Z534" s="50"/>
      <c r="AA534" s="50"/>
      <c r="AB534" s="50"/>
    </row>
    <row r="535" customFormat="false" ht="15.75" hidden="false" customHeight="false" outlineLevel="0" collapsed="false">
      <c r="A535" s="50"/>
      <c r="B535" s="50"/>
      <c r="C535" s="5"/>
      <c r="D535" s="48"/>
      <c r="E535" s="50"/>
      <c r="F535" s="5"/>
      <c r="G535" s="5"/>
      <c r="H535" s="5"/>
      <c r="I535" s="5"/>
      <c r="J535" s="5"/>
      <c r="K535" s="50"/>
      <c r="L535" s="50"/>
      <c r="M535" s="50"/>
      <c r="N535" s="50"/>
      <c r="O535" s="50"/>
      <c r="P535" s="50"/>
      <c r="Q535" s="50"/>
      <c r="R535" s="50"/>
      <c r="S535" s="50"/>
      <c r="T535" s="50"/>
      <c r="U535" s="50"/>
      <c r="V535" s="50"/>
      <c r="W535" s="50"/>
      <c r="X535" s="50"/>
      <c r="Y535" s="50"/>
      <c r="Z535" s="50"/>
      <c r="AA535" s="50"/>
      <c r="AB535" s="50"/>
    </row>
    <row r="536" customFormat="false" ht="15.75" hidden="false" customHeight="false" outlineLevel="0" collapsed="false">
      <c r="A536" s="50"/>
      <c r="B536" s="50"/>
      <c r="C536" s="5"/>
      <c r="D536" s="48"/>
      <c r="E536" s="50"/>
      <c r="F536" s="5"/>
      <c r="G536" s="5"/>
      <c r="H536" s="5"/>
      <c r="I536" s="5"/>
      <c r="J536" s="5"/>
      <c r="K536" s="50"/>
      <c r="L536" s="50"/>
      <c r="M536" s="50"/>
      <c r="N536" s="50"/>
      <c r="O536" s="50"/>
      <c r="P536" s="50"/>
      <c r="Q536" s="50"/>
      <c r="R536" s="50"/>
      <c r="S536" s="50"/>
      <c r="T536" s="50"/>
      <c r="U536" s="50"/>
      <c r="V536" s="50"/>
      <c r="W536" s="50"/>
      <c r="X536" s="50"/>
      <c r="Y536" s="50"/>
      <c r="Z536" s="50"/>
      <c r="AA536" s="50"/>
      <c r="AB536" s="50"/>
    </row>
    <row r="537" customFormat="false" ht="15.75" hidden="false" customHeight="false" outlineLevel="0" collapsed="false">
      <c r="A537" s="50"/>
      <c r="B537" s="50"/>
      <c r="C537" s="5"/>
      <c r="D537" s="48"/>
      <c r="E537" s="50"/>
      <c r="F537" s="5"/>
      <c r="G537" s="5"/>
      <c r="H537" s="5"/>
      <c r="I537" s="5"/>
      <c r="J537" s="5"/>
      <c r="K537" s="50"/>
      <c r="L537" s="50"/>
      <c r="M537" s="50"/>
      <c r="N537" s="50"/>
      <c r="O537" s="50"/>
      <c r="P537" s="50"/>
      <c r="Q537" s="50"/>
      <c r="R537" s="50"/>
      <c r="S537" s="50"/>
      <c r="T537" s="50"/>
      <c r="U537" s="50"/>
      <c r="V537" s="50"/>
      <c r="W537" s="50"/>
      <c r="X537" s="50"/>
      <c r="Y537" s="50"/>
      <c r="Z537" s="50"/>
      <c r="AA537" s="50"/>
      <c r="AB537" s="50"/>
    </row>
    <row r="538" customFormat="false" ht="15.75" hidden="false" customHeight="false" outlineLevel="0" collapsed="false">
      <c r="A538" s="50"/>
      <c r="B538" s="50"/>
      <c r="C538" s="5"/>
      <c r="D538" s="48"/>
      <c r="E538" s="50"/>
      <c r="F538" s="5"/>
      <c r="G538" s="5"/>
      <c r="H538" s="5"/>
      <c r="I538" s="5"/>
      <c r="J538" s="5"/>
      <c r="K538" s="50"/>
      <c r="L538" s="50"/>
      <c r="M538" s="50"/>
      <c r="N538" s="50"/>
      <c r="O538" s="50"/>
      <c r="P538" s="50"/>
      <c r="Q538" s="50"/>
      <c r="R538" s="50"/>
      <c r="S538" s="50"/>
      <c r="T538" s="50"/>
      <c r="U538" s="50"/>
      <c r="V538" s="50"/>
      <c r="W538" s="50"/>
      <c r="X538" s="50"/>
      <c r="Y538" s="50"/>
      <c r="Z538" s="50"/>
      <c r="AA538" s="50"/>
      <c r="AB538" s="50"/>
    </row>
    <row r="539" customFormat="false" ht="15.75" hidden="false" customHeight="false" outlineLevel="0" collapsed="false">
      <c r="A539" s="50"/>
      <c r="B539" s="50"/>
      <c r="C539" s="5"/>
      <c r="D539" s="48"/>
      <c r="E539" s="50"/>
      <c r="F539" s="5"/>
      <c r="G539" s="5"/>
      <c r="H539" s="5"/>
      <c r="I539" s="5"/>
      <c r="J539" s="5"/>
      <c r="K539" s="50"/>
      <c r="L539" s="50"/>
      <c r="M539" s="50"/>
      <c r="N539" s="50"/>
      <c r="O539" s="50"/>
      <c r="P539" s="50"/>
      <c r="Q539" s="50"/>
      <c r="R539" s="50"/>
      <c r="S539" s="50"/>
      <c r="T539" s="50"/>
      <c r="U539" s="50"/>
      <c r="V539" s="50"/>
      <c r="W539" s="50"/>
      <c r="X539" s="50"/>
      <c r="Y539" s="50"/>
      <c r="Z539" s="50"/>
      <c r="AA539" s="50"/>
      <c r="AB539" s="50"/>
    </row>
    <row r="540" customFormat="false" ht="15.75" hidden="false" customHeight="false" outlineLevel="0" collapsed="false">
      <c r="A540" s="50"/>
      <c r="B540" s="50"/>
      <c r="C540" s="5"/>
      <c r="D540" s="48"/>
      <c r="E540" s="50"/>
      <c r="F540" s="5"/>
      <c r="G540" s="5"/>
      <c r="H540" s="5"/>
      <c r="I540" s="5"/>
      <c r="J540" s="5"/>
      <c r="K540" s="50"/>
      <c r="L540" s="50"/>
      <c r="M540" s="50"/>
      <c r="N540" s="50"/>
      <c r="O540" s="50"/>
      <c r="P540" s="50"/>
      <c r="Q540" s="50"/>
      <c r="R540" s="50"/>
      <c r="S540" s="50"/>
      <c r="T540" s="50"/>
      <c r="U540" s="50"/>
      <c r="V540" s="50"/>
      <c r="W540" s="50"/>
      <c r="X540" s="50"/>
      <c r="Y540" s="50"/>
      <c r="Z540" s="50"/>
      <c r="AA540" s="50"/>
      <c r="AB540" s="50"/>
    </row>
    <row r="541" customFormat="false" ht="15.75" hidden="false" customHeight="false" outlineLevel="0" collapsed="false">
      <c r="A541" s="50"/>
      <c r="B541" s="50"/>
      <c r="C541" s="5"/>
      <c r="D541" s="48"/>
      <c r="E541" s="50"/>
      <c r="F541" s="5"/>
      <c r="G541" s="5"/>
      <c r="H541" s="5"/>
      <c r="I541" s="5"/>
      <c r="J541" s="5"/>
      <c r="K541" s="50"/>
      <c r="L541" s="50"/>
      <c r="M541" s="50"/>
      <c r="N541" s="50"/>
      <c r="O541" s="50"/>
      <c r="P541" s="50"/>
      <c r="Q541" s="50"/>
      <c r="R541" s="50"/>
      <c r="S541" s="50"/>
      <c r="T541" s="50"/>
      <c r="U541" s="50"/>
      <c r="V541" s="50"/>
      <c r="W541" s="50"/>
      <c r="X541" s="50"/>
      <c r="Y541" s="50"/>
      <c r="Z541" s="50"/>
      <c r="AA541" s="50"/>
      <c r="AB541" s="50"/>
    </row>
    <row r="542" customFormat="false" ht="15.75" hidden="false" customHeight="false" outlineLevel="0" collapsed="false">
      <c r="A542" s="50"/>
      <c r="B542" s="50"/>
      <c r="C542" s="5"/>
      <c r="D542" s="48"/>
      <c r="E542" s="50"/>
      <c r="F542" s="5"/>
      <c r="G542" s="5"/>
      <c r="H542" s="5"/>
      <c r="I542" s="5"/>
      <c r="J542" s="5"/>
      <c r="K542" s="50"/>
      <c r="L542" s="50"/>
      <c r="M542" s="50"/>
      <c r="N542" s="50"/>
      <c r="O542" s="50"/>
      <c r="P542" s="50"/>
      <c r="Q542" s="50"/>
      <c r="R542" s="50"/>
      <c r="S542" s="50"/>
      <c r="T542" s="50"/>
      <c r="U542" s="50"/>
      <c r="V542" s="50"/>
      <c r="W542" s="50"/>
      <c r="X542" s="50"/>
      <c r="Y542" s="50"/>
      <c r="Z542" s="50"/>
      <c r="AA542" s="50"/>
      <c r="AB542" s="50"/>
    </row>
    <row r="543" customFormat="false" ht="15.75" hidden="false" customHeight="false" outlineLevel="0" collapsed="false">
      <c r="A543" s="50"/>
      <c r="B543" s="50"/>
      <c r="C543" s="5"/>
      <c r="D543" s="48"/>
      <c r="E543" s="50"/>
      <c r="F543" s="5"/>
      <c r="G543" s="5"/>
      <c r="H543" s="5"/>
      <c r="I543" s="5"/>
      <c r="J543" s="5"/>
      <c r="K543" s="50"/>
      <c r="L543" s="50"/>
      <c r="M543" s="50"/>
      <c r="N543" s="50"/>
      <c r="O543" s="50"/>
      <c r="P543" s="50"/>
      <c r="Q543" s="50"/>
      <c r="R543" s="50"/>
      <c r="S543" s="50"/>
      <c r="T543" s="50"/>
      <c r="U543" s="50"/>
      <c r="V543" s="50"/>
      <c r="W543" s="50"/>
      <c r="X543" s="50"/>
      <c r="Y543" s="50"/>
      <c r="Z543" s="50"/>
      <c r="AA543" s="50"/>
      <c r="AB543" s="50"/>
    </row>
    <row r="544" customFormat="false" ht="15.75" hidden="false" customHeight="false" outlineLevel="0" collapsed="false">
      <c r="A544" s="50"/>
      <c r="B544" s="50"/>
      <c r="C544" s="5"/>
      <c r="D544" s="48"/>
      <c r="E544" s="50"/>
      <c r="F544" s="5"/>
      <c r="G544" s="5"/>
      <c r="H544" s="5"/>
      <c r="I544" s="5"/>
      <c r="J544" s="5"/>
      <c r="K544" s="50"/>
      <c r="L544" s="50"/>
      <c r="M544" s="50"/>
      <c r="N544" s="50"/>
      <c r="O544" s="50"/>
      <c r="P544" s="50"/>
      <c r="Q544" s="50"/>
      <c r="R544" s="50"/>
      <c r="S544" s="50"/>
      <c r="T544" s="50"/>
      <c r="U544" s="50"/>
      <c r="V544" s="50"/>
      <c r="W544" s="50"/>
      <c r="X544" s="50"/>
      <c r="Y544" s="50"/>
      <c r="Z544" s="50"/>
      <c r="AA544" s="50"/>
      <c r="AB544" s="50"/>
    </row>
    <row r="545" customFormat="false" ht="15.75" hidden="false" customHeight="false" outlineLevel="0" collapsed="false">
      <c r="A545" s="50"/>
      <c r="B545" s="50"/>
      <c r="C545" s="5"/>
      <c r="D545" s="48"/>
      <c r="E545" s="50"/>
      <c r="F545" s="5"/>
      <c r="G545" s="5"/>
      <c r="H545" s="5"/>
      <c r="I545" s="5"/>
      <c r="J545" s="5"/>
      <c r="K545" s="50"/>
      <c r="L545" s="50"/>
      <c r="M545" s="50"/>
      <c r="N545" s="50"/>
      <c r="O545" s="50"/>
      <c r="P545" s="50"/>
      <c r="Q545" s="50"/>
      <c r="R545" s="50"/>
      <c r="S545" s="50"/>
      <c r="T545" s="50"/>
      <c r="U545" s="50"/>
      <c r="V545" s="50"/>
      <c r="W545" s="50"/>
      <c r="X545" s="50"/>
      <c r="Y545" s="50"/>
      <c r="Z545" s="50"/>
      <c r="AA545" s="50"/>
      <c r="AB545" s="50"/>
    </row>
    <row r="546" customFormat="false" ht="15.75" hidden="false" customHeight="false" outlineLevel="0" collapsed="false">
      <c r="A546" s="50"/>
      <c r="B546" s="50"/>
      <c r="C546" s="5"/>
      <c r="D546" s="48"/>
      <c r="E546" s="50"/>
      <c r="F546" s="5"/>
      <c r="G546" s="5"/>
      <c r="H546" s="5"/>
      <c r="I546" s="5"/>
      <c r="J546" s="5"/>
      <c r="K546" s="50"/>
      <c r="L546" s="50"/>
      <c r="M546" s="50"/>
      <c r="N546" s="50"/>
      <c r="O546" s="50"/>
      <c r="P546" s="50"/>
      <c r="Q546" s="50"/>
      <c r="R546" s="50"/>
      <c r="S546" s="50"/>
      <c r="T546" s="50"/>
      <c r="U546" s="50"/>
      <c r="V546" s="50"/>
      <c r="W546" s="50"/>
      <c r="X546" s="50"/>
      <c r="Y546" s="50"/>
      <c r="Z546" s="50"/>
      <c r="AA546" s="50"/>
      <c r="AB546" s="50"/>
    </row>
    <row r="547" customFormat="false" ht="15.75" hidden="false" customHeight="false" outlineLevel="0" collapsed="false">
      <c r="A547" s="50"/>
      <c r="B547" s="50"/>
      <c r="C547" s="5"/>
      <c r="D547" s="48"/>
      <c r="E547" s="50"/>
      <c r="F547" s="5"/>
      <c r="G547" s="5"/>
      <c r="H547" s="5"/>
      <c r="I547" s="5"/>
      <c r="J547" s="5"/>
      <c r="K547" s="50"/>
      <c r="L547" s="50"/>
      <c r="M547" s="50"/>
      <c r="N547" s="50"/>
      <c r="O547" s="50"/>
      <c r="P547" s="50"/>
      <c r="Q547" s="50"/>
      <c r="R547" s="50"/>
      <c r="S547" s="50"/>
      <c r="T547" s="50"/>
      <c r="U547" s="50"/>
      <c r="V547" s="50"/>
      <c r="W547" s="50"/>
      <c r="X547" s="50"/>
      <c r="Y547" s="50"/>
      <c r="Z547" s="50"/>
      <c r="AA547" s="50"/>
      <c r="AB547" s="50"/>
    </row>
    <row r="548" customFormat="false" ht="15.75" hidden="false" customHeight="false" outlineLevel="0" collapsed="false">
      <c r="A548" s="50"/>
      <c r="B548" s="50"/>
      <c r="C548" s="5"/>
      <c r="D548" s="48"/>
      <c r="E548" s="50"/>
      <c r="F548" s="5"/>
      <c r="G548" s="5"/>
      <c r="H548" s="5"/>
      <c r="I548" s="5"/>
      <c r="J548" s="5"/>
      <c r="K548" s="50"/>
      <c r="L548" s="50"/>
      <c r="M548" s="50"/>
      <c r="N548" s="50"/>
      <c r="O548" s="50"/>
      <c r="P548" s="50"/>
      <c r="Q548" s="50"/>
      <c r="R548" s="50"/>
      <c r="S548" s="50"/>
      <c r="T548" s="50"/>
      <c r="U548" s="50"/>
      <c r="V548" s="50"/>
      <c r="W548" s="50"/>
      <c r="X548" s="50"/>
      <c r="Y548" s="50"/>
      <c r="Z548" s="50"/>
      <c r="AA548" s="50"/>
      <c r="AB548" s="50"/>
    </row>
    <row r="549" customFormat="false" ht="15.75" hidden="false" customHeight="false" outlineLevel="0" collapsed="false">
      <c r="A549" s="50"/>
      <c r="B549" s="50"/>
      <c r="C549" s="5"/>
      <c r="D549" s="48"/>
      <c r="E549" s="50"/>
      <c r="F549" s="5"/>
      <c r="G549" s="5"/>
      <c r="H549" s="5"/>
      <c r="I549" s="5"/>
      <c r="J549" s="5"/>
      <c r="K549" s="50"/>
      <c r="L549" s="50"/>
      <c r="M549" s="50"/>
      <c r="N549" s="50"/>
      <c r="O549" s="50"/>
      <c r="P549" s="50"/>
      <c r="Q549" s="50"/>
      <c r="R549" s="50"/>
      <c r="S549" s="50"/>
      <c r="T549" s="50"/>
      <c r="U549" s="50"/>
      <c r="V549" s="50"/>
      <c r="W549" s="50"/>
      <c r="X549" s="50"/>
      <c r="Y549" s="50"/>
      <c r="Z549" s="50"/>
      <c r="AA549" s="50"/>
      <c r="AB549" s="50"/>
    </row>
    <row r="550" customFormat="false" ht="15.75" hidden="false" customHeight="false" outlineLevel="0" collapsed="false">
      <c r="A550" s="50"/>
      <c r="B550" s="50"/>
      <c r="C550" s="5"/>
      <c r="D550" s="48"/>
      <c r="E550" s="50"/>
      <c r="F550" s="5"/>
      <c r="G550" s="5"/>
      <c r="H550" s="5"/>
      <c r="I550" s="5"/>
      <c r="J550" s="5"/>
      <c r="K550" s="50"/>
      <c r="L550" s="50"/>
      <c r="M550" s="50"/>
      <c r="N550" s="50"/>
      <c r="O550" s="50"/>
      <c r="P550" s="50"/>
      <c r="Q550" s="50"/>
      <c r="R550" s="50"/>
      <c r="S550" s="50"/>
      <c r="T550" s="50"/>
      <c r="U550" s="50"/>
      <c r="V550" s="50"/>
      <c r="W550" s="50"/>
      <c r="X550" s="50"/>
      <c r="Y550" s="50"/>
      <c r="Z550" s="50"/>
      <c r="AA550" s="50"/>
      <c r="AB550" s="50"/>
    </row>
    <row r="551" customFormat="false" ht="15.75" hidden="false" customHeight="false" outlineLevel="0" collapsed="false">
      <c r="A551" s="50"/>
      <c r="B551" s="50"/>
      <c r="C551" s="5"/>
      <c r="D551" s="48"/>
      <c r="E551" s="50"/>
      <c r="F551" s="5"/>
      <c r="G551" s="5"/>
      <c r="H551" s="5"/>
      <c r="I551" s="5"/>
      <c r="J551" s="5"/>
      <c r="K551" s="50"/>
      <c r="L551" s="50"/>
      <c r="M551" s="50"/>
      <c r="N551" s="50"/>
      <c r="O551" s="50"/>
      <c r="P551" s="50"/>
      <c r="Q551" s="50"/>
      <c r="R551" s="50"/>
      <c r="S551" s="50"/>
      <c r="T551" s="50"/>
      <c r="U551" s="50"/>
      <c r="V551" s="50"/>
      <c r="W551" s="50"/>
      <c r="X551" s="50"/>
      <c r="Y551" s="50"/>
      <c r="Z551" s="50"/>
      <c r="AA551" s="50"/>
      <c r="AB551" s="50"/>
    </row>
    <row r="552" customFormat="false" ht="15.75" hidden="false" customHeight="false" outlineLevel="0" collapsed="false">
      <c r="A552" s="50"/>
      <c r="B552" s="50"/>
      <c r="C552" s="5"/>
      <c r="D552" s="48"/>
      <c r="E552" s="50"/>
      <c r="F552" s="5"/>
      <c r="G552" s="5"/>
      <c r="H552" s="5"/>
      <c r="I552" s="5"/>
      <c r="J552" s="5"/>
      <c r="K552" s="50"/>
      <c r="L552" s="50"/>
      <c r="M552" s="50"/>
      <c r="N552" s="50"/>
      <c r="O552" s="50"/>
      <c r="P552" s="50"/>
      <c r="Q552" s="50"/>
      <c r="R552" s="50"/>
      <c r="S552" s="50"/>
      <c r="T552" s="50"/>
      <c r="U552" s="50"/>
      <c r="V552" s="50"/>
      <c r="W552" s="50"/>
      <c r="X552" s="50"/>
      <c r="Y552" s="50"/>
      <c r="Z552" s="50"/>
      <c r="AA552" s="50"/>
      <c r="AB552" s="50"/>
    </row>
    <row r="553" customFormat="false" ht="15.75" hidden="false" customHeight="false" outlineLevel="0" collapsed="false">
      <c r="A553" s="50"/>
      <c r="B553" s="50"/>
      <c r="C553" s="5"/>
      <c r="D553" s="48"/>
      <c r="E553" s="50"/>
      <c r="F553" s="5"/>
      <c r="G553" s="5"/>
      <c r="H553" s="5"/>
      <c r="I553" s="5"/>
      <c r="J553" s="5"/>
      <c r="K553" s="50"/>
      <c r="L553" s="50"/>
      <c r="M553" s="50"/>
      <c r="N553" s="50"/>
      <c r="O553" s="50"/>
      <c r="P553" s="50"/>
      <c r="Q553" s="50"/>
      <c r="R553" s="50"/>
      <c r="S553" s="50"/>
      <c r="T553" s="50"/>
      <c r="U553" s="50"/>
      <c r="V553" s="50"/>
      <c r="W553" s="50"/>
      <c r="X553" s="50"/>
      <c r="Y553" s="50"/>
      <c r="Z553" s="50"/>
      <c r="AA553" s="50"/>
      <c r="AB553" s="50"/>
    </row>
    <row r="554" customFormat="false" ht="15.75" hidden="false" customHeight="false" outlineLevel="0" collapsed="false">
      <c r="A554" s="50"/>
      <c r="B554" s="50"/>
      <c r="C554" s="5"/>
      <c r="D554" s="48"/>
      <c r="E554" s="50"/>
      <c r="F554" s="5"/>
      <c r="G554" s="5"/>
      <c r="H554" s="5"/>
      <c r="I554" s="5"/>
      <c r="J554" s="5"/>
      <c r="K554" s="50"/>
      <c r="L554" s="50"/>
      <c r="M554" s="50"/>
      <c r="N554" s="50"/>
      <c r="O554" s="50"/>
      <c r="P554" s="50"/>
      <c r="Q554" s="50"/>
      <c r="R554" s="50"/>
      <c r="S554" s="50"/>
      <c r="T554" s="50"/>
      <c r="U554" s="50"/>
      <c r="V554" s="50"/>
      <c r="W554" s="50"/>
      <c r="X554" s="50"/>
      <c r="Y554" s="50"/>
      <c r="Z554" s="50"/>
      <c r="AA554" s="50"/>
      <c r="AB554" s="50"/>
    </row>
    <row r="555" customFormat="false" ht="15.75" hidden="false" customHeight="false" outlineLevel="0" collapsed="false">
      <c r="A555" s="50"/>
      <c r="B555" s="50"/>
      <c r="C555" s="5"/>
      <c r="D555" s="48"/>
      <c r="E555" s="50"/>
      <c r="F555" s="5"/>
      <c r="G555" s="5"/>
      <c r="H555" s="5"/>
      <c r="I555" s="5"/>
      <c r="J555" s="5"/>
      <c r="K555" s="50"/>
      <c r="L555" s="50"/>
      <c r="M555" s="50"/>
      <c r="N555" s="50"/>
      <c r="O555" s="50"/>
      <c r="P555" s="50"/>
      <c r="Q555" s="50"/>
      <c r="R555" s="50"/>
      <c r="S555" s="50"/>
      <c r="T555" s="50"/>
      <c r="U555" s="50"/>
      <c r="V555" s="50"/>
      <c r="W555" s="50"/>
      <c r="X555" s="50"/>
      <c r="Y555" s="50"/>
      <c r="Z555" s="50"/>
      <c r="AA555" s="50"/>
      <c r="AB555" s="50"/>
    </row>
    <row r="556" customFormat="false" ht="15.75" hidden="false" customHeight="false" outlineLevel="0" collapsed="false">
      <c r="A556" s="50"/>
      <c r="B556" s="50"/>
      <c r="C556" s="5"/>
      <c r="D556" s="48"/>
      <c r="E556" s="50"/>
      <c r="F556" s="5"/>
      <c r="G556" s="5"/>
      <c r="H556" s="5"/>
      <c r="I556" s="5"/>
      <c r="J556" s="5"/>
      <c r="K556" s="50"/>
      <c r="L556" s="50"/>
      <c r="M556" s="50"/>
      <c r="N556" s="50"/>
      <c r="O556" s="50"/>
      <c r="P556" s="50"/>
      <c r="Q556" s="50"/>
      <c r="R556" s="50"/>
      <c r="S556" s="50"/>
      <c r="T556" s="50"/>
      <c r="U556" s="50"/>
      <c r="V556" s="50"/>
      <c r="W556" s="50"/>
      <c r="X556" s="50"/>
      <c r="Y556" s="50"/>
      <c r="Z556" s="50"/>
      <c r="AA556" s="50"/>
      <c r="AB556" s="50"/>
    </row>
    <row r="557" customFormat="false" ht="15.75" hidden="false" customHeight="false" outlineLevel="0" collapsed="false">
      <c r="A557" s="50"/>
      <c r="B557" s="50"/>
      <c r="C557" s="5"/>
      <c r="D557" s="48"/>
      <c r="E557" s="50"/>
      <c r="F557" s="5"/>
      <c r="G557" s="5"/>
      <c r="H557" s="5"/>
      <c r="I557" s="5"/>
      <c r="J557" s="5"/>
      <c r="K557" s="50"/>
      <c r="L557" s="50"/>
      <c r="M557" s="50"/>
      <c r="N557" s="50"/>
      <c r="O557" s="50"/>
      <c r="P557" s="50"/>
      <c r="Q557" s="50"/>
      <c r="R557" s="50"/>
      <c r="S557" s="50"/>
      <c r="T557" s="50"/>
      <c r="U557" s="50"/>
      <c r="V557" s="50"/>
      <c r="W557" s="50"/>
      <c r="X557" s="50"/>
      <c r="Y557" s="50"/>
      <c r="Z557" s="50"/>
      <c r="AA557" s="50"/>
      <c r="AB557" s="50"/>
    </row>
    <row r="558" customFormat="false" ht="15.75" hidden="false" customHeight="false" outlineLevel="0" collapsed="false">
      <c r="A558" s="50"/>
      <c r="B558" s="50"/>
      <c r="C558" s="5"/>
      <c r="D558" s="48"/>
      <c r="E558" s="50"/>
      <c r="F558" s="5"/>
      <c r="G558" s="5"/>
      <c r="H558" s="5"/>
      <c r="I558" s="5"/>
      <c r="J558" s="5"/>
      <c r="K558" s="50"/>
      <c r="L558" s="50"/>
      <c r="M558" s="50"/>
      <c r="N558" s="50"/>
      <c r="O558" s="50"/>
      <c r="P558" s="50"/>
      <c r="Q558" s="50"/>
      <c r="R558" s="50"/>
      <c r="S558" s="50"/>
      <c r="T558" s="50"/>
      <c r="U558" s="50"/>
      <c r="V558" s="50"/>
      <c r="W558" s="50"/>
      <c r="X558" s="50"/>
      <c r="Y558" s="50"/>
      <c r="Z558" s="50"/>
      <c r="AA558" s="50"/>
      <c r="AB558" s="50"/>
    </row>
    <row r="559" customFormat="false" ht="15.75" hidden="false" customHeight="false" outlineLevel="0" collapsed="false">
      <c r="A559" s="50"/>
      <c r="B559" s="50"/>
      <c r="C559" s="5"/>
      <c r="D559" s="48"/>
      <c r="E559" s="50"/>
      <c r="F559" s="5"/>
      <c r="G559" s="5"/>
      <c r="H559" s="5"/>
      <c r="I559" s="5"/>
      <c r="J559" s="5"/>
      <c r="K559" s="50"/>
      <c r="L559" s="50"/>
      <c r="M559" s="50"/>
      <c r="N559" s="50"/>
      <c r="O559" s="50"/>
      <c r="P559" s="50"/>
      <c r="Q559" s="50"/>
      <c r="R559" s="50"/>
      <c r="S559" s="50"/>
      <c r="T559" s="50"/>
      <c r="U559" s="50"/>
      <c r="V559" s="50"/>
      <c r="W559" s="50"/>
      <c r="X559" s="50"/>
      <c r="Y559" s="50"/>
      <c r="Z559" s="50"/>
      <c r="AA559" s="50"/>
      <c r="AB559" s="50"/>
    </row>
    <row r="560" customFormat="false" ht="15.75" hidden="false" customHeight="false" outlineLevel="0" collapsed="false">
      <c r="A560" s="50"/>
      <c r="B560" s="50"/>
      <c r="C560" s="5"/>
      <c r="D560" s="48"/>
      <c r="E560" s="50"/>
      <c r="F560" s="5"/>
      <c r="G560" s="5"/>
      <c r="H560" s="5"/>
      <c r="I560" s="5"/>
      <c r="J560" s="5"/>
      <c r="K560" s="50"/>
      <c r="L560" s="50"/>
      <c r="M560" s="50"/>
      <c r="N560" s="50"/>
      <c r="O560" s="50"/>
      <c r="P560" s="50"/>
      <c r="Q560" s="50"/>
      <c r="R560" s="50"/>
      <c r="S560" s="50"/>
      <c r="T560" s="50"/>
      <c r="U560" s="50"/>
      <c r="V560" s="50"/>
      <c r="W560" s="50"/>
      <c r="X560" s="50"/>
      <c r="Y560" s="50"/>
      <c r="Z560" s="50"/>
      <c r="AA560" s="50"/>
      <c r="AB560" s="50"/>
    </row>
    <row r="561" customFormat="false" ht="15.75" hidden="false" customHeight="false" outlineLevel="0" collapsed="false">
      <c r="A561" s="50"/>
      <c r="B561" s="50"/>
      <c r="C561" s="5"/>
      <c r="D561" s="48"/>
      <c r="E561" s="50"/>
      <c r="F561" s="5"/>
      <c r="G561" s="5"/>
      <c r="H561" s="5"/>
      <c r="I561" s="5"/>
      <c r="J561" s="5"/>
      <c r="K561" s="50"/>
      <c r="L561" s="50"/>
      <c r="M561" s="50"/>
      <c r="N561" s="50"/>
      <c r="O561" s="50"/>
      <c r="P561" s="50"/>
      <c r="Q561" s="50"/>
      <c r="R561" s="50"/>
      <c r="S561" s="50"/>
      <c r="T561" s="50"/>
      <c r="U561" s="50"/>
      <c r="V561" s="50"/>
      <c r="W561" s="50"/>
      <c r="X561" s="50"/>
      <c r="Y561" s="50"/>
      <c r="Z561" s="50"/>
      <c r="AA561" s="50"/>
      <c r="AB561" s="50"/>
    </row>
    <row r="562" customFormat="false" ht="15.75" hidden="false" customHeight="false" outlineLevel="0" collapsed="false">
      <c r="A562" s="50"/>
      <c r="B562" s="50"/>
      <c r="C562" s="5"/>
      <c r="D562" s="48"/>
      <c r="E562" s="50"/>
      <c r="F562" s="5"/>
      <c r="G562" s="5"/>
      <c r="H562" s="5"/>
      <c r="I562" s="5"/>
      <c r="J562" s="5"/>
      <c r="K562" s="50"/>
      <c r="L562" s="50"/>
      <c r="M562" s="50"/>
      <c r="N562" s="50"/>
      <c r="O562" s="50"/>
      <c r="P562" s="50"/>
      <c r="Q562" s="50"/>
      <c r="R562" s="50"/>
      <c r="S562" s="50"/>
      <c r="T562" s="50"/>
      <c r="U562" s="50"/>
      <c r="V562" s="50"/>
      <c r="W562" s="50"/>
      <c r="X562" s="50"/>
      <c r="Y562" s="50"/>
      <c r="Z562" s="50"/>
      <c r="AA562" s="50"/>
      <c r="AB562" s="50"/>
    </row>
    <row r="563" customFormat="false" ht="15.75" hidden="false" customHeight="false" outlineLevel="0" collapsed="false">
      <c r="A563" s="50"/>
      <c r="B563" s="50"/>
      <c r="C563" s="5"/>
      <c r="D563" s="48"/>
      <c r="E563" s="50"/>
      <c r="F563" s="5"/>
      <c r="G563" s="5"/>
      <c r="H563" s="5"/>
      <c r="I563" s="5"/>
      <c r="J563" s="5"/>
      <c r="K563" s="50"/>
      <c r="L563" s="50"/>
      <c r="M563" s="50"/>
      <c r="N563" s="50"/>
      <c r="O563" s="50"/>
      <c r="P563" s="50"/>
      <c r="Q563" s="50"/>
      <c r="R563" s="50"/>
      <c r="S563" s="50"/>
      <c r="T563" s="50"/>
      <c r="U563" s="50"/>
      <c r="V563" s="50"/>
      <c r="W563" s="50"/>
      <c r="X563" s="50"/>
      <c r="Y563" s="50"/>
      <c r="Z563" s="50"/>
      <c r="AA563" s="50"/>
      <c r="AB563" s="50"/>
    </row>
    <row r="564" customFormat="false" ht="15.75" hidden="false" customHeight="false" outlineLevel="0" collapsed="false">
      <c r="A564" s="50"/>
      <c r="B564" s="50"/>
      <c r="C564" s="5"/>
      <c r="D564" s="48"/>
      <c r="E564" s="50"/>
      <c r="F564" s="5"/>
      <c r="G564" s="5"/>
      <c r="H564" s="5"/>
      <c r="I564" s="5"/>
      <c r="J564" s="5"/>
      <c r="K564" s="50"/>
      <c r="L564" s="50"/>
      <c r="M564" s="50"/>
      <c r="N564" s="50"/>
      <c r="O564" s="50"/>
      <c r="P564" s="50"/>
      <c r="Q564" s="50"/>
      <c r="R564" s="50"/>
      <c r="S564" s="50"/>
      <c r="T564" s="50"/>
      <c r="U564" s="50"/>
      <c r="V564" s="50"/>
      <c r="W564" s="50"/>
      <c r="X564" s="50"/>
      <c r="Y564" s="50"/>
      <c r="Z564" s="50"/>
      <c r="AA564" s="50"/>
      <c r="AB564" s="50"/>
    </row>
    <row r="565" customFormat="false" ht="15.75" hidden="false" customHeight="false" outlineLevel="0" collapsed="false">
      <c r="A565" s="50"/>
      <c r="B565" s="50"/>
      <c r="C565" s="5"/>
      <c r="D565" s="48"/>
      <c r="E565" s="50"/>
      <c r="F565" s="5"/>
      <c r="G565" s="5"/>
      <c r="H565" s="5"/>
      <c r="I565" s="5"/>
      <c r="J565" s="5"/>
      <c r="K565" s="50"/>
      <c r="L565" s="50"/>
      <c r="M565" s="50"/>
      <c r="N565" s="50"/>
      <c r="O565" s="50"/>
      <c r="P565" s="50"/>
      <c r="Q565" s="50"/>
      <c r="R565" s="50"/>
      <c r="S565" s="50"/>
      <c r="T565" s="50"/>
      <c r="U565" s="50"/>
      <c r="V565" s="50"/>
      <c r="W565" s="50"/>
      <c r="X565" s="50"/>
      <c r="Y565" s="50"/>
      <c r="Z565" s="50"/>
      <c r="AA565" s="50"/>
      <c r="AB565" s="50"/>
    </row>
    <row r="566" customFormat="false" ht="15.75" hidden="false" customHeight="false" outlineLevel="0" collapsed="false">
      <c r="A566" s="50"/>
      <c r="B566" s="50"/>
      <c r="C566" s="5"/>
      <c r="D566" s="48"/>
      <c r="E566" s="50"/>
      <c r="F566" s="5"/>
      <c r="G566" s="5"/>
      <c r="H566" s="5"/>
      <c r="I566" s="5"/>
      <c r="J566" s="5"/>
      <c r="K566" s="50"/>
      <c r="L566" s="50"/>
      <c r="M566" s="50"/>
      <c r="N566" s="50"/>
      <c r="O566" s="50"/>
      <c r="P566" s="50"/>
      <c r="Q566" s="50"/>
      <c r="R566" s="50"/>
      <c r="S566" s="50"/>
      <c r="T566" s="50"/>
      <c r="U566" s="50"/>
      <c r="V566" s="50"/>
      <c r="W566" s="50"/>
      <c r="X566" s="50"/>
      <c r="Y566" s="50"/>
      <c r="Z566" s="50"/>
      <c r="AA566" s="50"/>
      <c r="AB566" s="50"/>
    </row>
    <row r="567" customFormat="false" ht="15.75" hidden="false" customHeight="false" outlineLevel="0" collapsed="false">
      <c r="A567" s="50"/>
      <c r="B567" s="50"/>
      <c r="C567" s="5"/>
      <c r="D567" s="48"/>
      <c r="E567" s="50"/>
      <c r="F567" s="5"/>
      <c r="G567" s="5"/>
      <c r="H567" s="5"/>
      <c r="I567" s="5"/>
      <c r="J567" s="5"/>
      <c r="K567" s="50"/>
      <c r="L567" s="50"/>
      <c r="M567" s="50"/>
      <c r="N567" s="50"/>
      <c r="O567" s="50"/>
      <c r="P567" s="50"/>
      <c r="Q567" s="50"/>
      <c r="R567" s="50"/>
      <c r="S567" s="50"/>
      <c r="T567" s="50"/>
      <c r="U567" s="50"/>
      <c r="V567" s="50"/>
      <c r="W567" s="50"/>
      <c r="X567" s="50"/>
      <c r="Y567" s="50"/>
      <c r="Z567" s="50"/>
      <c r="AA567" s="50"/>
      <c r="AB567" s="50"/>
    </row>
    <row r="568" customFormat="false" ht="15.75" hidden="false" customHeight="false" outlineLevel="0" collapsed="false">
      <c r="A568" s="50"/>
      <c r="B568" s="50"/>
      <c r="C568" s="5"/>
      <c r="D568" s="48"/>
      <c r="E568" s="50"/>
      <c r="F568" s="5"/>
      <c r="G568" s="5"/>
      <c r="H568" s="5"/>
      <c r="I568" s="5"/>
      <c r="J568" s="5"/>
      <c r="K568" s="50"/>
      <c r="L568" s="50"/>
      <c r="M568" s="50"/>
      <c r="N568" s="50"/>
      <c r="O568" s="50"/>
      <c r="P568" s="50"/>
      <c r="Q568" s="50"/>
      <c r="R568" s="50"/>
      <c r="S568" s="50"/>
      <c r="T568" s="50"/>
      <c r="U568" s="50"/>
      <c r="V568" s="50"/>
      <c r="W568" s="50"/>
      <c r="X568" s="50"/>
      <c r="Y568" s="50"/>
      <c r="Z568" s="50"/>
      <c r="AA568" s="50"/>
      <c r="AB568" s="50"/>
    </row>
    <row r="569" customFormat="false" ht="15.75" hidden="false" customHeight="false" outlineLevel="0" collapsed="false">
      <c r="A569" s="50"/>
      <c r="B569" s="50"/>
      <c r="C569" s="5"/>
      <c r="D569" s="48"/>
      <c r="E569" s="50"/>
      <c r="F569" s="5"/>
      <c r="G569" s="5"/>
      <c r="H569" s="5"/>
      <c r="I569" s="5"/>
      <c r="J569" s="5"/>
      <c r="K569" s="50"/>
      <c r="L569" s="50"/>
      <c r="M569" s="50"/>
      <c r="N569" s="50"/>
      <c r="O569" s="50"/>
      <c r="P569" s="50"/>
      <c r="Q569" s="50"/>
      <c r="R569" s="50"/>
      <c r="S569" s="50"/>
      <c r="T569" s="50"/>
      <c r="U569" s="50"/>
      <c r="V569" s="50"/>
      <c r="W569" s="50"/>
      <c r="X569" s="50"/>
      <c r="Y569" s="50"/>
      <c r="Z569" s="50"/>
      <c r="AA569" s="50"/>
      <c r="AB569" s="50"/>
    </row>
    <row r="570" customFormat="false" ht="15.75" hidden="false" customHeight="false" outlineLevel="0" collapsed="false">
      <c r="A570" s="50"/>
      <c r="B570" s="50"/>
      <c r="C570" s="5"/>
      <c r="D570" s="48"/>
      <c r="E570" s="50"/>
      <c r="F570" s="5"/>
      <c r="G570" s="5"/>
      <c r="H570" s="5"/>
      <c r="I570" s="5"/>
      <c r="J570" s="5"/>
      <c r="K570" s="50"/>
      <c r="L570" s="50"/>
      <c r="M570" s="50"/>
      <c r="N570" s="50"/>
      <c r="O570" s="50"/>
      <c r="P570" s="50"/>
      <c r="Q570" s="50"/>
      <c r="R570" s="50"/>
      <c r="S570" s="50"/>
      <c r="T570" s="50"/>
      <c r="U570" s="50"/>
      <c r="V570" s="50"/>
      <c r="W570" s="50"/>
      <c r="X570" s="50"/>
      <c r="Y570" s="50"/>
      <c r="Z570" s="50"/>
      <c r="AA570" s="50"/>
      <c r="AB570" s="50"/>
    </row>
    <row r="571" customFormat="false" ht="15.75" hidden="false" customHeight="false" outlineLevel="0" collapsed="false">
      <c r="A571" s="50"/>
      <c r="B571" s="50"/>
      <c r="C571" s="5"/>
      <c r="D571" s="48"/>
      <c r="E571" s="50"/>
      <c r="F571" s="5"/>
      <c r="G571" s="5"/>
      <c r="H571" s="5"/>
      <c r="I571" s="5"/>
      <c r="J571" s="5"/>
      <c r="K571" s="50"/>
      <c r="L571" s="50"/>
      <c r="M571" s="50"/>
      <c r="N571" s="50"/>
      <c r="O571" s="50"/>
      <c r="P571" s="50"/>
      <c r="Q571" s="50"/>
      <c r="R571" s="50"/>
      <c r="S571" s="50"/>
      <c r="T571" s="50"/>
      <c r="U571" s="50"/>
      <c r="V571" s="50"/>
      <c r="W571" s="50"/>
      <c r="X571" s="50"/>
      <c r="Y571" s="50"/>
      <c r="Z571" s="50"/>
      <c r="AA571" s="50"/>
      <c r="AB571" s="50"/>
    </row>
    <row r="572" customFormat="false" ht="15.75" hidden="false" customHeight="false" outlineLevel="0" collapsed="false">
      <c r="A572" s="50"/>
      <c r="B572" s="50"/>
      <c r="C572" s="5"/>
      <c r="D572" s="48"/>
      <c r="E572" s="50"/>
      <c r="F572" s="5"/>
      <c r="G572" s="5"/>
      <c r="H572" s="5"/>
      <c r="I572" s="5"/>
      <c r="J572" s="5"/>
      <c r="K572" s="50"/>
      <c r="L572" s="50"/>
      <c r="M572" s="50"/>
      <c r="N572" s="50"/>
      <c r="O572" s="50"/>
      <c r="P572" s="50"/>
      <c r="Q572" s="50"/>
      <c r="R572" s="50"/>
      <c r="S572" s="50"/>
      <c r="T572" s="50"/>
      <c r="U572" s="50"/>
      <c r="V572" s="50"/>
      <c r="W572" s="50"/>
      <c r="X572" s="50"/>
      <c r="Y572" s="50"/>
      <c r="Z572" s="50"/>
      <c r="AA572" s="50"/>
      <c r="AB572" s="50"/>
    </row>
    <row r="573" customFormat="false" ht="15.75" hidden="false" customHeight="false" outlineLevel="0" collapsed="false">
      <c r="A573" s="50"/>
      <c r="B573" s="50"/>
      <c r="C573" s="5"/>
      <c r="D573" s="48"/>
      <c r="E573" s="50"/>
      <c r="F573" s="5"/>
      <c r="G573" s="5"/>
      <c r="H573" s="5"/>
      <c r="I573" s="5"/>
      <c r="J573" s="5"/>
      <c r="K573" s="50"/>
      <c r="L573" s="50"/>
      <c r="M573" s="50"/>
      <c r="N573" s="50"/>
      <c r="O573" s="50"/>
      <c r="P573" s="50"/>
      <c r="Q573" s="50"/>
      <c r="R573" s="50"/>
      <c r="S573" s="50"/>
      <c r="T573" s="50"/>
      <c r="U573" s="50"/>
      <c r="V573" s="50"/>
      <c r="W573" s="50"/>
      <c r="X573" s="50"/>
      <c r="Y573" s="50"/>
      <c r="Z573" s="50"/>
      <c r="AA573" s="50"/>
      <c r="AB573" s="50"/>
    </row>
    <row r="574" customFormat="false" ht="15.75" hidden="false" customHeight="false" outlineLevel="0" collapsed="false">
      <c r="A574" s="50"/>
      <c r="B574" s="50"/>
      <c r="C574" s="5"/>
      <c r="D574" s="48"/>
      <c r="E574" s="50"/>
      <c r="F574" s="5"/>
      <c r="G574" s="5"/>
      <c r="H574" s="5"/>
      <c r="I574" s="5"/>
      <c r="J574" s="5"/>
      <c r="K574" s="50"/>
      <c r="L574" s="50"/>
      <c r="M574" s="50"/>
      <c r="N574" s="50"/>
      <c r="O574" s="50"/>
      <c r="P574" s="50"/>
      <c r="Q574" s="50"/>
      <c r="R574" s="50"/>
      <c r="S574" s="50"/>
      <c r="T574" s="50"/>
      <c r="U574" s="50"/>
      <c r="V574" s="50"/>
      <c r="W574" s="50"/>
      <c r="X574" s="50"/>
      <c r="Y574" s="50"/>
      <c r="Z574" s="50"/>
      <c r="AA574" s="50"/>
      <c r="AB574" s="50"/>
    </row>
    <row r="575" customFormat="false" ht="15.75" hidden="false" customHeight="false" outlineLevel="0" collapsed="false">
      <c r="A575" s="50"/>
      <c r="B575" s="50"/>
      <c r="C575" s="5"/>
      <c r="D575" s="48"/>
      <c r="E575" s="50"/>
      <c r="F575" s="5"/>
      <c r="G575" s="5"/>
      <c r="H575" s="5"/>
      <c r="I575" s="5"/>
      <c r="J575" s="5"/>
      <c r="K575" s="50"/>
      <c r="L575" s="50"/>
      <c r="M575" s="50"/>
      <c r="N575" s="50"/>
      <c r="O575" s="50"/>
      <c r="P575" s="50"/>
      <c r="Q575" s="50"/>
      <c r="R575" s="50"/>
      <c r="S575" s="50"/>
      <c r="T575" s="50"/>
      <c r="U575" s="50"/>
      <c r="V575" s="50"/>
      <c r="W575" s="50"/>
      <c r="X575" s="50"/>
      <c r="Y575" s="50"/>
      <c r="Z575" s="50"/>
      <c r="AA575" s="50"/>
      <c r="AB575" s="50"/>
    </row>
    <row r="576" customFormat="false" ht="15.75" hidden="false" customHeight="false" outlineLevel="0" collapsed="false">
      <c r="A576" s="50"/>
      <c r="B576" s="50"/>
      <c r="C576" s="5"/>
      <c r="D576" s="48"/>
      <c r="E576" s="50"/>
      <c r="F576" s="5"/>
      <c r="G576" s="5"/>
      <c r="H576" s="5"/>
      <c r="I576" s="5"/>
      <c r="J576" s="5"/>
      <c r="K576" s="50"/>
      <c r="L576" s="50"/>
      <c r="M576" s="50"/>
      <c r="N576" s="50"/>
      <c r="O576" s="50"/>
      <c r="P576" s="50"/>
      <c r="Q576" s="50"/>
      <c r="R576" s="50"/>
      <c r="S576" s="50"/>
      <c r="T576" s="50"/>
      <c r="U576" s="50"/>
      <c r="V576" s="50"/>
      <c r="W576" s="50"/>
      <c r="X576" s="50"/>
      <c r="Y576" s="50"/>
      <c r="Z576" s="50"/>
      <c r="AA576" s="50"/>
      <c r="AB576" s="50"/>
    </row>
    <row r="577" customFormat="false" ht="15.75" hidden="false" customHeight="false" outlineLevel="0" collapsed="false">
      <c r="A577" s="50"/>
      <c r="B577" s="50"/>
      <c r="C577" s="5"/>
      <c r="D577" s="48"/>
      <c r="E577" s="50"/>
      <c r="F577" s="5"/>
      <c r="G577" s="5"/>
      <c r="H577" s="5"/>
      <c r="I577" s="5"/>
      <c r="J577" s="5"/>
      <c r="K577" s="50"/>
      <c r="L577" s="50"/>
      <c r="M577" s="50"/>
      <c r="N577" s="50"/>
      <c r="O577" s="50"/>
      <c r="P577" s="50"/>
      <c r="Q577" s="50"/>
      <c r="R577" s="50"/>
      <c r="S577" s="50"/>
      <c r="T577" s="50"/>
      <c r="U577" s="50"/>
      <c r="V577" s="50"/>
      <c r="W577" s="50"/>
      <c r="X577" s="50"/>
      <c r="Y577" s="50"/>
      <c r="Z577" s="50"/>
      <c r="AA577" s="50"/>
      <c r="AB577" s="50"/>
    </row>
    <row r="578" customFormat="false" ht="15.75" hidden="false" customHeight="false" outlineLevel="0" collapsed="false">
      <c r="A578" s="50"/>
      <c r="B578" s="50"/>
      <c r="C578" s="5"/>
      <c r="D578" s="48"/>
      <c r="E578" s="50"/>
      <c r="F578" s="5"/>
      <c r="G578" s="5"/>
      <c r="H578" s="5"/>
      <c r="I578" s="5"/>
      <c r="J578" s="5"/>
      <c r="K578" s="50"/>
      <c r="L578" s="50"/>
      <c r="M578" s="50"/>
      <c r="N578" s="50"/>
      <c r="O578" s="50"/>
      <c r="P578" s="50"/>
      <c r="Q578" s="50"/>
      <c r="R578" s="50"/>
      <c r="S578" s="50"/>
      <c r="T578" s="50"/>
      <c r="U578" s="50"/>
      <c r="V578" s="50"/>
      <c r="W578" s="50"/>
      <c r="X578" s="50"/>
      <c r="Y578" s="50"/>
      <c r="Z578" s="50"/>
      <c r="AA578" s="50"/>
      <c r="AB578" s="50"/>
    </row>
    <row r="579" customFormat="false" ht="15.75" hidden="false" customHeight="false" outlineLevel="0" collapsed="false">
      <c r="A579" s="50"/>
      <c r="B579" s="50"/>
      <c r="C579" s="5"/>
      <c r="D579" s="48"/>
      <c r="E579" s="50"/>
      <c r="F579" s="5"/>
      <c r="G579" s="5"/>
      <c r="H579" s="5"/>
      <c r="I579" s="5"/>
      <c r="J579" s="5"/>
      <c r="K579" s="50"/>
      <c r="L579" s="50"/>
      <c r="M579" s="50"/>
      <c r="N579" s="50"/>
      <c r="O579" s="50"/>
      <c r="P579" s="50"/>
      <c r="Q579" s="50"/>
      <c r="R579" s="50"/>
      <c r="S579" s="50"/>
      <c r="T579" s="50"/>
      <c r="U579" s="50"/>
      <c r="V579" s="50"/>
      <c r="W579" s="50"/>
      <c r="X579" s="50"/>
      <c r="Y579" s="50"/>
      <c r="Z579" s="50"/>
      <c r="AA579" s="50"/>
      <c r="AB579" s="50"/>
    </row>
    <row r="580" customFormat="false" ht="15.75" hidden="false" customHeight="false" outlineLevel="0" collapsed="false">
      <c r="A580" s="50"/>
      <c r="B580" s="50"/>
      <c r="C580" s="5"/>
      <c r="D580" s="48"/>
      <c r="E580" s="50"/>
      <c r="F580" s="5"/>
      <c r="G580" s="5"/>
      <c r="H580" s="5"/>
      <c r="I580" s="5"/>
      <c r="J580" s="5"/>
      <c r="K580" s="50"/>
      <c r="L580" s="50"/>
      <c r="M580" s="50"/>
      <c r="N580" s="50"/>
      <c r="O580" s="50"/>
      <c r="P580" s="50"/>
      <c r="Q580" s="50"/>
      <c r="R580" s="50"/>
      <c r="S580" s="50"/>
      <c r="T580" s="50"/>
      <c r="U580" s="50"/>
      <c r="V580" s="50"/>
      <c r="W580" s="50"/>
      <c r="X580" s="50"/>
      <c r="Y580" s="50"/>
      <c r="Z580" s="50"/>
      <c r="AA580" s="50"/>
      <c r="AB580" s="50"/>
    </row>
    <row r="581" customFormat="false" ht="15.75" hidden="false" customHeight="false" outlineLevel="0" collapsed="false">
      <c r="A581" s="50"/>
      <c r="B581" s="50"/>
      <c r="C581" s="5"/>
      <c r="D581" s="48"/>
      <c r="E581" s="50"/>
      <c r="F581" s="5"/>
      <c r="G581" s="5"/>
      <c r="H581" s="5"/>
      <c r="I581" s="5"/>
      <c r="J581" s="5"/>
      <c r="K581" s="50"/>
      <c r="L581" s="50"/>
      <c r="M581" s="50"/>
      <c r="N581" s="50"/>
      <c r="O581" s="50"/>
      <c r="P581" s="50"/>
      <c r="Q581" s="50"/>
      <c r="R581" s="50"/>
      <c r="S581" s="50"/>
      <c r="T581" s="50"/>
      <c r="U581" s="50"/>
      <c r="V581" s="50"/>
      <c r="W581" s="50"/>
      <c r="X581" s="50"/>
      <c r="Y581" s="50"/>
      <c r="Z581" s="50"/>
      <c r="AA581" s="50"/>
      <c r="AB581" s="50"/>
    </row>
    <row r="582" customFormat="false" ht="15.75" hidden="false" customHeight="false" outlineLevel="0" collapsed="false">
      <c r="A582" s="50"/>
      <c r="B582" s="50"/>
      <c r="C582" s="5"/>
      <c r="D582" s="48"/>
      <c r="E582" s="50"/>
      <c r="F582" s="5"/>
      <c r="G582" s="5"/>
      <c r="H582" s="5"/>
      <c r="I582" s="5"/>
      <c r="J582" s="5"/>
      <c r="K582" s="50"/>
      <c r="L582" s="50"/>
      <c r="M582" s="50"/>
      <c r="N582" s="50"/>
      <c r="O582" s="50"/>
      <c r="P582" s="50"/>
      <c r="Q582" s="50"/>
      <c r="R582" s="50"/>
      <c r="S582" s="50"/>
      <c r="T582" s="50"/>
      <c r="U582" s="50"/>
      <c r="V582" s="50"/>
      <c r="W582" s="50"/>
      <c r="X582" s="50"/>
      <c r="Y582" s="50"/>
      <c r="Z582" s="50"/>
      <c r="AA582" s="50"/>
      <c r="AB582" s="50"/>
    </row>
    <row r="583" customFormat="false" ht="15.75" hidden="false" customHeight="false" outlineLevel="0" collapsed="false">
      <c r="A583" s="50"/>
      <c r="B583" s="50"/>
      <c r="C583" s="5"/>
      <c r="D583" s="48"/>
      <c r="E583" s="50"/>
      <c r="F583" s="5"/>
      <c r="G583" s="5"/>
      <c r="H583" s="5"/>
      <c r="I583" s="5"/>
      <c r="J583" s="5"/>
      <c r="K583" s="50"/>
      <c r="L583" s="50"/>
      <c r="M583" s="50"/>
      <c r="N583" s="50"/>
      <c r="O583" s="50"/>
      <c r="P583" s="50"/>
      <c r="Q583" s="50"/>
      <c r="R583" s="50"/>
      <c r="S583" s="50"/>
      <c r="T583" s="50"/>
      <c r="U583" s="50"/>
      <c r="V583" s="50"/>
      <c r="W583" s="50"/>
      <c r="X583" s="50"/>
      <c r="Y583" s="50"/>
      <c r="Z583" s="50"/>
      <c r="AA583" s="50"/>
      <c r="AB583" s="50"/>
    </row>
    <row r="584" customFormat="false" ht="15.75" hidden="false" customHeight="false" outlineLevel="0" collapsed="false">
      <c r="A584" s="50"/>
      <c r="B584" s="50"/>
      <c r="C584" s="5"/>
      <c r="D584" s="48"/>
      <c r="E584" s="50"/>
      <c r="F584" s="5"/>
      <c r="G584" s="5"/>
      <c r="H584" s="5"/>
      <c r="I584" s="5"/>
      <c r="J584" s="5"/>
      <c r="K584" s="50"/>
      <c r="L584" s="50"/>
      <c r="M584" s="50"/>
      <c r="N584" s="50"/>
      <c r="O584" s="50"/>
      <c r="P584" s="50"/>
      <c r="Q584" s="50"/>
      <c r="R584" s="50"/>
      <c r="S584" s="50"/>
      <c r="T584" s="50"/>
      <c r="U584" s="50"/>
      <c r="V584" s="50"/>
      <c r="W584" s="50"/>
      <c r="X584" s="50"/>
      <c r="Y584" s="50"/>
      <c r="Z584" s="50"/>
      <c r="AA584" s="50"/>
      <c r="AB584" s="50"/>
    </row>
    <row r="585" customFormat="false" ht="15.75" hidden="false" customHeight="false" outlineLevel="0" collapsed="false">
      <c r="A585" s="50"/>
      <c r="B585" s="50"/>
      <c r="C585" s="5"/>
      <c r="D585" s="48"/>
      <c r="E585" s="50"/>
      <c r="F585" s="5"/>
      <c r="G585" s="5"/>
      <c r="H585" s="5"/>
      <c r="I585" s="5"/>
      <c r="J585" s="5"/>
      <c r="K585" s="50"/>
      <c r="L585" s="50"/>
      <c r="M585" s="50"/>
      <c r="N585" s="50"/>
      <c r="O585" s="50"/>
      <c r="P585" s="50"/>
      <c r="Q585" s="50"/>
      <c r="R585" s="50"/>
      <c r="S585" s="50"/>
      <c r="T585" s="50"/>
      <c r="U585" s="50"/>
      <c r="V585" s="50"/>
      <c r="W585" s="50"/>
      <c r="X585" s="50"/>
      <c r="Y585" s="50"/>
      <c r="Z585" s="50"/>
      <c r="AA585" s="50"/>
      <c r="AB585" s="50"/>
    </row>
    <row r="586" customFormat="false" ht="15.75" hidden="false" customHeight="false" outlineLevel="0" collapsed="false">
      <c r="A586" s="50"/>
      <c r="B586" s="50"/>
      <c r="C586" s="5"/>
      <c r="D586" s="48"/>
      <c r="E586" s="50"/>
      <c r="F586" s="5"/>
      <c r="G586" s="5"/>
      <c r="H586" s="5"/>
      <c r="I586" s="5"/>
      <c r="J586" s="5"/>
      <c r="K586" s="50"/>
      <c r="L586" s="50"/>
      <c r="M586" s="50"/>
      <c r="N586" s="50"/>
      <c r="O586" s="50"/>
      <c r="P586" s="50"/>
      <c r="Q586" s="50"/>
      <c r="R586" s="50"/>
      <c r="S586" s="50"/>
      <c r="T586" s="50"/>
      <c r="U586" s="50"/>
      <c r="V586" s="50"/>
      <c r="W586" s="50"/>
      <c r="X586" s="50"/>
      <c r="Y586" s="50"/>
      <c r="Z586" s="50"/>
      <c r="AA586" s="50"/>
      <c r="AB586" s="50"/>
    </row>
    <row r="587" customFormat="false" ht="15.75" hidden="false" customHeight="false" outlineLevel="0" collapsed="false">
      <c r="A587" s="50"/>
      <c r="B587" s="50"/>
      <c r="C587" s="5"/>
      <c r="D587" s="48"/>
      <c r="E587" s="50"/>
      <c r="F587" s="5"/>
      <c r="G587" s="5"/>
      <c r="H587" s="5"/>
      <c r="I587" s="5"/>
      <c r="J587" s="5"/>
      <c r="K587" s="50"/>
      <c r="L587" s="50"/>
      <c r="M587" s="50"/>
      <c r="N587" s="50"/>
      <c r="O587" s="50"/>
      <c r="P587" s="50"/>
      <c r="Q587" s="50"/>
      <c r="R587" s="50"/>
      <c r="S587" s="50"/>
      <c r="T587" s="50"/>
      <c r="U587" s="50"/>
      <c r="V587" s="50"/>
      <c r="W587" s="50"/>
      <c r="X587" s="50"/>
      <c r="Y587" s="50"/>
      <c r="Z587" s="50"/>
      <c r="AA587" s="50"/>
      <c r="AB587" s="50"/>
    </row>
    <row r="588" customFormat="false" ht="15.75" hidden="false" customHeight="false" outlineLevel="0" collapsed="false">
      <c r="A588" s="50"/>
      <c r="B588" s="50"/>
      <c r="C588" s="5"/>
      <c r="D588" s="48"/>
      <c r="E588" s="50"/>
      <c r="F588" s="5"/>
      <c r="G588" s="5"/>
      <c r="H588" s="5"/>
      <c r="I588" s="5"/>
      <c r="J588" s="5"/>
      <c r="K588" s="50"/>
      <c r="L588" s="50"/>
      <c r="M588" s="50"/>
      <c r="N588" s="50"/>
      <c r="O588" s="50"/>
      <c r="P588" s="50"/>
      <c r="Q588" s="50"/>
      <c r="R588" s="50"/>
      <c r="S588" s="50"/>
      <c r="T588" s="50"/>
      <c r="U588" s="50"/>
      <c r="V588" s="50"/>
      <c r="W588" s="50"/>
      <c r="X588" s="50"/>
      <c r="Y588" s="50"/>
      <c r="Z588" s="50"/>
      <c r="AA588" s="50"/>
      <c r="AB588" s="50"/>
    </row>
    <row r="589" customFormat="false" ht="15.75" hidden="false" customHeight="false" outlineLevel="0" collapsed="false">
      <c r="A589" s="50"/>
      <c r="B589" s="50"/>
      <c r="C589" s="5"/>
      <c r="D589" s="48"/>
      <c r="E589" s="50"/>
      <c r="F589" s="5"/>
      <c r="G589" s="5"/>
      <c r="H589" s="5"/>
      <c r="I589" s="5"/>
      <c r="J589" s="5"/>
      <c r="K589" s="50"/>
      <c r="L589" s="50"/>
      <c r="M589" s="50"/>
      <c r="N589" s="50"/>
      <c r="O589" s="50"/>
      <c r="P589" s="50"/>
      <c r="Q589" s="50"/>
      <c r="R589" s="50"/>
      <c r="S589" s="50"/>
      <c r="T589" s="50"/>
      <c r="U589" s="50"/>
      <c r="V589" s="50"/>
      <c r="W589" s="50"/>
      <c r="X589" s="50"/>
      <c r="Y589" s="50"/>
      <c r="Z589" s="50"/>
      <c r="AA589" s="50"/>
      <c r="AB589" s="50"/>
    </row>
    <row r="590" customFormat="false" ht="15.75" hidden="false" customHeight="false" outlineLevel="0" collapsed="false">
      <c r="A590" s="50"/>
      <c r="B590" s="50"/>
      <c r="C590" s="5"/>
      <c r="D590" s="48"/>
      <c r="E590" s="50"/>
      <c r="F590" s="5"/>
      <c r="G590" s="5"/>
      <c r="H590" s="5"/>
      <c r="I590" s="5"/>
      <c r="J590" s="5"/>
      <c r="K590" s="50"/>
      <c r="L590" s="50"/>
      <c r="M590" s="50"/>
      <c r="N590" s="50"/>
      <c r="O590" s="50"/>
      <c r="P590" s="50"/>
      <c r="Q590" s="50"/>
      <c r="R590" s="50"/>
      <c r="S590" s="50"/>
      <c r="T590" s="50"/>
      <c r="U590" s="50"/>
      <c r="V590" s="50"/>
      <c r="W590" s="50"/>
      <c r="X590" s="50"/>
      <c r="Y590" s="50"/>
      <c r="Z590" s="50"/>
      <c r="AA590" s="50"/>
      <c r="AB590" s="50"/>
    </row>
    <row r="591" customFormat="false" ht="15.75" hidden="false" customHeight="false" outlineLevel="0" collapsed="false">
      <c r="A591" s="50"/>
      <c r="B591" s="50"/>
      <c r="C591" s="5"/>
      <c r="D591" s="48"/>
      <c r="E591" s="50"/>
      <c r="F591" s="5"/>
      <c r="G591" s="5"/>
      <c r="H591" s="5"/>
      <c r="I591" s="5"/>
      <c r="J591" s="5"/>
      <c r="K591" s="50"/>
      <c r="L591" s="50"/>
      <c r="M591" s="50"/>
      <c r="N591" s="50"/>
      <c r="O591" s="50"/>
      <c r="P591" s="50"/>
      <c r="Q591" s="50"/>
      <c r="R591" s="50"/>
      <c r="S591" s="50"/>
      <c r="T591" s="50"/>
      <c r="U591" s="50"/>
      <c r="V591" s="50"/>
      <c r="W591" s="50"/>
      <c r="X591" s="50"/>
      <c r="Y591" s="50"/>
      <c r="Z591" s="50"/>
      <c r="AA591" s="50"/>
      <c r="AB591" s="50"/>
    </row>
    <row r="592" customFormat="false" ht="15.75" hidden="false" customHeight="false" outlineLevel="0" collapsed="false">
      <c r="A592" s="50"/>
      <c r="B592" s="50"/>
      <c r="C592" s="5"/>
      <c r="D592" s="48"/>
      <c r="E592" s="50"/>
      <c r="F592" s="5"/>
      <c r="G592" s="5"/>
      <c r="H592" s="5"/>
      <c r="I592" s="5"/>
      <c r="J592" s="5"/>
      <c r="K592" s="50"/>
      <c r="L592" s="50"/>
      <c r="M592" s="50"/>
      <c r="N592" s="50"/>
      <c r="O592" s="50"/>
      <c r="P592" s="50"/>
      <c r="Q592" s="50"/>
      <c r="R592" s="50"/>
      <c r="S592" s="50"/>
      <c r="T592" s="50"/>
      <c r="U592" s="50"/>
      <c r="V592" s="50"/>
      <c r="W592" s="50"/>
      <c r="X592" s="50"/>
      <c r="Y592" s="50"/>
      <c r="Z592" s="50"/>
      <c r="AA592" s="50"/>
      <c r="AB592" s="50"/>
    </row>
    <row r="593" customFormat="false" ht="15.75" hidden="false" customHeight="false" outlineLevel="0" collapsed="false">
      <c r="A593" s="50"/>
      <c r="B593" s="50"/>
      <c r="C593" s="5"/>
      <c r="D593" s="48"/>
      <c r="E593" s="50"/>
      <c r="F593" s="5"/>
      <c r="G593" s="5"/>
      <c r="H593" s="5"/>
      <c r="I593" s="5"/>
      <c r="J593" s="5"/>
      <c r="K593" s="50"/>
      <c r="L593" s="50"/>
      <c r="M593" s="50"/>
      <c r="N593" s="50"/>
      <c r="O593" s="50"/>
      <c r="P593" s="50"/>
      <c r="Q593" s="50"/>
      <c r="R593" s="50"/>
      <c r="S593" s="50"/>
      <c r="T593" s="50"/>
      <c r="U593" s="50"/>
      <c r="V593" s="50"/>
      <c r="W593" s="50"/>
      <c r="X593" s="50"/>
      <c r="Y593" s="50"/>
      <c r="Z593" s="50"/>
      <c r="AA593" s="50"/>
      <c r="AB593" s="50"/>
    </row>
    <row r="594" customFormat="false" ht="15.75" hidden="false" customHeight="false" outlineLevel="0" collapsed="false">
      <c r="A594" s="50"/>
      <c r="B594" s="50"/>
      <c r="C594" s="5"/>
      <c r="D594" s="48"/>
      <c r="E594" s="50"/>
      <c r="F594" s="5"/>
      <c r="G594" s="5"/>
      <c r="H594" s="5"/>
      <c r="I594" s="5"/>
      <c r="J594" s="5"/>
      <c r="K594" s="50"/>
      <c r="L594" s="50"/>
      <c r="M594" s="50"/>
      <c r="N594" s="50"/>
      <c r="O594" s="50"/>
      <c r="P594" s="50"/>
      <c r="Q594" s="50"/>
      <c r="R594" s="50"/>
      <c r="S594" s="50"/>
      <c r="T594" s="50"/>
      <c r="U594" s="50"/>
      <c r="V594" s="50"/>
      <c r="W594" s="50"/>
      <c r="X594" s="50"/>
      <c r="Y594" s="50"/>
      <c r="Z594" s="50"/>
      <c r="AA594" s="50"/>
      <c r="AB594" s="50"/>
    </row>
    <row r="595" customFormat="false" ht="15.75" hidden="false" customHeight="false" outlineLevel="0" collapsed="false">
      <c r="A595" s="50"/>
      <c r="B595" s="50"/>
      <c r="C595" s="5"/>
      <c r="D595" s="48"/>
      <c r="E595" s="50"/>
      <c r="F595" s="5"/>
      <c r="G595" s="5"/>
      <c r="H595" s="5"/>
      <c r="I595" s="5"/>
      <c r="J595" s="5"/>
      <c r="K595" s="50"/>
      <c r="L595" s="50"/>
      <c r="M595" s="50"/>
      <c r="N595" s="50"/>
      <c r="O595" s="50"/>
      <c r="P595" s="50"/>
      <c r="Q595" s="50"/>
      <c r="R595" s="50"/>
      <c r="S595" s="50"/>
      <c r="T595" s="50"/>
      <c r="U595" s="50"/>
      <c r="V595" s="50"/>
      <c r="W595" s="50"/>
      <c r="X595" s="50"/>
      <c r="Y595" s="50"/>
      <c r="Z595" s="50"/>
      <c r="AA595" s="50"/>
      <c r="AB595" s="50"/>
    </row>
    <row r="596" customFormat="false" ht="15.75" hidden="false" customHeight="false" outlineLevel="0" collapsed="false">
      <c r="A596" s="50"/>
      <c r="B596" s="50"/>
      <c r="C596" s="5"/>
      <c r="D596" s="48"/>
      <c r="E596" s="50"/>
      <c r="F596" s="5"/>
      <c r="G596" s="5"/>
      <c r="H596" s="5"/>
      <c r="I596" s="5"/>
      <c r="J596" s="5"/>
      <c r="K596" s="50"/>
      <c r="L596" s="50"/>
      <c r="M596" s="50"/>
      <c r="N596" s="50"/>
      <c r="O596" s="50"/>
      <c r="P596" s="50"/>
      <c r="Q596" s="50"/>
      <c r="R596" s="50"/>
      <c r="S596" s="50"/>
      <c r="T596" s="50"/>
      <c r="U596" s="50"/>
      <c r="V596" s="50"/>
      <c r="W596" s="50"/>
      <c r="X596" s="50"/>
      <c r="Y596" s="50"/>
      <c r="Z596" s="50"/>
      <c r="AA596" s="50"/>
      <c r="AB596" s="50"/>
    </row>
    <row r="597" customFormat="false" ht="15.75" hidden="false" customHeight="false" outlineLevel="0" collapsed="false">
      <c r="A597" s="50"/>
      <c r="B597" s="50"/>
      <c r="C597" s="5"/>
      <c r="D597" s="48"/>
      <c r="E597" s="50"/>
      <c r="F597" s="5"/>
      <c r="G597" s="5"/>
      <c r="H597" s="5"/>
      <c r="I597" s="5"/>
      <c r="J597" s="5"/>
      <c r="K597" s="50"/>
      <c r="L597" s="50"/>
      <c r="M597" s="50"/>
      <c r="N597" s="50"/>
      <c r="O597" s="50"/>
      <c r="P597" s="50"/>
      <c r="Q597" s="50"/>
      <c r="R597" s="50"/>
      <c r="S597" s="50"/>
      <c r="T597" s="50"/>
      <c r="U597" s="50"/>
      <c r="V597" s="50"/>
      <c r="W597" s="50"/>
      <c r="X597" s="50"/>
      <c r="Y597" s="50"/>
      <c r="Z597" s="50"/>
      <c r="AA597" s="50"/>
      <c r="AB597" s="50"/>
    </row>
    <row r="598" customFormat="false" ht="15.75" hidden="false" customHeight="false" outlineLevel="0" collapsed="false">
      <c r="A598" s="50"/>
      <c r="B598" s="50"/>
      <c r="C598" s="5"/>
      <c r="D598" s="48"/>
      <c r="E598" s="50"/>
      <c r="F598" s="5"/>
      <c r="G598" s="5"/>
      <c r="H598" s="5"/>
      <c r="I598" s="5"/>
      <c r="J598" s="5"/>
      <c r="K598" s="50"/>
      <c r="L598" s="50"/>
      <c r="M598" s="50"/>
      <c r="N598" s="50"/>
      <c r="O598" s="50"/>
      <c r="P598" s="50"/>
      <c r="Q598" s="50"/>
      <c r="R598" s="50"/>
      <c r="S598" s="50"/>
      <c r="T598" s="50"/>
      <c r="U598" s="50"/>
      <c r="V598" s="50"/>
      <c r="W598" s="50"/>
      <c r="X598" s="50"/>
      <c r="Y598" s="50"/>
      <c r="Z598" s="50"/>
      <c r="AA598" s="50"/>
      <c r="AB598" s="50"/>
    </row>
    <row r="599" customFormat="false" ht="15.75" hidden="false" customHeight="false" outlineLevel="0" collapsed="false">
      <c r="A599" s="50"/>
      <c r="B599" s="50"/>
      <c r="C599" s="5"/>
      <c r="D599" s="48"/>
      <c r="E599" s="50"/>
      <c r="F599" s="5"/>
      <c r="G599" s="5"/>
      <c r="H599" s="5"/>
      <c r="I599" s="5"/>
      <c r="J599" s="5"/>
      <c r="K599" s="50"/>
      <c r="L599" s="50"/>
      <c r="M599" s="50"/>
      <c r="N599" s="50"/>
      <c r="O599" s="50"/>
      <c r="P599" s="50"/>
      <c r="Q599" s="50"/>
      <c r="R599" s="50"/>
      <c r="S599" s="50"/>
      <c r="T599" s="50"/>
      <c r="U599" s="50"/>
      <c r="V599" s="50"/>
      <c r="W599" s="50"/>
      <c r="X599" s="50"/>
      <c r="Y599" s="50"/>
      <c r="Z599" s="50"/>
      <c r="AA599" s="50"/>
      <c r="AB599" s="50"/>
    </row>
    <row r="600" customFormat="false" ht="15.75" hidden="false" customHeight="false" outlineLevel="0" collapsed="false">
      <c r="A600" s="50"/>
      <c r="B600" s="50"/>
      <c r="C600" s="5"/>
      <c r="D600" s="48"/>
      <c r="E600" s="50"/>
      <c r="F600" s="5"/>
      <c r="G600" s="5"/>
      <c r="H600" s="5"/>
      <c r="I600" s="5"/>
      <c r="J600" s="5"/>
      <c r="K600" s="50"/>
      <c r="L600" s="50"/>
      <c r="M600" s="50"/>
      <c r="N600" s="50"/>
      <c r="O600" s="50"/>
      <c r="P600" s="50"/>
      <c r="Q600" s="50"/>
      <c r="R600" s="50"/>
      <c r="S600" s="50"/>
      <c r="T600" s="50"/>
      <c r="U600" s="50"/>
      <c r="V600" s="50"/>
      <c r="W600" s="50"/>
      <c r="X600" s="50"/>
      <c r="Y600" s="50"/>
      <c r="Z600" s="50"/>
      <c r="AA600" s="50"/>
      <c r="AB600" s="50"/>
    </row>
    <row r="601" customFormat="false" ht="15.75" hidden="false" customHeight="false" outlineLevel="0" collapsed="false">
      <c r="A601" s="50"/>
      <c r="B601" s="50"/>
      <c r="C601" s="5"/>
      <c r="D601" s="48"/>
      <c r="E601" s="50"/>
      <c r="F601" s="5"/>
      <c r="G601" s="5"/>
      <c r="H601" s="5"/>
      <c r="I601" s="5"/>
      <c r="J601" s="5"/>
      <c r="K601" s="50"/>
      <c r="L601" s="50"/>
      <c r="M601" s="50"/>
      <c r="N601" s="50"/>
      <c r="O601" s="50"/>
      <c r="P601" s="50"/>
      <c r="Q601" s="50"/>
      <c r="R601" s="50"/>
      <c r="S601" s="50"/>
      <c r="T601" s="50"/>
      <c r="U601" s="50"/>
      <c r="V601" s="50"/>
      <c r="W601" s="50"/>
      <c r="X601" s="50"/>
      <c r="Y601" s="50"/>
      <c r="Z601" s="50"/>
      <c r="AA601" s="50"/>
      <c r="AB601" s="50"/>
    </row>
    <row r="602" customFormat="false" ht="15.75" hidden="false" customHeight="false" outlineLevel="0" collapsed="false">
      <c r="A602" s="50"/>
      <c r="B602" s="50"/>
      <c r="C602" s="5"/>
      <c r="D602" s="48"/>
      <c r="E602" s="50"/>
      <c r="F602" s="5"/>
      <c r="G602" s="5"/>
      <c r="H602" s="5"/>
      <c r="I602" s="5"/>
      <c r="J602" s="5"/>
      <c r="K602" s="50"/>
      <c r="L602" s="50"/>
      <c r="M602" s="50"/>
      <c r="N602" s="50"/>
      <c r="O602" s="50"/>
      <c r="P602" s="50"/>
      <c r="Q602" s="50"/>
      <c r="R602" s="50"/>
      <c r="S602" s="50"/>
      <c r="T602" s="50"/>
      <c r="U602" s="50"/>
      <c r="V602" s="50"/>
      <c r="W602" s="50"/>
      <c r="X602" s="50"/>
      <c r="Y602" s="50"/>
      <c r="Z602" s="50"/>
      <c r="AA602" s="50"/>
      <c r="AB602" s="50"/>
    </row>
    <row r="603" customFormat="false" ht="15.75" hidden="false" customHeight="false" outlineLevel="0" collapsed="false">
      <c r="A603" s="50"/>
      <c r="B603" s="50"/>
      <c r="C603" s="5"/>
      <c r="D603" s="48"/>
      <c r="E603" s="50"/>
      <c r="F603" s="5"/>
      <c r="G603" s="5"/>
      <c r="H603" s="5"/>
      <c r="I603" s="5"/>
      <c r="J603" s="5"/>
      <c r="K603" s="50"/>
      <c r="L603" s="50"/>
      <c r="M603" s="50"/>
      <c r="N603" s="50"/>
      <c r="O603" s="50"/>
      <c r="P603" s="50"/>
      <c r="Q603" s="50"/>
      <c r="R603" s="50"/>
      <c r="S603" s="50"/>
      <c r="T603" s="50"/>
      <c r="U603" s="50"/>
      <c r="V603" s="50"/>
      <c r="W603" s="50"/>
      <c r="X603" s="50"/>
      <c r="Y603" s="50"/>
      <c r="Z603" s="50"/>
      <c r="AA603" s="50"/>
      <c r="AB603" s="50"/>
    </row>
    <row r="604" customFormat="false" ht="15.75" hidden="false" customHeight="false" outlineLevel="0" collapsed="false">
      <c r="A604" s="50"/>
      <c r="B604" s="50"/>
      <c r="C604" s="5"/>
      <c r="D604" s="48"/>
      <c r="E604" s="50"/>
      <c r="F604" s="5"/>
      <c r="G604" s="5"/>
      <c r="H604" s="5"/>
      <c r="I604" s="5"/>
      <c r="J604" s="5"/>
      <c r="K604" s="50"/>
      <c r="L604" s="50"/>
      <c r="M604" s="50"/>
      <c r="N604" s="50"/>
      <c r="O604" s="50"/>
      <c r="P604" s="50"/>
      <c r="Q604" s="50"/>
      <c r="R604" s="50"/>
      <c r="S604" s="50"/>
      <c r="T604" s="50"/>
      <c r="U604" s="50"/>
      <c r="V604" s="50"/>
      <c r="W604" s="50"/>
      <c r="X604" s="50"/>
      <c r="Y604" s="50"/>
      <c r="Z604" s="50"/>
      <c r="AA604" s="50"/>
      <c r="AB604" s="50"/>
    </row>
    <row r="605" customFormat="false" ht="15.75" hidden="false" customHeight="false" outlineLevel="0" collapsed="false">
      <c r="A605" s="50"/>
      <c r="B605" s="50"/>
      <c r="C605" s="5"/>
      <c r="D605" s="48"/>
      <c r="E605" s="50"/>
      <c r="F605" s="5"/>
      <c r="G605" s="5"/>
      <c r="H605" s="5"/>
      <c r="I605" s="5"/>
      <c r="J605" s="5"/>
      <c r="K605" s="50"/>
      <c r="L605" s="50"/>
      <c r="M605" s="50"/>
      <c r="N605" s="50"/>
      <c r="O605" s="50"/>
      <c r="P605" s="50"/>
      <c r="Q605" s="50"/>
      <c r="R605" s="50"/>
      <c r="S605" s="50"/>
      <c r="T605" s="50"/>
      <c r="U605" s="50"/>
      <c r="V605" s="50"/>
      <c r="W605" s="50"/>
      <c r="X605" s="50"/>
      <c r="Y605" s="50"/>
      <c r="Z605" s="50"/>
      <c r="AA605" s="50"/>
      <c r="AB605" s="50"/>
    </row>
    <row r="606" customFormat="false" ht="15.75" hidden="false" customHeight="false" outlineLevel="0" collapsed="false">
      <c r="A606" s="50"/>
      <c r="B606" s="50"/>
      <c r="C606" s="5"/>
      <c r="D606" s="48"/>
      <c r="E606" s="50"/>
      <c r="F606" s="5"/>
      <c r="G606" s="5"/>
      <c r="H606" s="5"/>
      <c r="I606" s="5"/>
      <c r="J606" s="5"/>
      <c r="K606" s="50"/>
      <c r="L606" s="50"/>
      <c r="M606" s="50"/>
      <c r="N606" s="50"/>
      <c r="O606" s="50"/>
      <c r="P606" s="50"/>
      <c r="Q606" s="50"/>
      <c r="R606" s="50"/>
      <c r="S606" s="50"/>
      <c r="T606" s="50"/>
      <c r="U606" s="50"/>
      <c r="V606" s="50"/>
      <c r="W606" s="50"/>
      <c r="X606" s="50"/>
      <c r="Y606" s="50"/>
      <c r="Z606" s="50"/>
      <c r="AA606" s="50"/>
      <c r="AB606" s="50"/>
    </row>
    <row r="607" customFormat="false" ht="15.75" hidden="false" customHeight="false" outlineLevel="0" collapsed="false">
      <c r="A607" s="50"/>
      <c r="B607" s="50"/>
      <c r="C607" s="5"/>
      <c r="D607" s="48"/>
      <c r="E607" s="50"/>
      <c r="F607" s="5"/>
      <c r="G607" s="5"/>
      <c r="H607" s="5"/>
      <c r="I607" s="5"/>
      <c r="J607" s="5"/>
      <c r="K607" s="50"/>
      <c r="L607" s="50"/>
      <c r="M607" s="50"/>
      <c r="N607" s="50"/>
      <c r="O607" s="50"/>
      <c r="P607" s="50"/>
      <c r="Q607" s="50"/>
      <c r="R607" s="50"/>
      <c r="S607" s="50"/>
      <c r="T607" s="50"/>
      <c r="U607" s="50"/>
      <c r="V607" s="50"/>
      <c r="W607" s="50"/>
      <c r="X607" s="50"/>
      <c r="Y607" s="50"/>
      <c r="Z607" s="50"/>
      <c r="AA607" s="50"/>
      <c r="AB607" s="50"/>
    </row>
    <row r="608" customFormat="false" ht="15.75" hidden="false" customHeight="false" outlineLevel="0" collapsed="false">
      <c r="A608" s="50"/>
      <c r="B608" s="50"/>
      <c r="C608" s="5"/>
      <c r="D608" s="48"/>
      <c r="E608" s="50"/>
      <c r="F608" s="5"/>
      <c r="G608" s="5"/>
      <c r="H608" s="5"/>
      <c r="I608" s="5"/>
      <c r="J608" s="5"/>
      <c r="K608" s="50"/>
      <c r="L608" s="50"/>
      <c r="M608" s="50"/>
      <c r="N608" s="50"/>
      <c r="O608" s="50"/>
      <c r="P608" s="50"/>
      <c r="Q608" s="50"/>
      <c r="R608" s="50"/>
      <c r="S608" s="50"/>
      <c r="T608" s="50"/>
      <c r="U608" s="50"/>
      <c r="V608" s="50"/>
      <c r="W608" s="50"/>
      <c r="X608" s="50"/>
      <c r="Y608" s="50"/>
      <c r="Z608" s="50"/>
      <c r="AA608" s="50"/>
      <c r="AB608" s="50"/>
    </row>
    <row r="609" customFormat="false" ht="15.75" hidden="false" customHeight="false" outlineLevel="0" collapsed="false">
      <c r="A609" s="50"/>
      <c r="B609" s="50"/>
      <c r="C609" s="5"/>
      <c r="D609" s="48"/>
      <c r="E609" s="50"/>
      <c r="F609" s="5"/>
      <c r="G609" s="5"/>
      <c r="H609" s="5"/>
      <c r="I609" s="5"/>
      <c r="J609" s="5"/>
      <c r="K609" s="50"/>
      <c r="L609" s="50"/>
      <c r="M609" s="50"/>
      <c r="N609" s="50"/>
      <c r="O609" s="50"/>
      <c r="P609" s="50"/>
      <c r="Q609" s="50"/>
      <c r="R609" s="50"/>
      <c r="S609" s="50"/>
      <c r="T609" s="50"/>
      <c r="U609" s="50"/>
      <c r="V609" s="50"/>
      <c r="W609" s="50"/>
      <c r="X609" s="50"/>
      <c r="Y609" s="50"/>
      <c r="Z609" s="50"/>
      <c r="AA609" s="50"/>
      <c r="AB609" s="50"/>
    </row>
    <row r="610" customFormat="false" ht="15.75" hidden="false" customHeight="false" outlineLevel="0" collapsed="false">
      <c r="A610" s="50"/>
      <c r="B610" s="50"/>
      <c r="C610" s="5"/>
      <c r="D610" s="48"/>
      <c r="E610" s="50"/>
      <c r="F610" s="5"/>
      <c r="G610" s="5"/>
      <c r="H610" s="5"/>
      <c r="I610" s="5"/>
      <c r="J610" s="5"/>
      <c r="K610" s="50"/>
      <c r="L610" s="50"/>
      <c r="M610" s="50"/>
      <c r="N610" s="50"/>
      <c r="O610" s="50"/>
      <c r="P610" s="50"/>
      <c r="Q610" s="50"/>
      <c r="R610" s="50"/>
      <c r="S610" s="50"/>
      <c r="T610" s="50"/>
      <c r="U610" s="50"/>
      <c r="V610" s="50"/>
      <c r="W610" s="50"/>
      <c r="X610" s="50"/>
      <c r="Y610" s="50"/>
      <c r="Z610" s="50"/>
      <c r="AA610" s="50"/>
      <c r="AB610" s="50"/>
    </row>
    <row r="611" customFormat="false" ht="15.75" hidden="false" customHeight="false" outlineLevel="0" collapsed="false">
      <c r="A611" s="50"/>
      <c r="B611" s="50"/>
      <c r="C611" s="5"/>
      <c r="D611" s="48"/>
      <c r="E611" s="50"/>
      <c r="F611" s="5"/>
      <c r="G611" s="5"/>
      <c r="H611" s="5"/>
      <c r="I611" s="5"/>
      <c r="J611" s="5"/>
      <c r="K611" s="50"/>
      <c r="L611" s="50"/>
      <c r="M611" s="50"/>
      <c r="N611" s="50"/>
      <c r="O611" s="50"/>
      <c r="P611" s="50"/>
      <c r="Q611" s="50"/>
      <c r="R611" s="50"/>
      <c r="S611" s="50"/>
      <c r="T611" s="50"/>
      <c r="U611" s="50"/>
      <c r="V611" s="50"/>
      <c r="W611" s="50"/>
      <c r="X611" s="50"/>
      <c r="Y611" s="50"/>
      <c r="Z611" s="50"/>
      <c r="AA611" s="50"/>
      <c r="AB611" s="50"/>
    </row>
    <row r="612" customFormat="false" ht="15.75" hidden="false" customHeight="false" outlineLevel="0" collapsed="false">
      <c r="A612" s="50"/>
      <c r="B612" s="50"/>
      <c r="C612" s="5"/>
      <c r="D612" s="48"/>
      <c r="E612" s="50"/>
      <c r="F612" s="5"/>
      <c r="G612" s="5"/>
      <c r="H612" s="5"/>
      <c r="I612" s="5"/>
      <c r="J612" s="5"/>
      <c r="K612" s="50"/>
      <c r="L612" s="50"/>
      <c r="M612" s="50"/>
      <c r="N612" s="50"/>
      <c r="O612" s="50"/>
      <c r="P612" s="50"/>
      <c r="Q612" s="50"/>
      <c r="R612" s="50"/>
      <c r="S612" s="50"/>
      <c r="T612" s="50"/>
      <c r="U612" s="50"/>
      <c r="V612" s="50"/>
      <c r="W612" s="50"/>
      <c r="X612" s="50"/>
      <c r="Y612" s="50"/>
      <c r="Z612" s="50"/>
      <c r="AA612" s="50"/>
      <c r="AB612" s="50"/>
    </row>
    <row r="613" customFormat="false" ht="15.75" hidden="false" customHeight="false" outlineLevel="0" collapsed="false">
      <c r="A613" s="50"/>
      <c r="B613" s="50"/>
      <c r="C613" s="5"/>
      <c r="D613" s="48"/>
      <c r="E613" s="50"/>
      <c r="F613" s="5"/>
      <c r="G613" s="5"/>
      <c r="H613" s="5"/>
      <c r="I613" s="5"/>
      <c r="J613" s="5"/>
      <c r="K613" s="50"/>
      <c r="L613" s="50"/>
      <c r="M613" s="50"/>
      <c r="N613" s="50"/>
      <c r="O613" s="50"/>
      <c r="P613" s="50"/>
      <c r="Q613" s="50"/>
      <c r="R613" s="50"/>
      <c r="S613" s="50"/>
      <c r="T613" s="50"/>
      <c r="U613" s="50"/>
      <c r="V613" s="50"/>
      <c r="W613" s="50"/>
      <c r="X613" s="50"/>
      <c r="Y613" s="50"/>
      <c r="Z613" s="50"/>
      <c r="AA613" s="50"/>
      <c r="AB613" s="50"/>
    </row>
    <row r="614" customFormat="false" ht="15.75" hidden="false" customHeight="false" outlineLevel="0" collapsed="false">
      <c r="A614" s="50"/>
      <c r="B614" s="50"/>
      <c r="C614" s="5"/>
      <c r="D614" s="48"/>
      <c r="E614" s="50"/>
      <c r="F614" s="5"/>
      <c r="G614" s="5"/>
      <c r="H614" s="5"/>
      <c r="I614" s="5"/>
      <c r="J614" s="5"/>
      <c r="K614" s="50"/>
      <c r="L614" s="50"/>
      <c r="M614" s="50"/>
      <c r="N614" s="50"/>
      <c r="O614" s="50"/>
      <c r="P614" s="50"/>
      <c r="Q614" s="50"/>
      <c r="R614" s="50"/>
      <c r="S614" s="50"/>
      <c r="T614" s="50"/>
      <c r="U614" s="50"/>
      <c r="V614" s="50"/>
      <c r="W614" s="50"/>
      <c r="X614" s="50"/>
      <c r="Y614" s="50"/>
      <c r="Z614" s="50"/>
      <c r="AA614" s="50"/>
      <c r="AB614" s="50"/>
    </row>
    <row r="615" customFormat="false" ht="15.75" hidden="false" customHeight="false" outlineLevel="0" collapsed="false">
      <c r="A615" s="50"/>
      <c r="B615" s="50"/>
      <c r="C615" s="5"/>
      <c r="D615" s="48"/>
      <c r="E615" s="50"/>
      <c r="F615" s="5"/>
      <c r="G615" s="5"/>
      <c r="H615" s="5"/>
      <c r="I615" s="5"/>
      <c r="J615" s="5"/>
      <c r="K615" s="50"/>
      <c r="L615" s="50"/>
      <c r="M615" s="50"/>
      <c r="N615" s="50"/>
      <c r="O615" s="50"/>
      <c r="P615" s="50"/>
      <c r="Q615" s="50"/>
      <c r="R615" s="50"/>
      <c r="S615" s="50"/>
      <c r="T615" s="50"/>
      <c r="U615" s="50"/>
      <c r="V615" s="50"/>
      <c r="W615" s="50"/>
      <c r="X615" s="50"/>
      <c r="Y615" s="50"/>
      <c r="Z615" s="50"/>
      <c r="AA615" s="50"/>
      <c r="AB615" s="50"/>
    </row>
    <row r="616" customFormat="false" ht="15.75" hidden="false" customHeight="false" outlineLevel="0" collapsed="false">
      <c r="A616" s="50"/>
      <c r="B616" s="50"/>
      <c r="C616" s="5"/>
      <c r="D616" s="48"/>
      <c r="E616" s="50"/>
      <c r="F616" s="5"/>
      <c r="G616" s="5"/>
      <c r="H616" s="5"/>
      <c r="I616" s="5"/>
      <c r="J616" s="5"/>
      <c r="K616" s="50"/>
      <c r="L616" s="50"/>
      <c r="M616" s="50"/>
      <c r="N616" s="50"/>
      <c r="O616" s="50"/>
      <c r="P616" s="50"/>
      <c r="Q616" s="50"/>
      <c r="R616" s="50"/>
      <c r="S616" s="50"/>
      <c r="T616" s="50"/>
      <c r="U616" s="50"/>
      <c r="V616" s="50"/>
      <c r="W616" s="50"/>
      <c r="X616" s="50"/>
      <c r="Y616" s="50"/>
      <c r="Z616" s="50"/>
      <c r="AA616" s="50"/>
      <c r="AB616" s="50"/>
    </row>
    <row r="617" customFormat="false" ht="15.75" hidden="false" customHeight="false" outlineLevel="0" collapsed="false">
      <c r="A617" s="50"/>
      <c r="B617" s="50"/>
      <c r="C617" s="5"/>
      <c r="D617" s="48"/>
      <c r="E617" s="50"/>
      <c r="F617" s="5"/>
      <c r="G617" s="5"/>
      <c r="H617" s="5"/>
      <c r="I617" s="5"/>
      <c r="J617" s="5"/>
      <c r="K617" s="50"/>
      <c r="L617" s="50"/>
      <c r="M617" s="50"/>
      <c r="N617" s="50"/>
      <c r="O617" s="50"/>
      <c r="P617" s="50"/>
      <c r="Q617" s="50"/>
      <c r="R617" s="50"/>
      <c r="S617" s="50"/>
      <c r="T617" s="50"/>
      <c r="U617" s="50"/>
      <c r="V617" s="50"/>
      <c r="W617" s="50"/>
      <c r="X617" s="50"/>
      <c r="Y617" s="50"/>
      <c r="Z617" s="50"/>
      <c r="AA617" s="50"/>
      <c r="AB617" s="50"/>
    </row>
    <row r="618" customFormat="false" ht="15.75" hidden="false" customHeight="false" outlineLevel="0" collapsed="false">
      <c r="A618" s="50"/>
      <c r="B618" s="50"/>
      <c r="C618" s="5"/>
      <c r="D618" s="48"/>
      <c r="E618" s="50"/>
      <c r="F618" s="5"/>
      <c r="G618" s="5"/>
      <c r="H618" s="5"/>
      <c r="I618" s="5"/>
      <c r="J618" s="5"/>
      <c r="K618" s="50"/>
      <c r="L618" s="50"/>
      <c r="M618" s="50"/>
      <c r="N618" s="50"/>
      <c r="O618" s="50"/>
      <c r="P618" s="50"/>
      <c r="Q618" s="50"/>
      <c r="R618" s="50"/>
      <c r="S618" s="50"/>
      <c r="T618" s="50"/>
      <c r="U618" s="50"/>
      <c r="V618" s="50"/>
      <c r="W618" s="50"/>
      <c r="X618" s="50"/>
      <c r="Y618" s="50"/>
      <c r="Z618" s="50"/>
      <c r="AA618" s="50"/>
      <c r="AB618" s="50"/>
    </row>
    <row r="619" customFormat="false" ht="15.75" hidden="false" customHeight="false" outlineLevel="0" collapsed="false">
      <c r="A619" s="50"/>
      <c r="B619" s="50"/>
      <c r="C619" s="5"/>
      <c r="D619" s="48"/>
      <c r="E619" s="50"/>
      <c r="F619" s="5"/>
      <c r="G619" s="5"/>
      <c r="H619" s="5"/>
      <c r="I619" s="5"/>
      <c r="J619" s="5"/>
      <c r="K619" s="50"/>
      <c r="L619" s="50"/>
      <c r="M619" s="50"/>
      <c r="N619" s="50"/>
      <c r="O619" s="50"/>
      <c r="P619" s="50"/>
      <c r="Q619" s="50"/>
      <c r="R619" s="50"/>
      <c r="S619" s="50"/>
      <c r="T619" s="50"/>
      <c r="U619" s="50"/>
      <c r="V619" s="50"/>
      <c r="W619" s="50"/>
      <c r="X619" s="50"/>
      <c r="Y619" s="50"/>
      <c r="Z619" s="50"/>
      <c r="AA619" s="50"/>
      <c r="AB619" s="50"/>
    </row>
    <row r="620" customFormat="false" ht="15.75" hidden="false" customHeight="false" outlineLevel="0" collapsed="false">
      <c r="A620" s="50"/>
      <c r="B620" s="50"/>
      <c r="C620" s="5"/>
      <c r="D620" s="48"/>
      <c r="E620" s="50"/>
      <c r="F620" s="5"/>
      <c r="G620" s="5"/>
      <c r="H620" s="5"/>
      <c r="I620" s="5"/>
      <c r="J620" s="5"/>
      <c r="K620" s="50"/>
      <c r="L620" s="50"/>
      <c r="M620" s="50"/>
      <c r="N620" s="50"/>
      <c r="O620" s="50"/>
      <c r="P620" s="50"/>
      <c r="Q620" s="50"/>
      <c r="R620" s="50"/>
      <c r="S620" s="50"/>
      <c r="T620" s="50"/>
      <c r="U620" s="50"/>
      <c r="V620" s="50"/>
      <c r="W620" s="50"/>
      <c r="X620" s="50"/>
      <c r="Y620" s="50"/>
      <c r="Z620" s="50"/>
      <c r="AA620" s="50"/>
      <c r="AB620" s="50"/>
    </row>
    <row r="621" customFormat="false" ht="15.75" hidden="false" customHeight="false" outlineLevel="0" collapsed="false">
      <c r="A621" s="50"/>
      <c r="B621" s="50"/>
      <c r="C621" s="5"/>
      <c r="D621" s="48"/>
      <c r="E621" s="50"/>
      <c r="F621" s="5"/>
      <c r="G621" s="5"/>
      <c r="H621" s="5"/>
      <c r="I621" s="5"/>
      <c r="J621" s="5"/>
      <c r="K621" s="50"/>
      <c r="L621" s="50"/>
      <c r="M621" s="50"/>
      <c r="N621" s="50"/>
      <c r="O621" s="50"/>
      <c r="P621" s="50"/>
      <c r="Q621" s="50"/>
      <c r="R621" s="50"/>
      <c r="S621" s="50"/>
      <c r="T621" s="50"/>
      <c r="U621" s="50"/>
      <c r="V621" s="50"/>
      <c r="W621" s="50"/>
      <c r="X621" s="50"/>
      <c r="Y621" s="50"/>
      <c r="Z621" s="50"/>
      <c r="AA621" s="50"/>
      <c r="AB621" s="50"/>
    </row>
    <row r="622" customFormat="false" ht="15.75" hidden="false" customHeight="false" outlineLevel="0" collapsed="false">
      <c r="A622" s="50"/>
      <c r="B622" s="50"/>
      <c r="C622" s="5"/>
      <c r="D622" s="48"/>
      <c r="E622" s="50"/>
      <c r="F622" s="5"/>
      <c r="G622" s="5"/>
      <c r="H622" s="5"/>
      <c r="I622" s="5"/>
      <c r="J622" s="5"/>
      <c r="K622" s="50"/>
      <c r="L622" s="50"/>
      <c r="M622" s="50"/>
      <c r="N622" s="50"/>
      <c r="O622" s="50"/>
      <c r="P622" s="50"/>
      <c r="Q622" s="50"/>
      <c r="R622" s="50"/>
      <c r="S622" s="50"/>
      <c r="T622" s="50"/>
      <c r="U622" s="50"/>
      <c r="V622" s="50"/>
      <c r="W622" s="50"/>
      <c r="X622" s="50"/>
      <c r="Y622" s="50"/>
      <c r="Z622" s="50"/>
      <c r="AA622" s="50"/>
      <c r="AB622" s="50"/>
    </row>
    <row r="623" customFormat="false" ht="15.75" hidden="false" customHeight="false" outlineLevel="0" collapsed="false">
      <c r="A623" s="50"/>
      <c r="B623" s="50"/>
      <c r="C623" s="5"/>
      <c r="D623" s="48"/>
      <c r="E623" s="50"/>
      <c r="F623" s="5"/>
      <c r="G623" s="5"/>
      <c r="H623" s="5"/>
      <c r="I623" s="5"/>
      <c r="J623" s="5"/>
      <c r="K623" s="50"/>
      <c r="L623" s="50"/>
      <c r="M623" s="50"/>
      <c r="N623" s="50"/>
      <c r="O623" s="50"/>
      <c r="P623" s="50"/>
      <c r="Q623" s="50"/>
      <c r="R623" s="50"/>
      <c r="S623" s="50"/>
      <c r="T623" s="50"/>
      <c r="U623" s="50"/>
      <c r="V623" s="50"/>
      <c r="W623" s="50"/>
      <c r="X623" s="50"/>
      <c r="Y623" s="50"/>
      <c r="Z623" s="50"/>
      <c r="AA623" s="50"/>
      <c r="AB623" s="50"/>
    </row>
    <row r="624" customFormat="false" ht="15.75" hidden="false" customHeight="false" outlineLevel="0" collapsed="false">
      <c r="A624" s="50"/>
      <c r="B624" s="50"/>
      <c r="C624" s="5"/>
      <c r="D624" s="48"/>
      <c r="E624" s="50"/>
      <c r="F624" s="5"/>
      <c r="G624" s="5"/>
      <c r="H624" s="5"/>
      <c r="I624" s="5"/>
      <c r="J624" s="5"/>
      <c r="K624" s="50"/>
      <c r="L624" s="50"/>
      <c r="M624" s="50"/>
      <c r="N624" s="50"/>
      <c r="O624" s="50"/>
      <c r="P624" s="50"/>
      <c r="Q624" s="50"/>
      <c r="R624" s="50"/>
      <c r="S624" s="50"/>
      <c r="T624" s="50"/>
      <c r="U624" s="50"/>
      <c r="V624" s="50"/>
      <c r="W624" s="50"/>
      <c r="X624" s="50"/>
      <c r="Y624" s="50"/>
      <c r="Z624" s="50"/>
      <c r="AA624" s="50"/>
      <c r="AB624" s="50"/>
    </row>
    <row r="625" customFormat="false" ht="15.75" hidden="false" customHeight="false" outlineLevel="0" collapsed="false">
      <c r="A625" s="50"/>
      <c r="B625" s="50"/>
      <c r="C625" s="5"/>
      <c r="D625" s="48"/>
      <c r="E625" s="50"/>
      <c r="F625" s="5"/>
      <c r="G625" s="5"/>
      <c r="H625" s="5"/>
      <c r="I625" s="5"/>
      <c r="J625" s="5"/>
      <c r="K625" s="50"/>
      <c r="L625" s="50"/>
      <c r="M625" s="50"/>
      <c r="N625" s="50"/>
      <c r="O625" s="50"/>
      <c r="P625" s="50"/>
      <c r="Q625" s="50"/>
      <c r="R625" s="50"/>
      <c r="S625" s="50"/>
      <c r="T625" s="50"/>
      <c r="U625" s="50"/>
      <c r="V625" s="50"/>
      <c r="W625" s="50"/>
      <c r="X625" s="50"/>
      <c r="Y625" s="50"/>
      <c r="Z625" s="50"/>
      <c r="AA625" s="50"/>
      <c r="AB625" s="50"/>
    </row>
    <row r="626" customFormat="false" ht="15.75" hidden="false" customHeight="false" outlineLevel="0" collapsed="false">
      <c r="A626" s="50"/>
      <c r="B626" s="50"/>
      <c r="C626" s="5"/>
      <c r="D626" s="48"/>
      <c r="E626" s="50"/>
      <c r="F626" s="5"/>
      <c r="G626" s="5"/>
      <c r="H626" s="5"/>
      <c r="I626" s="5"/>
      <c r="J626" s="5"/>
      <c r="K626" s="50"/>
      <c r="L626" s="50"/>
      <c r="M626" s="50"/>
      <c r="N626" s="50"/>
      <c r="O626" s="50"/>
      <c r="P626" s="50"/>
      <c r="Q626" s="50"/>
      <c r="R626" s="50"/>
      <c r="S626" s="50"/>
      <c r="T626" s="50"/>
      <c r="U626" s="50"/>
      <c r="V626" s="50"/>
      <c r="W626" s="50"/>
      <c r="X626" s="50"/>
      <c r="Y626" s="50"/>
      <c r="Z626" s="50"/>
      <c r="AA626" s="50"/>
      <c r="AB626" s="50"/>
    </row>
    <row r="627" customFormat="false" ht="15.75" hidden="false" customHeight="false" outlineLevel="0" collapsed="false">
      <c r="A627" s="50"/>
      <c r="B627" s="50"/>
      <c r="C627" s="5"/>
      <c r="D627" s="48"/>
      <c r="E627" s="50"/>
      <c r="F627" s="5"/>
      <c r="G627" s="5"/>
      <c r="H627" s="5"/>
      <c r="I627" s="5"/>
      <c r="J627" s="5"/>
      <c r="K627" s="50"/>
      <c r="L627" s="50"/>
      <c r="M627" s="50"/>
      <c r="N627" s="50"/>
      <c r="O627" s="50"/>
      <c r="P627" s="50"/>
      <c r="Q627" s="50"/>
      <c r="R627" s="50"/>
      <c r="S627" s="50"/>
      <c r="T627" s="50"/>
      <c r="U627" s="50"/>
      <c r="V627" s="50"/>
      <c r="W627" s="50"/>
      <c r="X627" s="50"/>
      <c r="Y627" s="50"/>
      <c r="Z627" s="50"/>
      <c r="AA627" s="50"/>
      <c r="AB627" s="50"/>
    </row>
    <row r="628" customFormat="false" ht="15.75" hidden="false" customHeight="false" outlineLevel="0" collapsed="false">
      <c r="A628" s="50"/>
      <c r="B628" s="50"/>
      <c r="C628" s="5"/>
      <c r="D628" s="48"/>
      <c r="E628" s="50"/>
      <c r="F628" s="5"/>
      <c r="G628" s="5"/>
      <c r="H628" s="5"/>
      <c r="I628" s="5"/>
      <c r="J628" s="5"/>
      <c r="K628" s="50"/>
      <c r="L628" s="50"/>
      <c r="M628" s="50"/>
      <c r="N628" s="50"/>
      <c r="O628" s="50"/>
      <c r="P628" s="50"/>
      <c r="Q628" s="50"/>
      <c r="R628" s="50"/>
      <c r="S628" s="50"/>
      <c r="T628" s="50"/>
      <c r="U628" s="50"/>
      <c r="V628" s="50"/>
      <c r="W628" s="50"/>
      <c r="X628" s="50"/>
      <c r="Y628" s="50"/>
      <c r="Z628" s="50"/>
      <c r="AA628" s="50"/>
      <c r="AB628" s="50"/>
    </row>
    <row r="629" customFormat="false" ht="15.75" hidden="false" customHeight="false" outlineLevel="0" collapsed="false">
      <c r="A629" s="50"/>
      <c r="B629" s="50"/>
      <c r="C629" s="5"/>
      <c r="D629" s="48"/>
      <c r="E629" s="50"/>
      <c r="F629" s="5"/>
      <c r="G629" s="5"/>
      <c r="H629" s="5"/>
      <c r="I629" s="5"/>
      <c r="J629" s="5"/>
      <c r="K629" s="50"/>
      <c r="L629" s="50"/>
      <c r="M629" s="50"/>
      <c r="N629" s="50"/>
      <c r="O629" s="50"/>
      <c r="P629" s="50"/>
      <c r="Q629" s="50"/>
      <c r="R629" s="50"/>
      <c r="S629" s="50"/>
      <c r="T629" s="50"/>
      <c r="U629" s="50"/>
      <c r="V629" s="50"/>
      <c r="W629" s="50"/>
      <c r="X629" s="50"/>
      <c r="Y629" s="50"/>
      <c r="Z629" s="50"/>
      <c r="AA629" s="50"/>
      <c r="AB629" s="50"/>
    </row>
    <row r="630" customFormat="false" ht="15.75" hidden="false" customHeight="false" outlineLevel="0" collapsed="false">
      <c r="A630" s="50"/>
      <c r="B630" s="50"/>
      <c r="C630" s="5"/>
      <c r="D630" s="48"/>
      <c r="E630" s="50"/>
      <c r="F630" s="5"/>
      <c r="G630" s="5"/>
      <c r="H630" s="5"/>
      <c r="I630" s="5"/>
      <c r="J630" s="5"/>
      <c r="K630" s="50"/>
      <c r="L630" s="50"/>
      <c r="M630" s="50"/>
      <c r="N630" s="50"/>
      <c r="O630" s="50"/>
      <c r="P630" s="50"/>
      <c r="Q630" s="50"/>
      <c r="R630" s="50"/>
      <c r="S630" s="50"/>
      <c r="T630" s="50"/>
      <c r="U630" s="50"/>
      <c r="V630" s="50"/>
      <c r="W630" s="50"/>
      <c r="X630" s="50"/>
      <c r="Y630" s="50"/>
      <c r="Z630" s="50"/>
      <c r="AA630" s="50"/>
      <c r="AB630" s="50"/>
    </row>
    <row r="631" customFormat="false" ht="15.75" hidden="false" customHeight="false" outlineLevel="0" collapsed="false">
      <c r="A631" s="50"/>
      <c r="B631" s="50"/>
      <c r="C631" s="5"/>
      <c r="D631" s="48"/>
      <c r="E631" s="50"/>
      <c r="F631" s="5"/>
      <c r="G631" s="5"/>
      <c r="H631" s="5"/>
      <c r="I631" s="5"/>
      <c r="J631" s="5"/>
      <c r="K631" s="50"/>
      <c r="L631" s="50"/>
      <c r="M631" s="50"/>
      <c r="N631" s="50"/>
      <c r="O631" s="50"/>
      <c r="P631" s="50"/>
      <c r="Q631" s="50"/>
      <c r="R631" s="50"/>
      <c r="S631" s="50"/>
      <c r="T631" s="50"/>
      <c r="U631" s="50"/>
      <c r="V631" s="50"/>
      <c r="W631" s="50"/>
      <c r="X631" s="50"/>
      <c r="Y631" s="50"/>
      <c r="Z631" s="50"/>
      <c r="AA631" s="50"/>
      <c r="AB631" s="50"/>
    </row>
    <row r="632" customFormat="false" ht="15.75" hidden="false" customHeight="false" outlineLevel="0" collapsed="false">
      <c r="A632" s="50"/>
      <c r="B632" s="50"/>
      <c r="C632" s="5"/>
      <c r="D632" s="48"/>
      <c r="E632" s="50"/>
      <c r="F632" s="5"/>
      <c r="G632" s="5"/>
      <c r="H632" s="5"/>
      <c r="I632" s="5"/>
      <c r="J632" s="5"/>
      <c r="K632" s="50"/>
      <c r="L632" s="50"/>
      <c r="M632" s="50"/>
      <c r="N632" s="50"/>
      <c r="O632" s="50"/>
      <c r="P632" s="50"/>
      <c r="Q632" s="50"/>
      <c r="R632" s="50"/>
      <c r="S632" s="50"/>
      <c r="T632" s="50"/>
      <c r="U632" s="50"/>
      <c r="V632" s="50"/>
      <c r="W632" s="50"/>
      <c r="X632" s="50"/>
      <c r="Y632" s="50"/>
      <c r="Z632" s="50"/>
      <c r="AA632" s="50"/>
      <c r="AB632" s="50"/>
    </row>
    <row r="633" customFormat="false" ht="15.75" hidden="false" customHeight="false" outlineLevel="0" collapsed="false">
      <c r="A633" s="50"/>
      <c r="B633" s="50"/>
      <c r="C633" s="5"/>
      <c r="D633" s="48"/>
      <c r="E633" s="50"/>
      <c r="F633" s="5"/>
      <c r="G633" s="5"/>
      <c r="H633" s="5"/>
      <c r="I633" s="5"/>
      <c r="J633" s="5"/>
      <c r="K633" s="50"/>
      <c r="L633" s="50"/>
      <c r="M633" s="50"/>
      <c r="N633" s="50"/>
      <c r="O633" s="50"/>
      <c r="P633" s="50"/>
      <c r="Q633" s="50"/>
      <c r="R633" s="50"/>
      <c r="S633" s="50"/>
      <c r="T633" s="50"/>
      <c r="U633" s="50"/>
      <c r="V633" s="50"/>
      <c r="W633" s="50"/>
      <c r="X633" s="50"/>
      <c r="Y633" s="50"/>
      <c r="Z633" s="50"/>
      <c r="AA633" s="50"/>
      <c r="AB633" s="50"/>
    </row>
    <row r="634" customFormat="false" ht="15.75" hidden="false" customHeight="false" outlineLevel="0" collapsed="false">
      <c r="A634" s="50"/>
      <c r="B634" s="50"/>
      <c r="C634" s="5"/>
      <c r="D634" s="48"/>
      <c r="E634" s="50"/>
      <c r="F634" s="5"/>
      <c r="G634" s="5"/>
      <c r="H634" s="5"/>
      <c r="I634" s="5"/>
      <c r="J634" s="5"/>
      <c r="K634" s="50"/>
      <c r="L634" s="50"/>
      <c r="M634" s="50"/>
      <c r="N634" s="50"/>
      <c r="O634" s="50"/>
      <c r="P634" s="50"/>
      <c r="Q634" s="50"/>
      <c r="R634" s="50"/>
      <c r="S634" s="50"/>
      <c r="T634" s="50"/>
      <c r="U634" s="50"/>
      <c r="V634" s="50"/>
      <c r="W634" s="50"/>
      <c r="X634" s="50"/>
      <c r="Y634" s="50"/>
      <c r="Z634" s="50"/>
      <c r="AA634" s="50"/>
      <c r="AB634" s="50"/>
    </row>
    <row r="635" customFormat="false" ht="15.75" hidden="false" customHeight="false" outlineLevel="0" collapsed="false">
      <c r="A635" s="50"/>
      <c r="B635" s="50"/>
      <c r="C635" s="5"/>
      <c r="D635" s="48"/>
      <c r="E635" s="50"/>
      <c r="F635" s="5"/>
      <c r="G635" s="5"/>
      <c r="H635" s="5"/>
      <c r="I635" s="5"/>
      <c r="J635" s="5"/>
      <c r="K635" s="50"/>
      <c r="L635" s="50"/>
      <c r="M635" s="50"/>
      <c r="N635" s="50"/>
      <c r="O635" s="50"/>
      <c r="P635" s="50"/>
      <c r="Q635" s="50"/>
      <c r="R635" s="50"/>
      <c r="S635" s="50"/>
      <c r="T635" s="50"/>
      <c r="U635" s="50"/>
      <c r="V635" s="50"/>
      <c r="W635" s="50"/>
      <c r="X635" s="50"/>
      <c r="Y635" s="50"/>
      <c r="Z635" s="50"/>
      <c r="AA635" s="50"/>
      <c r="AB635" s="50"/>
    </row>
    <row r="636" customFormat="false" ht="15.75" hidden="false" customHeight="false" outlineLevel="0" collapsed="false">
      <c r="A636" s="50"/>
      <c r="B636" s="50"/>
      <c r="C636" s="5"/>
      <c r="D636" s="48"/>
      <c r="E636" s="50"/>
      <c r="F636" s="5"/>
      <c r="G636" s="5"/>
      <c r="H636" s="5"/>
      <c r="I636" s="5"/>
      <c r="J636" s="5"/>
      <c r="K636" s="50"/>
      <c r="L636" s="50"/>
      <c r="M636" s="50"/>
      <c r="N636" s="50"/>
      <c r="O636" s="50"/>
      <c r="P636" s="50"/>
      <c r="Q636" s="50"/>
      <c r="R636" s="50"/>
      <c r="S636" s="50"/>
      <c r="T636" s="50"/>
      <c r="U636" s="50"/>
      <c r="V636" s="50"/>
      <c r="W636" s="50"/>
      <c r="X636" s="50"/>
      <c r="Y636" s="50"/>
      <c r="Z636" s="50"/>
      <c r="AA636" s="50"/>
      <c r="AB636" s="50"/>
    </row>
    <row r="637" customFormat="false" ht="15.75" hidden="false" customHeight="false" outlineLevel="0" collapsed="false">
      <c r="A637" s="50"/>
      <c r="B637" s="50"/>
      <c r="C637" s="5"/>
      <c r="D637" s="48"/>
      <c r="E637" s="50"/>
      <c r="F637" s="5"/>
      <c r="G637" s="5"/>
      <c r="H637" s="5"/>
      <c r="I637" s="5"/>
      <c r="J637" s="5"/>
      <c r="K637" s="50"/>
      <c r="L637" s="50"/>
      <c r="M637" s="50"/>
      <c r="N637" s="50"/>
      <c r="O637" s="50"/>
      <c r="P637" s="50"/>
      <c r="Q637" s="50"/>
      <c r="R637" s="50"/>
      <c r="S637" s="50"/>
      <c r="T637" s="50"/>
      <c r="U637" s="50"/>
      <c r="V637" s="50"/>
      <c r="W637" s="50"/>
      <c r="X637" s="50"/>
      <c r="Y637" s="50"/>
      <c r="Z637" s="50"/>
      <c r="AA637" s="50"/>
      <c r="AB637" s="50"/>
    </row>
    <row r="638" customFormat="false" ht="15.75" hidden="false" customHeight="false" outlineLevel="0" collapsed="false">
      <c r="A638" s="50"/>
      <c r="B638" s="50"/>
      <c r="C638" s="5"/>
      <c r="D638" s="48"/>
      <c r="E638" s="50"/>
      <c r="F638" s="5"/>
      <c r="G638" s="5"/>
      <c r="H638" s="5"/>
      <c r="I638" s="5"/>
      <c r="J638" s="5"/>
      <c r="K638" s="50"/>
      <c r="L638" s="50"/>
      <c r="M638" s="50"/>
      <c r="N638" s="50"/>
      <c r="O638" s="50"/>
      <c r="P638" s="50"/>
      <c r="Q638" s="50"/>
      <c r="R638" s="50"/>
      <c r="S638" s="50"/>
      <c r="T638" s="50"/>
      <c r="U638" s="50"/>
      <c r="V638" s="50"/>
      <c r="W638" s="50"/>
      <c r="X638" s="50"/>
      <c r="Y638" s="50"/>
      <c r="Z638" s="50"/>
      <c r="AA638" s="50"/>
      <c r="AB638" s="50"/>
    </row>
    <row r="639" customFormat="false" ht="15.75" hidden="false" customHeight="false" outlineLevel="0" collapsed="false">
      <c r="A639" s="50"/>
      <c r="B639" s="50"/>
      <c r="C639" s="5"/>
      <c r="D639" s="48"/>
      <c r="E639" s="50"/>
      <c r="F639" s="5"/>
      <c r="G639" s="5"/>
      <c r="H639" s="5"/>
      <c r="I639" s="5"/>
      <c r="J639" s="5"/>
      <c r="K639" s="50"/>
      <c r="L639" s="50"/>
      <c r="M639" s="50"/>
      <c r="N639" s="50"/>
      <c r="O639" s="50"/>
      <c r="P639" s="50"/>
      <c r="Q639" s="50"/>
      <c r="R639" s="50"/>
      <c r="S639" s="50"/>
      <c r="T639" s="50"/>
      <c r="U639" s="50"/>
      <c r="V639" s="50"/>
      <c r="W639" s="50"/>
      <c r="X639" s="50"/>
      <c r="Y639" s="50"/>
      <c r="Z639" s="50"/>
      <c r="AA639" s="50"/>
      <c r="AB639" s="50"/>
    </row>
    <row r="640" customFormat="false" ht="15.75" hidden="false" customHeight="false" outlineLevel="0" collapsed="false">
      <c r="A640" s="50"/>
      <c r="B640" s="50"/>
      <c r="C640" s="5"/>
      <c r="D640" s="48"/>
      <c r="E640" s="50"/>
      <c r="F640" s="5"/>
      <c r="G640" s="5"/>
      <c r="H640" s="5"/>
      <c r="I640" s="5"/>
      <c r="J640" s="5"/>
      <c r="K640" s="50"/>
      <c r="L640" s="50"/>
      <c r="M640" s="50"/>
      <c r="N640" s="50"/>
      <c r="O640" s="50"/>
      <c r="P640" s="50"/>
      <c r="Q640" s="50"/>
      <c r="R640" s="50"/>
      <c r="S640" s="50"/>
      <c r="T640" s="50"/>
      <c r="U640" s="50"/>
      <c r="V640" s="50"/>
      <c r="W640" s="50"/>
      <c r="X640" s="50"/>
      <c r="Y640" s="50"/>
      <c r="Z640" s="50"/>
      <c r="AA640" s="50"/>
      <c r="AB640" s="50"/>
    </row>
    <row r="641" customFormat="false" ht="15.75" hidden="false" customHeight="false" outlineLevel="0" collapsed="false">
      <c r="A641" s="50"/>
      <c r="B641" s="50"/>
      <c r="C641" s="5"/>
      <c r="D641" s="48"/>
      <c r="E641" s="50"/>
      <c r="F641" s="5"/>
      <c r="G641" s="5"/>
      <c r="H641" s="5"/>
      <c r="I641" s="5"/>
      <c r="J641" s="5"/>
      <c r="K641" s="50"/>
      <c r="L641" s="50"/>
      <c r="M641" s="50"/>
      <c r="N641" s="50"/>
      <c r="O641" s="50"/>
      <c r="P641" s="50"/>
      <c r="Q641" s="50"/>
      <c r="R641" s="50"/>
      <c r="S641" s="50"/>
      <c r="T641" s="50"/>
      <c r="U641" s="50"/>
      <c r="V641" s="50"/>
      <c r="W641" s="50"/>
      <c r="X641" s="50"/>
      <c r="Y641" s="50"/>
      <c r="Z641" s="50"/>
      <c r="AA641" s="50"/>
      <c r="AB641" s="50"/>
    </row>
    <row r="642" customFormat="false" ht="15.75" hidden="false" customHeight="false" outlineLevel="0" collapsed="false">
      <c r="A642" s="50"/>
      <c r="B642" s="50"/>
      <c r="C642" s="5"/>
      <c r="D642" s="48"/>
      <c r="E642" s="50"/>
      <c r="F642" s="5"/>
      <c r="G642" s="5"/>
      <c r="H642" s="5"/>
      <c r="I642" s="5"/>
      <c r="J642" s="5"/>
      <c r="K642" s="50"/>
      <c r="L642" s="50"/>
      <c r="M642" s="50"/>
      <c r="N642" s="50"/>
      <c r="O642" s="50"/>
      <c r="P642" s="50"/>
      <c r="Q642" s="50"/>
      <c r="R642" s="50"/>
      <c r="S642" s="50"/>
      <c r="T642" s="50"/>
      <c r="U642" s="50"/>
      <c r="V642" s="50"/>
      <c r="W642" s="50"/>
      <c r="X642" s="50"/>
      <c r="Y642" s="50"/>
      <c r="Z642" s="50"/>
      <c r="AA642" s="50"/>
      <c r="AB642" s="50"/>
    </row>
    <row r="643" customFormat="false" ht="15.75" hidden="false" customHeight="false" outlineLevel="0" collapsed="false">
      <c r="A643" s="50"/>
      <c r="B643" s="50"/>
      <c r="C643" s="5"/>
      <c r="D643" s="48"/>
      <c r="E643" s="50"/>
      <c r="F643" s="5"/>
      <c r="G643" s="5"/>
      <c r="H643" s="5"/>
      <c r="I643" s="5"/>
      <c r="J643" s="5"/>
      <c r="K643" s="50"/>
      <c r="L643" s="50"/>
      <c r="M643" s="50"/>
      <c r="N643" s="50"/>
      <c r="O643" s="50"/>
      <c r="P643" s="50"/>
      <c r="Q643" s="50"/>
      <c r="R643" s="50"/>
      <c r="S643" s="50"/>
      <c r="T643" s="50"/>
      <c r="U643" s="50"/>
      <c r="V643" s="50"/>
      <c r="W643" s="50"/>
      <c r="X643" s="50"/>
      <c r="Y643" s="50"/>
      <c r="Z643" s="50"/>
      <c r="AA643" s="50"/>
      <c r="AB643" s="50"/>
    </row>
    <row r="644" customFormat="false" ht="15.75" hidden="false" customHeight="false" outlineLevel="0" collapsed="false">
      <c r="A644" s="50"/>
      <c r="B644" s="50"/>
      <c r="C644" s="5"/>
      <c r="D644" s="48"/>
      <c r="E644" s="50"/>
      <c r="F644" s="5"/>
      <c r="G644" s="5"/>
      <c r="H644" s="5"/>
      <c r="I644" s="5"/>
      <c r="J644" s="5"/>
      <c r="K644" s="50"/>
      <c r="L644" s="50"/>
      <c r="M644" s="50"/>
      <c r="N644" s="50"/>
      <c r="O644" s="50"/>
      <c r="P644" s="50"/>
      <c r="Q644" s="50"/>
      <c r="R644" s="50"/>
      <c r="S644" s="50"/>
      <c r="T644" s="50"/>
      <c r="U644" s="50"/>
      <c r="V644" s="50"/>
      <c r="W644" s="50"/>
      <c r="X644" s="50"/>
      <c r="Y644" s="50"/>
      <c r="Z644" s="50"/>
      <c r="AA644" s="50"/>
      <c r="AB644" s="50"/>
    </row>
    <row r="645" customFormat="false" ht="15.75" hidden="false" customHeight="false" outlineLevel="0" collapsed="false">
      <c r="A645" s="50"/>
      <c r="B645" s="50"/>
      <c r="C645" s="5"/>
      <c r="D645" s="48"/>
      <c r="E645" s="50"/>
      <c r="F645" s="5"/>
      <c r="G645" s="5"/>
      <c r="H645" s="5"/>
      <c r="I645" s="5"/>
      <c r="J645" s="5"/>
      <c r="K645" s="50"/>
      <c r="L645" s="50"/>
      <c r="M645" s="50"/>
      <c r="N645" s="50"/>
      <c r="O645" s="50"/>
      <c r="P645" s="50"/>
      <c r="Q645" s="50"/>
      <c r="R645" s="50"/>
      <c r="S645" s="50"/>
      <c r="T645" s="50"/>
      <c r="U645" s="50"/>
      <c r="V645" s="50"/>
      <c r="W645" s="50"/>
      <c r="X645" s="50"/>
      <c r="Y645" s="50"/>
      <c r="Z645" s="50"/>
      <c r="AA645" s="50"/>
      <c r="AB645" s="50"/>
    </row>
    <row r="646" customFormat="false" ht="15.75" hidden="false" customHeight="false" outlineLevel="0" collapsed="false">
      <c r="A646" s="50"/>
      <c r="B646" s="50"/>
      <c r="C646" s="5"/>
      <c r="D646" s="48"/>
      <c r="E646" s="50"/>
      <c r="F646" s="5"/>
      <c r="G646" s="5"/>
      <c r="H646" s="5"/>
      <c r="I646" s="5"/>
      <c r="J646" s="5"/>
      <c r="K646" s="50"/>
      <c r="L646" s="50"/>
      <c r="M646" s="50"/>
      <c r="N646" s="50"/>
      <c r="O646" s="50"/>
      <c r="P646" s="50"/>
      <c r="Q646" s="50"/>
      <c r="R646" s="50"/>
      <c r="S646" s="50"/>
      <c r="T646" s="50"/>
      <c r="U646" s="50"/>
      <c r="V646" s="50"/>
      <c r="W646" s="50"/>
      <c r="X646" s="50"/>
      <c r="Y646" s="50"/>
      <c r="Z646" s="50"/>
      <c r="AA646" s="50"/>
      <c r="AB646" s="50"/>
    </row>
    <row r="647" customFormat="false" ht="15.75" hidden="false" customHeight="false" outlineLevel="0" collapsed="false">
      <c r="A647" s="50"/>
      <c r="B647" s="50"/>
      <c r="C647" s="5"/>
      <c r="D647" s="48"/>
      <c r="E647" s="50"/>
      <c r="F647" s="5"/>
      <c r="G647" s="5"/>
      <c r="H647" s="5"/>
      <c r="I647" s="5"/>
      <c r="J647" s="5"/>
      <c r="K647" s="50"/>
      <c r="L647" s="50"/>
      <c r="M647" s="50"/>
      <c r="N647" s="50"/>
      <c r="O647" s="50"/>
      <c r="P647" s="50"/>
      <c r="Q647" s="50"/>
      <c r="R647" s="50"/>
      <c r="S647" s="50"/>
      <c r="T647" s="50"/>
      <c r="U647" s="50"/>
      <c r="V647" s="50"/>
      <c r="W647" s="50"/>
      <c r="X647" s="50"/>
      <c r="Y647" s="50"/>
      <c r="Z647" s="50"/>
      <c r="AA647" s="50"/>
      <c r="AB647" s="50"/>
    </row>
    <row r="648" customFormat="false" ht="15.75" hidden="false" customHeight="false" outlineLevel="0" collapsed="false">
      <c r="A648" s="50"/>
      <c r="B648" s="50"/>
      <c r="C648" s="5"/>
      <c r="D648" s="48"/>
      <c r="E648" s="50"/>
      <c r="F648" s="5"/>
      <c r="G648" s="5"/>
      <c r="H648" s="5"/>
      <c r="I648" s="5"/>
      <c r="J648" s="5"/>
      <c r="K648" s="50"/>
      <c r="L648" s="50"/>
      <c r="M648" s="50"/>
      <c r="N648" s="50"/>
      <c r="O648" s="50"/>
      <c r="P648" s="50"/>
      <c r="Q648" s="50"/>
      <c r="R648" s="50"/>
      <c r="S648" s="50"/>
      <c r="T648" s="50"/>
      <c r="U648" s="50"/>
      <c r="V648" s="50"/>
      <c r="W648" s="50"/>
      <c r="X648" s="50"/>
      <c r="Y648" s="50"/>
      <c r="Z648" s="50"/>
      <c r="AA648" s="50"/>
      <c r="AB648" s="50"/>
    </row>
    <row r="649" customFormat="false" ht="15.75" hidden="false" customHeight="false" outlineLevel="0" collapsed="false">
      <c r="A649" s="50"/>
      <c r="B649" s="50"/>
      <c r="C649" s="5"/>
      <c r="D649" s="48"/>
      <c r="E649" s="50"/>
      <c r="F649" s="5"/>
      <c r="G649" s="5"/>
      <c r="H649" s="5"/>
      <c r="I649" s="5"/>
      <c r="J649" s="5"/>
      <c r="K649" s="50"/>
      <c r="L649" s="50"/>
      <c r="M649" s="50"/>
      <c r="N649" s="50"/>
      <c r="O649" s="50"/>
      <c r="P649" s="50"/>
      <c r="Q649" s="50"/>
      <c r="R649" s="50"/>
      <c r="S649" s="50"/>
      <c r="T649" s="50"/>
      <c r="U649" s="50"/>
      <c r="V649" s="50"/>
      <c r="W649" s="50"/>
      <c r="X649" s="50"/>
      <c r="Y649" s="50"/>
      <c r="Z649" s="50"/>
      <c r="AA649" s="50"/>
      <c r="AB649" s="50"/>
    </row>
    <row r="650" customFormat="false" ht="15.75" hidden="false" customHeight="false" outlineLevel="0" collapsed="false">
      <c r="A650" s="50"/>
      <c r="B650" s="50"/>
      <c r="C650" s="5"/>
      <c r="D650" s="48"/>
      <c r="E650" s="50"/>
      <c r="F650" s="5"/>
      <c r="G650" s="5"/>
      <c r="H650" s="5"/>
      <c r="I650" s="5"/>
      <c r="J650" s="5"/>
      <c r="K650" s="50"/>
      <c r="L650" s="50"/>
      <c r="M650" s="50"/>
      <c r="N650" s="50"/>
      <c r="O650" s="50"/>
      <c r="P650" s="50"/>
      <c r="Q650" s="50"/>
      <c r="R650" s="50"/>
      <c r="S650" s="50"/>
      <c r="T650" s="50"/>
      <c r="U650" s="50"/>
      <c r="V650" s="50"/>
      <c r="W650" s="50"/>
      <c r="X650" s="50"/>
      <c r="Y650" s="50"/>
      <c r="Z650" s="50"/>
      <c r="AA650" s="50"/>
      <c r="AB650" s="50"/>
    </row>
    <row r="651" customFormat="false" ht="15.75" hidden="false" customHeight="false" outlineLevel="0" collapsed="false">
      <c r="A651" s="50"/>
      <c r="B651" s="50"/>
      <c r="C651" s="5"/>
      <c r="D651" s="48"/>
      <c r="E651" s="50"/>
      <c r="F651" s="5"/>
      <c r="G651" s="5"/>
      <c r="H651" s="5"/>
      <c r="I651" s="5"/>
      <c r="J651" s="5"/>
      <c r="K651" s="50"/>
      <c r="L651" s="50"/>
      <c r="M651" s="50"/>
      <c r="N651" s="50"/>
      <c r="O651" s="50"/>
      <c r="P651" s="50"/>
      <c r="Q651" s="50"/>
      <c r="R651" s="50"/>
      <c r="S651" s="50"/>
      <c r="T651" s="50"/>
      <c r="U651" s="50"/>
      <c r="V651" s="50"/>
      <c r="W651" s="50"/>
      <c r="X651" s="50"/>
      <c r="Y651" s="50"/>
      <c r="Z651" s="50"/>
      <c r="AA651" s="50"/>
      <c r="AB651" s="50"/>
    </row>
    <row r="652" customFormat="false" ht="15.75" hidden="false" customHeight="false" outlineLevel="0" collapsed="false">
      <c r="A652" s="50"/>
      <c r="B652" s="50"/>
      <c r="C652" s="5"/>
      <c r="D652" s="48"/>
      <c r="E652" s="50"/>
      <c r="F652" s="5"/>
      <c r="G652" s="5"/>
      <c r="H652" s="5"/>
      <c r="I652" s="5"/>
      <c r="J652" s="5"/>
      <c r="K652" s="50"/>
      <c r="L652" s="50"/>
      <c r="M652" s="50"/>
      <c r="N652" s="50"/>
      <c r="O652" s="50"/>
      <c r="P652" s="50"/>
      <c r="Q652" s="50"/>
      <c r="R652" s="50"/>
      <c r="S652" s="50"/>
      <c r="T652" s="50"/>
      <c r="U652" s="50"/>
      <c r="V652" s="50"/>
      <c r="W652" s="50"/>
      <c r="X652" s="50"/>
      <c r="Y652" s="50"/>
      <c r="Z652" s="50"/>
      <c r="AA652" s="50"/>
      <c r="AB652" s="50"/>
    </row>
    <row r="653" customFormat="false" ht="15.75" hidden="false" customHeight="false" outlineLevel="0" collapsed="false">
      <c r="A653" s="50"/>
      <c r="B653" s="50"/>
      <c r="C653" s="5"/>
      <c r="D653" s="48"/>
      <c r="E653" s="50"/>
      <c r="F653" s="5"/>
      <c r="G653" s="5"/>
      <c r="H653" s="5"/>
      <c r="I653" s="5"/>
      <c r="J653" s="5"/>
      <c r="K653" s="50"/>
      <c r="L653" s="50"/>
      <c r="M653" s="50"/>
      <c r="N653" s="50"/>
      <c r="O653" s="50"/>
      <c r="P653" s="50"/>
      <c r="Q653" s="50"/>
      <c r="R653" s="50"/>
      <c r="S653" s="50"/>
      <c r="T653" s="50"/>
      <c r="U653" s="50"/>
      <c r="V653" s="50"/>
      <c r="W653" s="50"/>
      <c r="X653" s="50"/>
      <c r="Y653" s="50"/>
      <c r="Z653" s="50"/>
      <c r="AA653" s="50"/>
      <c r="AB653" s="50"/>
    </row>
    <row r="654" customFormat="false" ht="15.75" hidden="false" customHeight="false" outlineLevel="0" collapsed="false">
      <c r="A654" s="50"/>
      <c r="B654" s="50"/>
      <c r="C654" s="5"/>
      <c r="D654" s="48"/>
      <c r="E654" s="50"/>
      <c r="F654" s="5"/>
      <c r="G654" s="5"/>
      <c r="H654" s="5"/>
      <c r="I654" s="5"/>
      <c r="J654" s="5"/>
      <c r="K654" s="50"/>
      <c r="L654" s="50"/>
      <c r="M654" s="50"/>
      <c r="N654" s="50"/>
      <c r="O654" s="50"/>
      <c r="P654" s="50"/>
      <c r="Q654" s="50"/>
      <c r="R654" s="50"/>
      <c r="S654" s="50"/>
      <c r="T654" s="50"/>
      <c r="U654" s="50"/>
      <c r="V654" s="50"/>
      <c r="W654" s="50"/>
      <c r="X654" s="50"/>
      <c r="Y654" s="50"/>
      <c r="Z654" s="50"/>
      <c r="AA654" s="50"/>
      <c r="AB654" s="50"/>
    </row>
    <row r="655" customFormat="false" ht="15.75" hidden="false" customHeight="false" outlineLevel="0" collapsed="false">
      <c r="A655" s="50"/>
      <c r="B655" s="50"/>
      <c r="C655" s="5"/>
      <c r="D655" s="48"/>
      <c r="E655" s="50"/>
      <c r="F655" s="5"/>
      <c r="G655" s="5"/>
      <c r="H655" s="5"/>
      <c r="I655" s="5"/>
      <c r="J655" s="5"/>
      <c r="K655" s="50"/>
      <c r="L655" s="50"/>
      <c r="M655" s="50"/>
      <c r="N655" s="50"/>
      <c r="O655" s="50"/>
      <c r="P655" s="50"/>
      <c r="Q655" s="50"/>
      <c r="R655" s="50"/>
      <c r="S655" s="50"/>
      <c r="T655" s="50"/>
      <c r="U655" s="50"/>
      <c r="V655" s="50"/>
      <c r="W655" s="50"/>
      <c r="X655" s="50"/>
      <c r="Y655" s="50"/>
      <c r="Z655" s="50"/>
      <c r="AA655" s="50"/>
      <c r="AB655" s="50"/>
    </row>
    <row r="656" customFormat="false" ht="15.75" hidden="false" customHeight="false" outlineLevel="0" collapsed="false">
      <c r="A656" s="50"/>
      <c r="B656" s="50"/>
      <c r="C656" s="5"/>
      <c r="D656" s="48"/>
      <c r="E656" s="50"/>
      <c r="F656" s="5"/>
      <c r="G656" s="5"/>
      <c r="H656" s="5"/>
      <c r="I656" s="5"/>
      <c r="J656" s="5"/>
      <c r="K656" s="50"/>
      <c r="L656" s="50"/>
      <c r="M656" s="50"/>
      <c r="N656" s="50"/>
      <c r="O656" s="50"/>
      <c r="P656" s="50"/>
      <c r="Q656" s="50"/>
      <c r="R656" s="50"/>
      <c r="S656" s="50"/>
      <c r="T656" s="50"/>
      <c r="U656" s="50"/>
      <c r="V656" s="50"/>
      <c r="W656" s="50"/>
      <c r="X656" s="50"/>
      <c r="Y656" s="50"/>
      <c r="Z656" s="50"/>
      <c r="AA656" s="50"/>
      <c r="AB656" s="50"/>
    </row>
    <row r="657" customFormat="false" ht="15.75" hidden="false" customHeight="false" outlineLevel="0" collapsed="false">
      <c r="A657" s="50"/>
      <c r="B657" s="50"/>
      <c r="C657" s="5"/>
      <c r="D657" s="48"/>
      <c r="E657" s="50"/>
      <c r="F657" s="5"/>
      <c r="G657" s="5"/>
      <c r="H657" s="5"/>
      <c r="I657" s="5"/>
      <c r="J657" s="5"/>
      <c r="K657" s="50"/>
      <c r="L657" s="50"/>
      <c r="M657" s="50"/>
      <c r="N657" s="50"/>
      <c r="O657" s="50"/>
      <c r="P657" s="50"/>
      <c r="Q657" s="50"/>
      <c r="R657" s="50"/>
      <c r="S657" s="50"/>
      <c r="T657" s="50"/>
      <c r="U657" s="50"/>
      <c r="V657" s="50"/>
      <c r="W657" s="50"/>
      <c r="X657" s="50"/>
      <c r="Y657" s="50"/>
      <c r="Z657" s="50"/>
      <c r="AA657" s="50"/>
      <c r="AB657" s="50"/>
    </row>
    <row r="658" customFormat="false" ht="15.75" hidden="false" customHeight="false" outlineLevel="0" collapsed="false">
      <c r="A658" s="50"/>
      <c r="B658" s="50"/>
      <c r="C658" s="5"/>
      <c r="D658" s="48"/>
      <c r="E658" s="50"/>
      <c r="F658" s="5"/>
      <c r="G658" s="5"/>
      <c r="H658" s="5"/>
      <c r="I658" s="5"/>
      <c r="J658" s="5"/>
      <c r="K658" s="50"/>
      <c r="L658" s="50"/>
      <c r="M658" s="50"/>
      <c r="N658" s="50"/>
      <c r="O658" s="50"/>
      <c r="P658" s="50"/>
      <c r="Q658" s="50"/>
      <c r="R658" s="50"/>
      <c r="S658" s="50"/>
      <c r="T658" s="50"/>
      <c r="U658" s="50"/>
      <c r="V658" s="50"/>
      <c r="W658" s="50"/>
      <c r="X658" s="50"/>
      <c r="Y658" s="50"/>
      <c r="Z658" s="50"/>
      <c r="AA658" s="50"/>
      <c r="AB658" s="50"/>
    </row>
    <row r="659" customFormat="false" ht="15.75" hidden="false" customHeight="false" outlineLevel="0" collapsed="false">
      <c r="A659" s="50"/>
      <c r="B659" s="50"/>
      <c r="C659" s="5"/>
      <c r="D659" s="48"/>
      <c r="E659" s="50"/>
      <c r="F659" s="5"/>
      <c r="G659" s="5"/>
      <c r="H659" s="5"/>
      <c r="I659" s="5"/>
      <c r="J659" s="5"/>
      <c r="K659" s="50"/>
      <c r="L659" s="50"/>
      <c r="M659" s="50"/>
      <c r="N659" s="50"/>
      <c r="O659" s="50"/>
      <c r="P659" s="50"/>
      <c r="Q659" s="50"/>
      <c r="R659" s="50"/>
      <c r="S659" s="50"/>
      <c r="T659" s="50"/>
      <c r="U659" s="50"/>
      <c r="V659" s="50"/>
      <c r="W659" s="50"/>
      <c r="X659" s="50"/>
      <c r="Y659" s="50"/>
      <c r="Z659" s="50"/>
      <c r="AA659" s="50"/>
      <c r="AB659" s="50"/>
    </row>
    <row r="660" customFormat="false" ht="15.75" hidden="false" customHeight="false" outlineLevel="0" collapsed="false">
      <c r="A660" s="50"/>
      <c r="B660" s="50"/>
      <c r="C660" s="5"/>
      <c r="D660" s="48"/>
      <c r="E660" s="50"/>
      <c r="F660" s="5"/>
      <c r="G660" s="5"/>
      <c r="H660" s="5"/>
      <c r="I660" s="5"/>
      <c r="J660" s="5"/>
      <c r="K660" s="50"/>
      <c r="L660" s="50"/>
      <c r="M660" s="50"/>
      <c r="N660" s="50"/>
      <c r="O660" s="50"/>
      <c r="P660" s="50"/>
      <c r="Q660" s="50"/>
      <c r="R660" s="50"/>
      <c r="S660" s="50"/>
      <c r="T660" s="50"/>
      <c r="U660" s="50"/>
      <c r="V660" s="50"/>
      <c r="W660" s="50"/>
      <c r="X660" s="50"/>
      <c r="Y660" s="50"/>
      <c r="Z660" s="50"/>
      <c r="AA660" s="50"/>
      <c r="AB660" s="50"/>
    </row>
    <row r="661" customFormat="false" ht="15.75" hidden="false" customHeight="false" outlineLevel="0" collapsed="false">
      <c r="A661" s="50"/>
      <c r="B661" s="50"/>
      <c r="C661" s="5"/>
      <c r="D661" s="48"/>
      <c r="E661" s="50"/>
      <c r="F661" s="5"/>
      <c r="G661" s="5"/>
      <c r="H661" s="5"/>
      <c r="I661" s="5"/>
      <c r="J661" s="5"/>
      <c r="K661" s="50"/>
      <c r="L661" s="50"/>
      <c r="M661" s="50"/>
      <c r="N661" s="50"/>
      <c r="O661" s="50"/>
      <c r="P661" s="50"/>
      <c r="Q661" s="50"/>
      <c r="R661" s="50"/>
      <c r="S661" s="50"/>
      <c r="T661" s="50"/>
      <c r="U661" s="50"/>
      <c r="V661" s="50"/>
      <c r="W661" s="50"/>
      <c r="X661" s="50"/>
      <c r="Y661" s="50"/>
      <c r="Z661" s="50"/>
      <c r="AA661" s="50"/>
      <c r="AB661" s="50"/>
    </row>
    <row r="662" customFormat="false" ht="15.75" hidden="false" customHeight="false" outlineLevel="0" collapsed="false">
      <c r="A662" s="50"/>
      <c r="B662" s="50"/>
      <c r="C662" s="5"/>
      <c r="D662" s="48"/>
      <c r="E662" s="50"/>
      <c r="F662" s="5"/>
      <c r="G662" s="5"/>
      <c r="H662" s="5"/>
      <c r="I662" s="5"/>
      <c r="J662" s="5"/>
      <c r="K662" s="50"/>
      <c r="L662" s="50"/>
      <c r="M662" s="50"/>
      <c r="N662" s="50"/>
      <c r="O662" s="50"/>
      <c r="P662" s="50"/>
      <c r="Q662" s="50"/>
      <c r="R662" s="50"/>
      <c r="S662" s="50"/>
      <c r="T662" s="50"/>
      <c r="U662" s="50"/>
      <c r="V662" s="50"/>
      <c r="W662" s="50"/>
      <c r="X662" s="50"/>
      <c r="Y662" s="50"/>
      <c r="Z662" s="50"/>
      <c r="AA662" s="50"/>
      <c r="AB662" s="50"/>
    </row>
    <row r="663" customFormat="false" ht="15.75" hidden="false" customHeight="false" outlineLevel="0" collapsed="false">
      <c r="A663" s="50"/>
      <c r="B663" s="50"/>
      <c r="C663" s="5"/>
      <c r="D663" s="48"/>
      <c r="E663" s="50"/>
      <c r="F663" s="5"/>
      <c r="G663" s="5"/>
      <c r="H663" s="5"/>
      <c r="I663" s="5"/>
      <c r="J663" s="5"/>
      <c r="K663" s="50"/>
      <c r="L663" s="50"/>
      <c r="M663" s="50"/>
      <c r="N663" s="50"/>
      <c r="O663" s="50"/>
      <c r="P663" s="50"/>
      <c r="Q663" s="50"/>
      <c r="R663" s="50"/>
      <c r="S663" s="50"/>
      <c r="T663" s="50"/>
      <c r="U663" s="50"/>
      <c r="V663" s="50"/>
      <c r="W663" s="50"/>
      <c r="X663" s="50"/>
      <c r="Y663" s="50"/>
      <c r="Z663" s="50"/>
      <c r="AA663" s="50"/>
      <c r="AB663" s="50"/>
    </row>
    <row r="664" customFormat="false" ht="15.75" hidden="false" customHeight="false" outlineLevel="0" collapsed="false">
      <c r="A664" s="50"/>
      <c r="B664" s="50"/>
      <c r="C664" s="5"/>
      <c r="D664" s="48"/>
      <c r="E664" s="50"/>
      <c r="F664" s="5"/>
      <c r="G664" s="5"/>
      <c r="H664" s="5"/>
      <c r="I664" s="5"/>
      <c r="J664" s="5"/>
      <c r="K664" s="50"/>
      <c r="L664" s="50"/>
      <c r="M664" s="50"/>
      <c r="N664" s="50"/>
      <c r="O664" s="50"/>
      <c r="P664" s="50"/>
      <c r="Q664" s="50"/>
      <c r="R664" s="50"/>
      <c r="S664" s="50"/>
      <c r="T664" s="50"/>
      <c r="U664" s="50"/>
      <c r="V664" s="50"/>
      <c r="W664" s="50"/>
      <c r="X664" s="50"/>
      <c r="Y664" s="50"/>
      <c r="Z664" s="50"/>
      <c r="AA664" s="50"/>
      <c r="AB664" s="50"/>
    </row>
    <row r="665" customFormat="false" ht="15.75" hidden="false" customHeight="false" outlineLevel="0" collapsed="false">
      <c r="A665" s="50"/>
      <c r="B665" s="50"/>
      <c r="C665" s="5"/>
      <c r="D665" s="48"/>
      <c r="E665" s="50"/>
      <c r="F665" s="5"/>
      <c r="G665" s="5"/>
      <c r="H665" s="5"/>
      <c r="I665" s="5"/>
      <c r="J665" s="5"/>
      <c r="K665" s="50"/>
      <c r="L665" s="50"/>
      <c r="M665" s="50"/>
      <c r="N665" s="50"/>
      <c r="O665" s="50"/>
      <c r="P665" s="50"/>
      <c r="Q665" s="50"/>
      <c r="R665" s="50"/>
      <c r="S665" s="50"/>
      <c r="T665" s="50"/>
      <c r="U665" s="50"/>
      <c r="V665" s="50"/>
      <c r="W665" s="50"/>
      <c r="X665" s="50"/>
      <c r="Y665" s="50"/>
      <c r="Z665" s="50"/>
      <c r="AA665" s="50"/>
      <c r="AB665" s="50"/>
    </row>
    <row r="666" customFormat="false" ht="15.75" hidden="false" customHeight="false" outlineLevel="0" collapsed="false">
      <c r="A666" s="50"/>
      <c r="B666" s="50"/>
      <c r="C666" s="5"/>
      <c r="D666" s="48"/>
      <c r="E666" s="50"/>
      <c r="F666" s="5"/>
      <c r="G666" s="5"/>
      <c r="H666" s="5"/>
      <c r="I666" s="5"/>
      <c r="J666" s="5"/>
      <c r="K666" s="50"/>
      <c r="L666" s="50"/>
      <c r="M666" s="50"/>
      <c r="N666" s="50"/>
      <c r="O666" s="50"/>
      <c r="P666" s="50"/>
      <c r="Q666" s="50"/>
      <c r="R666" s="50"/>
      <c r="S666" s="50"/>
      <c r="T666" s="50"/>
      <c r="U666" s="50"/>
      <c r="V666" s="50"/>
      <c r="W666" s="50"/>
      <c r="X666" s="50"/>
      <c r="Y666" s="50"/>
      <c r="Z666" s="50"/>
      <c r="AA666" s="50"/>
      <c r="AB666" s="50"/>
    </row>
    <row r="667" customFormat="false" ht="15.75" hidden="false" customHeight="false" outlineLevel="0" collapsed="false">
      <c r="A667" s="50"/>
      <c r="B667" s="50"/>
      <c r="C667" s="5"/>
      <c r="D667" s="48"/>
      <c r="E667" s="50"/>
      <c r="F667" s="5"/>
      <c r="G667" s="5"/>
      <c r="H667" s="5"/>
      <c r="I667" s="5"/>
      <c r="J667" s="5"/>
      <c r="K667" s="50"/>
      <c r="L667" s="50"/>
      <c r="M667" s="50"/>
      <c r="N667" s="50"/>
      <c r="O667" s="50"/>
      <c r="P667" s="50"/>
      <c r="Q667" s="50"/>
      <c r="R667" s="50"/>
      <c r="S667" s="50"/>
      <c r="T667" s="50"/>
      <c r="U667" s="50"/>
      <c r="V667" s="50"/>
      <c r="W667" s="50"/>
      <c r="X667" s="50"/>
      <c r="Y667" s="50"/>
      <c r="Z667" s="50"/>
      <c r="AA667" s="50"/>
      <c r="AB667" s="50"/>
    </row>
    <row r="668" customFormat="false" ht="15.75" hidden="false" customHeight="false" outlineLevel="0" collapsed="false">
      <c r="A668" s="50"/>
      <c r="B668" s="50"/>
      <c r="C668" s="5"/>
      <c r="D668" s="48"/>
      <c r="E668" s="50"/>
      <c r="F668" s="5"/>
      <c r="G668" s="5"/>
      <c r="H668" s="5"/>
      <c r="I668" s="5"/>
      <c r="J668" s="5"/>
      <c r="K668" s="50"/>
      <c r="L668" s="50"/>
      <c r="M668" s="50"/>
      <c r="N668" s="50"/>
      <c r="O668" s="50"/>
      <c r="P668" s="50"/>
      <c r="Q668" s="50"/>
      <c r="R668" s="50"/>
      <c r="S668" s="50"/>
      <c r="T668" s="50"/>
      <c r="U668" s="50"/>
      <c r="V668" s="50"/>
      <c r="W668" s="50"/>
      <c r="X668" s="50"/>
      <c r="Y668" s="50"/>
      <c r="Z668" s="50"/>
      <c r="AA668" s="50"/>
      <c r="AB668" s="50"/>
    </row>
    <row r="669" customFormat="false" ht="15.75" hidden="false" customHeight="false" outlineLevel="0" collapsed="false">
      <c r="A669" s="50"/>
      <c r="B669" s="50"/>
      <c r="C669" s="5"/>
      <c r="D669" s="48"/>
      <c r="E669" s="50"/>
      <c r="F669" s="5"/>
      <c r="G669" s="5"/>
      <c r="H669" s="5"/>
      <c r="I669" s="5"/>
      <c r="J669" s="5"/>
      <c r="K669" s="50"/>
      <c r="L669" s="50"/>
      <c r="M669" s="50"/>
      <c r="N669" s="50"/>
      <c r="O669" s="50"/>
      <c r="P669" s="50"/>
      <c r="Q669" s="50"/>
      <c r="R669" s="50"/>
      <c r="S669" s="50"/>
      <c r="T669" s="50"/>
      <c r="U669" s="50"/>
      <c r="V669" s="50"/>
      <c r="W669" s="50"/>
      <c r="X669" s="50"/>
      <c r="Y669" s="50"/>
      <c r="Z669" s="50"/>
      <c r="AA669" s="50"/>
      <c r="AB669" s="50"/>
    </row>
    <row r="670" customFormat="false" ht="15.75" hidden="false" customHeight="false" outlineLevel="0" collapsed="false">
      <c r="A670" s="50"/>
      <c r="B670" s="50"/>
      <c r="C670" s="5"/>
      <c r="D670" s="48"/>
      <c r="E670" s="50"/>
      <c r="F670" s="5"/>
      <c r="G670" s="5"/>
      <c r="H670" s="5"/>
      <c r="I670" s="5"/>
      <c r="J670" s="5"/>
      <c r="K670" s="50"/>
      <c r="L670" s="50"/>
      <c r="M670" s="50"/>
      <c r="N670" s="50"/>
      <c r="O670" s="50"/>
      <c r="P670" s="50"/>
      <c r="Q670" s="50"/>
      <c r="R670" s="50"/>
      <c r="S670" s="50"/>
      <c r="T670" s="50"/>
      <c r="U670" s="50"/>
      <c r="V670" s="50"/>
      <c r="W670" s="50"/>
      <c r="X670" s="50"/>
      <c r="Y670" s="50"/>
      <c r="Z670" s="50"/>
      <c r="AA670" s="50"/>
      <c r="AB670" s="50"/>
    </row>
    <row r="671" customFormat="false" ht="15.75" hidden="false" customHeight="false" outlineLevel="0" collapsed="false">
      <c r="A671" s="50"/>
      <c r="B671" s="50"/>
      <c r="C671" s="5"/>
      <c r="D671" s="48"/>
      <c r="E671" s="50"/>
      <c r="F671" s="5"/>
      <c r="G671" s="5"/>
      <c r="H671" s="5"/>
      <c r="I671" s="5"/>
      <c r="J671" s="5"/>
      <c r="K671" s="50"/>
      <c r="L671" s="50"/>
      <c r="M671" s="50"/>
      <c r="N671" s="50"/>
      <c r="O671" s="50"/>
      <c r="P671" s="50"/>
      <c r="Q671" s="50"/>
      <c r="R671" s="50"/>
      <c r="S671" s="50"/>
      <c r="T671" s="50"/>
      <c r="U671" s="50"/>
      <c r="V671" s="50"/>
      <c r="W671" s="50"/>
      <c r="X671" s="50"/>
      <c r="Y671" s="50"/>
      <c r="Z671" s="50"/>
      <c r="AA671" s="50"/>
      <c r="AB671" s="50"/>
    </row>
    <row r="672" customFormat="false" ht="15.75" hidden="false" customHeight="false" outlineLevel="0" collapsed="false">
      <c r="A672" s="50"/>
      <c r="B672" s="50"/>
      <c r="C672" s="5"/>
      <c r="D672" s="48"/>
      <c r="E672" s="50"/>
      <c r="F672" s="5"/>
      <c r="G672" s="5"/>
      <c r="H672" s="5"/>
      <c r="I672" s="5"/>
      <c r="J672" s="5"/>
      <c r="K672" s="50"/>
      <c r="L672" s="50"/>
      <c r="M672" s="50"/>
      <c r="N672" s="50"/>
      <c r="O672" s="50"/>
      <c r="P672" s="50"/>
      <c r="Q672" s="50"/>
      <c r="R672" s="50"/>
      <c r="S672" s="50"/>
      <c r="T672" s="50"/>
      <c r="U672" s="50"/>
      <c r="V672" s="50"/>
      <c r="W672" s="50"/>
      <c r="X672" s="50"/>
      <c r="Y672" s="50"/>
      <c r="Z672" s="50"/>
      <c r="AA672" s="50"/>
      <c r="AB672" s="50"/>
    </row>
    <row r="673" customFormat="false" ht="15.75" hidden="false" customHeight="false" outlineLevel="0" collapsed="false">
      <c r="A673" s="50"/>
      <c r="B673" s="50"/>
      <c r="C673" s="5"/>
      <c r="D673" s="48"/>
      <c r="E673" s="50"/>
      <c r="F673" s="5"/>
      <c r="G673" s="5"/>
      <c r="H673" s="5"/>
      <c r="I673" s="5"/>
      <c r="J673" s="5"/>
      <c r="K673" s="50"/>
      <c r="L673" s="50"/>
      <c r="M673" s="50"/>
      <c r="N673" s="50"/>
      <c r="O673" s="50"/>
      <c r="P673" s="50"/>
      <c r="Q673" s="50"/>
      <c r="R673" s="50"/>
      <c r="S673" s="50"/>
      <c r="T673" s="50"/>
      <c r="U673" s="50"/>
      <c r="V673" s="50"/>
      <c r="W673" s="50"/>
      <c r="X673" s="50"/>
      <c r="Y673" s="50"/>
      <c r="Z673" s="50"/>
      <c r="AA673" s="50"/>
      <c r="AB673" s="50"/>
    </row>
    <row r="674" customFormat="false" ht="15.75" hidden="false" customHeight="false" outlineLevel="0" collapsed="false">
      <c r="A674" s="50"/>
      <c r="B674" s="50"/>
      <c r="C674" s="5"/>
      <c r="D674" s="48"/>
      <c r="E674" s="50"/>
      <c r="F674" s="5"/>
      <c r="G674" s="5"/>
      <c r="H674" s="5"/>
      <c r="I674" s="5"/>
      <c r="J674" s="5"/>
      <c r="K674" s="50"/>
      <c r="L674" s="50"/>
      <c r="M674" s="50"/>
      <c r="N674" s="50"/>
      <c r="O674" s="50"/>
      <c r="P674" s="50"/>
      <c r="Q674" s="50"/>
      <c r="R674" s="50"/>
      <c r="S674" s="50"/>
      <c r="T674" s="50"/>
      <c r="U674" s="50"/>
      <c r="V674" s="50"/>
      <c r="W674" s="50"/>
      <c r="X674" s="50"/>
      <c r="Y674" s="50"/>
      <c r="Z674" s="50"/>
      <c r="AA674" s="50"/>
      <c r="AB674" s="50"/>
    </row>
    <row r="675" customFormat="false" ht="15.75" hidden="false" customHeight="false" outlineLevel="0" collapsed="false">
      <c r="A675" s="50"/>
      <c r="B675" s="50"/>
      <c r="C675" s="5"/>
      <c r="D675" s="48"/>
      <c r="E675" s="50"/>
      <c r="F675" s="5"/>
      <c r="G675" s="5"/>
      <c r="H675" s="5"/>
      <c r="I675" s="5"/>
      <c r="J675" s="5"/>
      <c r="K675" s="50"/>
      <c r="L675" s="50"/>
      <c r="M675" s="50"/>
      <c r="N675" s="50"/>
      <c r="O675" s="50"/>
      <c r="P675" s="50"/>
      <c r="Q675" s="50"/>
      <c r="R675" s="50"/>
      <c r="S675" s="50"/>
      <c r="T675" s="50"/>
      <c r="U675" s="50"/>
      <c r="V675" s="50"/>
      <c r="W675" s="50"/>
      <c r="X675" s="50"/>
      <c r="Y675" s="50"/>
      <c r="Z675" s="50"/>
      <c r="AA675" s="50"/>
      <c r="AB675" s="50"/>
    </row>
    <row r="676" customFormat="false" ht="15.75" hidden="false" customHeight="false" outlineLevel="0" collapsed="false">
      <c r="A676" s="50"/>
      <c r="B676" s="50"/>
      <c r="C676" s="5"/>
      <c r="D676" s="48"/>
      <c r="E676" s="50"/>
      <c r="F676" s="5"/>
      <c r="G676" s="5"/>
      <c r="H676" s="5"/>
      <c r="I676" s="5"/>
      <c r="J676" s="5"/>
      <c r="K676" s="50"/>
      <c r="L676" s="50"/>
      <c r="M676" s="50"/>
      <c r="N676" s="50"/>
      <c r="O676" s="50"/>
      <c r="P676" s="50"/>
      <c r="Q676" s="50"/>
      <c r="R676" s="50"/>
      <c r="S676" s="50"/>
      <c r="T676" s="50"/>
      <c r="U676" s="50"/>
      <c r="V676" s="50"/>
      <c r="W676" s="50"/>
      <c r="X676" s="50"/>
      <c r="Y676" s="50"/>
      <c r="Z676" s="50"/>
      <c r="AA676" s="50"/>
      <c r="AB676" s="50"/>
    </row>
    <row r="677" customFormat="false" ht="15.75" hidden="false" customHeight="false" outlineLevel="0" collapsed="false">
      <c r="A677" s="50"/>
      <c r="B677" s="50"/>
      <c r="C677" s="5"/>
      <c r="D677" s="48"/>
      <c r="E677" s="50"/>
      <c r="F677" s="5"/>
      <c r="G677" s="5"/>
      <c r="H677" s="5"/>
      <c r="I677" s="5"/>
      <c r="J677" s="5"/>
      <c r="K677" s="50"/>
      <c r="L677" s="50"/>
      <c r="M677" s="50"/>
      <c r="N677" s="50"/>
      <c r="O677" s="50"/>
      <c r="P677" s="50"/>
      <c r="Q677" s="50"/>
      <c r="R677" s="50"/>
      <c r="S677" s="50"/>
      <c r="T677" s="50"/>
      <c r="U677" s="50"/>
      <c r="V677" s="50"/>
      <c r="W677" s="50"/>
      <c r="X677" s="50"/>
      <c r="Y677" s="50"/>
      <c r="Z677" s="50"/>
      <c r="AA677" s="50"/>
      <c r="AB677" s="50"/>
    </row>
    <row r="678" customFormat="false" ht="15.75" hidden="false" customHeight="false" outlineLevel="0" collapsed="false">
      <c r="A678" s="50"/>
      <c r="B678" s="50"/>
      <c r="C678" s="5"/>
      <c r="D678" s="48"/>
      <c r="E678" s="50"/>
      <c r="F678" s="5"/>
      <c r="G678" s="5"/>
      <c r="H678" s="5"/>
      <c r="I678" s="5"/>
      <c r="J678" s="5"/>
      <c r="K678" s="50"/>
      <c r="L678" s="50"/>
      <c r="M678" s="50"/>
      <c r="N678" s="50"/>
      <c r="O678" s="50"/>
      <c r="P678" s="50"/>
      <c r="Q678" s="50"/>
      <c r="R678" s="50"/>
      <c r="S678" s="50"/>
      <c r="T678" s="50"/>
      <c r="U678" s="50"/>
      <c r="V678" s="50"/>
      <c r="W678" s="50"/>
      <c r="X678" s="50"/>
      <c r="Y678" s="50"/>
      <c r="Z678" s="50"/>
      <c r="AA678" s="50"/>
      <c r="AB678" s="50"/>
    </row>
    <row r="679" customFormat="false" ht="15.75" hidden="false" customHeight="false" outlineLevel="0" collapsed="false">
      <c r="A679" s="50"/>
      <c r="B679" s="50"/>
      <c r="C679" s="5"/>
      <c r="D679" s="48"/>
      <c r="E679" s="50"/>
      <c r="F679" s="5"/>
      <c r="G679" s="5"/>
      <c r="H679" s="5"/>
      <c r="I679" s="5"/>
      <c r="J679" s="5"/>
      <c r="K679" s="50"/>
      <c r="L679" s="50"/>
      <c r="M679" s="50"/>
      <c r="N679" s="50"/>
      <c r="O679" s="50"/>
      <c r="P679" s="50"/>
      <c r="Q679" s="50"/>
      <c r="R679" s="50"/>
      <c r="S679" s="50"/>
      <c r="T679" s="50"/>
      <c r="U679" s="50"/>
      <c r="V679" s="50"/>
      <c r="W679" s="50"/>
      <c r="X679" s="50"/>
      <c r="Y679" s="50"/>
      <c r="Z679" s="50"/>
      <c r="AA679" s="50"/>
      <c r="AB679" s="50"/>
    </row>
    <row r="680" customFormat="false" ht="15.75" hidden="false" customHeight="false" outlineLevel="0" collapsed="false">
      <c r="A680" s="50"/>
      <c r="B680" s="50"/>
      <c r="C680" s="5"/>
      <c r="D680" s="48"/>
      <c r="E680" s="50"/>
      <c r="F680" s="5"/>
      <c r="G680" s="5"/>
      <c r="H680" s="5"/>
      <c r="I680" s="5"/>
      <c r="J680" s="5"/>
      <c r="K680" s="50"/>
      <c r="L680" s="50"/>
      <c r="M680" s="50"/>
      <c r="N680" s="50"/>
      <c r="O680" s="50"/>
      <c r="P680" s="50"/>
      <c r="Q680" s="50"/>
      <c r="R680" s="50"/>
      <c r="S680" s="50"/>
      <c r="T680" s="50"/>
      <c r="U680" s="50"/>
      <c r="V680" s="50"/>
      <c r="W680" s="50"/>
      <c r="X680" s="50"/>
      <c r="Y680" s="50"/>
      <c r="Z680" s="50"/>
      <c r="AA680" s="50"/>
      <c r="AB680" s="50"/>
    </row>
    <row r="681" customFormat="false" ht="15.75" hidden="false" customHeight="false" outlineLevel="0" collapsed="false">
      <c r="A681" s="50"/>
      <c r="B681" s="50"/>
      <c r="C681" s="5"/>
      <c r="D681" s="48"/>
      <c r="E681" s="50"/>
      <c r="F681" s="5"/>
      <c r="G681" s="5"/>
      <c r="H681" s="5"/>
      <c r="I681" s="5"/>
      <c r="J681" s="5"/>
      <c r="K681" s="50"/>
      <c r="L681" s="50"/>
      <c r="M681" s="50"/>
      <c r="N681" s="50"/>
      <c r="O681" s="50"/>
      <c r="P681" s="50"/>
      <c r="Q681" s="50"/>
      <c r="R681" s="50"/>
      <c r="S681" s="50"/>
      <c r="T681" s="50"/>
      <c r="U681" s="50"/>
      <c r="V681" s="50"/>
      <c r="W681" s="50"/>
      <c r="X681" s="50"/>
      <c r="Y681" s="50"/>
      <c r="Z681" s="50"/>
      <c r="AA681" s="50"/>
      <c r="AB681" s="50"/>
    </row>
    <row r="682" customFormat="false" ht="15.75" hidden="false" customHeight="false" outlineLevel="0" collapsed="false">
      <c r="A682" s="50"/>
      <c r="B682" s="50"/>
      <c r="C682" s="5"/>
      <c r="D682" s="48"/>
      <c r="E682" s="50"/>
      <c r="F682" s="5"/>
      <c r="G682" s="5"/>
      <c r="H682" s="5"/>
      <c r="I682" s="5"/>
      <c r="J682" s="5"/>
      <c r="K682" s="50"/>
      <c r="L682" s="50"/>
      <c r="M682" s="50"/>
      <c r="N682" s="50"/>
      <c r="O682" s="50"/>
      <c r="P682" s="50"/>
      <c r="Q682" s="50"/>
      <c r="R682" s="50"/>
      <c r="S682" s="50"/>
      <c r="T682" s="50"/>
      <c r="U682" s="50"/>
      <c r="V682" s="50"/>
      <c r="W682" s="50"/>
      <c r="X682" s="50"/>
      <c r="Y682" s="50"/>
      <c r="Z682" s="50"/>
      <c r="AA682" s="50"/>
      <c r="AB682" s="50"/>
    </row>
    <row r="683" customFormat="false" ht="15.75" hidden="false" customHeight="false" outlineLevel="0" collapsed="false">
      <c r="A683" s="50"/>
      <c r="B683" s="50"/>
      <c r="C683" s="5"/>
      <c r="D683" s="48"/>
      <c r="E683" s="50"/>
      <c r="F683" s="5"/>
      <c r="G683" s="5"/>
      <c r="H683" s="5"/>
      <c r="I683" s="5"/>
      <c r="J683" s="5"/>
      <c r="K683" s="50"/>
      <c r="L683" s="50"/>
      <c r="M683" s="50"/>
      <c r="N683" s="50"/>
      <c r="O683" s="50"/>
      <c r="P683" s="50"/>
      <c r="Q683" s="50"/>
      <c r="R683" s="50"/>
      <c r="S683" s="50"/>
      <c r="T683" s="50"/>
      <c r="U683" s="50"/>
      <c r="V683" s="50"/>
      <c r="W683" s="50"/>
      <c r="X683" s="50"/>
      <c r="Y683" s="50"/>
      <c r="Z683" s="50"/>
      <c r="AA683" s="50"/>
      <c r="AB683" s="50"/>
    </row>
    <row r="684" customFormat="false" ht="15.75" hidden="false" customHeight="false" outlineLevel="0" collapsed="false">
      <c r="A684" s="50"/>
      <c r="B684" s="50"/>
      <c r="C684" s="5"/>
      <c r="D684" s="48"/>
      <c r="E684" s="50"/>
      <c r="F684" s="5"/>
      <c r="G684" s="5"/>
      <c r="H684" s="5"/>
      <c r="I684" s="5"/>
      <c r="J684" s="5"/>
      <c r="K684" s="50"/>
      <c r="L684" s="50"/>
      <c r="M684" s="50"/>
      <c r="N684" s="50"/>
      <c r="O684" s="50"/>
      <c r="P684" s="50"/>
      <c r="Q684" s="50"/>
      <c r="R684" s="50"/>
      <c r="S684" s="50"/>
      <c r="T684" s="50"/>
      <c r="U684" s="50"/>
      <c r="V684" s="50"/>
      <c r="W684" s="50"/>
      <c r="X684" s="50"/>
      <c r="Y684" s="50"/>
      <c r="Z684" s="50"/>
      <c r="AA684" s="50"/>
      <c r="AB684" s="50"/>
    </row>
    <row r="685" customFormat="false" ht="15.75" hidden="false" customHeight="false" outlineLevel="0" collapsed="false">
      <c r="A685" s="50"/>
      <c r="B685" s="50"/>
      <c r="C685" s="5"/>
      <c r="D685" s="48"/>
      <c r="E685" s="50"/>
      <c r="F685" s="5"/>
      <c r="G685" s="5"/>
      <c r="H685" s="5"/>
      <c r="I685" s="5"/>
      <c r="J685" s="5"/>
      <c r="K685" s="50"/>
      <c r="L685" s="50"/>
      <c r="M685" s="50"/>
      <c r="N685" s="50"/>
      <c r="O685" s="50"/>
      <c r="P685" s="50"/>
      <c r="Q685" s="50"/>
      <c r="R685" s="50"/>
      <c r="S685" s="50"/>
      <c r="T685" s="50"/>
      <c r="U685" s="50"/>
      <c r="V685" s="50"/>
      <c r="W685" s="50"/>
      <c r="X685" s="50"/>
      <c r="Y685" s="50"/>
      <c r="Z685" s="50"/>
      <c r="AA685" s="50"/>
      <c r="AB685" s="50"/>
    </row>
    <row r="686" customFormat="false" ht="15.75" hidden="false" customHeight="false" outlineLevel="0" collapsed="false">
      <c r="A686" s="50"/>
      <c r="B686" s="50"/>
      <c r="C686" s="5"/>
      <c r="D686" s="48"/>
      <c r="E686" s="50"/>
      <c r="F686" s="5"/>
      <c r="G686" s="5"/>
      <c r="H686" s="5"/>
      <c r="I686" s="5"/>
      <c r="J686" s="5"/>
      <c r="K686" s="50"/>
      <c r="L686" s="50"/>
      <c r="M686" s="50"/>
      <c r="N686" s="50"/>
      <c r="O686" s="50"/>
      <c r="P686" s="50"/>
      <c r="Q686" s="50"/>
      <c r="R686" s="50"/>
      <c r="S686" s="50"/>
      <c r="T686" s="50"/>
      <c r="U686" s="50"/>
      <c r="V686" s="50"/>
      <c r="W686" s="50"/>
      <c r="X686" s="50"/>
      <c r="Y686" s="50"/>
      <c r="Z686" s="50"/>
      <c r="AA686" s="50"/>
      <c r="AB686" s="50"/>
    </row>
    <row r="687" customFormat="false" ht="15.75" hidden="false" customHeight="false" outlineLevel="0" collapsed="false">
      <c r="A687" s="50"/>
      <c r="B687" s="50"/>
      <c r="C687" s="5"/>
      <c r="D687" s="48"/>
      <c r="E687" s="50"/>
      <c r="F687" s="5"/>
      <c r="G687" s="5"/>
      <c r="H687" s="5"/>
      <c r="I687" s="5"/>
      <c r="J687" s="5"/>
      <c r="K687" s="50"/>
      <c r="L687" s="50"/>
      <c r="M687" s="50"/>
      <c r="N687" s="50"/>
      <c r="O687" s="50"/>
      <c r="P687" s="50"/>
      <c r="Q687" s="50"/>
      <c r="R687" s="50"/>
      <c r="S687" s="50"/>
      <c r="T687" s="50"/>
      <c r="U687" s="50"/>
      <c r="V687" s="50"/>
      <c r="W687" s="50"/>
      <c r="X687" s="50"/>
      <c r="Y687" s="50"/>
      <c r="Z687" s="50"/>
      <c r="AA687" s="50"/>
      <c r="AB687" s="50"/>
    </row>
    <row r="688" customFormat="false" ht="15.75" hidden="false" customHeight="false" outlineLevel="0" collapsed="false">
      <c r="A688" s="50"/>
      <c r="B688" s="50"/>
      <c r="C688" s="5"/>
      <c r="D688" s="48"/>
      <c r="E688" s="50"/>
      <c r="F688" s="5"/>
      <c r="G688" s="5"/>
      <c r="H688" s="5"/>
      <c r="I688" s="5"/>
      <c r="J688" s="5"/>
      <c r="K688" s="50"/>
      <c r="L688" s="50"/>
      <c r="M688" s="50"/>
      <c r="N688" s="50"/>
      <c r="O688" s="50"/>
      <c r="P688" s="50"/>
      <c r="Q688" s="50"/>
      <c r="R688" s="50"/>
      <c r="S688" s="50"/>
      <c r="T688" s="50"/>
      <c r="U688" s="50"/>
      <c r="V688" s="50"/>
      <c r="W688" s="50"/>
      <c r="X688" s="50"/>
      <c r="Y688" s="50"/>
      <c r="Z688" s="50"/>
      <c r="AA688" s="50"/>
      <c r="AB688" s="50"/>
    </row>
    <row r="689" customFormat="false" ht="15.75" hidden="false" customHeight="false" outlineLevel="0" collapsed="false">
      <c r="A689" s="50"/>
      <c r="B689" s="50"/>
      <c r="C689" s="5"/>
      <c r="D689" s="48"/>
      <c r="E689" s="50"/>
      <c r="F689" s="5"/>
      <c r="G689" s="5"/>
      <c r="H689" s="5"/>
      <c r="I689" s="5"/>
      <c r="J689" s="5"/>
      <c r="K689" s="50"/>
      <c r="L689" s="50"/>
      <c r="M689" s="50"/>
      <c r="N689" s="50"/>
      <c r="O689" s="50"/>
      <c r="P689" s="50"/>
      <c r="Q689" s="50"/>
      <c r="R689" s="50"/>
      <c r="S689" s="50"/>
      <c r="T689" s="50"/>
      <c r="U689" s="50"/>
      <c r="V689" s="50"/>
      <c r="W689" s="50"/>
      <c r="X689" s="50"/>
      <c r="Y689" s="50"/>
      <c r="Z689" s="50"/>
      <c r="AA689" s="50"/>
      <c r="AB689" s="50"/>
    </row>
    <row r="690" customFormat="false" ht="15.75" hidden="false" customHeight="false" outlineLevel="0" collapsed="false">
      <c r="A690" s="50"/>
      <c r="B690" s="50"/>
      <c r="C690" s="5"/>
      <c r="D690" s="48"/>
      <c r="E690" s="50"/>
      <c r="F690" s="5"/>
      <c r="G690" s="5"/>
      <c r="H690" s="5"/>
      <c r="I690" s="5"/>
      <c r="J690" s="5"/>
      <c r="K690" s="50"/>
      <c r="L690" s="50"/>
      <c r="M690" s="50"/>
      <c r="N690" s="50"/>
      <c r="O690" s="50"/>
      <c r="P690" s="50"/>
      <c r="Q690" s="50"/>
      <c r="R690" s="50"/>
      <c r="S690" s="50"/>
      <c r="T690" s="50"/>
      <c r="U690" s="50"/>
      <c r="V690" s="50"/>
      <c r="W690" s="50"/>
      <c r="X690" s="50"/>
      <c r="Y690" s="50"/>
      <c r="Z690" s="50"/>
      <c r="AA690" s="50"/>
      <c r="AB690" s="50"/>
    </row>
    <row r="691" customFormat="false" ht="15.75" hidden="false" customHeight="false" outlineLevel="0" collapsed="false">
      <c r="A691" s="50"/>
      <c r="B691" s="50"/>
      <c r="C691" s="5"/>
      <c r="D691" s="48"/>
      <c r="E691" s="50"/>
      <c r="F691" s="5"/>
      <c r="G691" s="5"/>
      <c r="H691" s="5"/>
      <c r="I691" s="5"/>
      <c r="J691" s="5"/>
      <c r="K691" s="50"/>
      <c r="L691" s="50"/>
      <c r="M691" s="50"/>
      <c r="N691" s="50"/>
      <c r="O691" s="50"/>
      <c r="P691" s="50"/>
      <c r="Q691" s="50"/>
      <c r="R691" s="50"/>
      <c r="S691" s="50"/>
      <c r="T691" s="50"/>
      <c r="U691" s="50"/>
      <c r="V691" s="50"/>
      <c r="W691" s="50"/>
      <c r="X691" s="50"/>
      <c r="Y691" s="50"/>
      <c r="Z691" s="50"/>
      <c r="AA691" s="50"/>
      <c r="AB691" s="50"/>
    </row>
    <row r="692" customFormat="false" ht="15.75" hidden="false" customHeight="false" outlineLevel="0" collapsed="false">
      <c r="A692" s="50"/>
      <c r="B692" s="50"/>
      <c r="C692" s="5"/>
      <c r="D692" s="48"/>
      <c r="E692" s="50"/>
      <c r="F692" s="5"/>
      <c r="G692" s="5"/>
      <c r="H692" s="5"/>
      <c r="I692" s="5"/>
      <c r="J692" s="5"/>
      <c r="K692" s="50"/>
      <c r="L692" s="50"/>
      <c r="M692" s="50"/>
      <c r="N692" s="50"/>
      <c r="O692" s="50"/>
      <c r="P692" s="50"/>
      <c r="Q692" s="50"/>
      <c r="R692" s="50"/>
      <c r="S692" s="50"/>
      <c r="T692" s="50"/>
      <c r="U692" s="50"/>
      <c r="V692" s="50"/>
      <c r="W692" s="50"/>
      <c r="X692" s="50"/>
      <c r="Y692" s="50"/>
      <c r="Z692" s="50"/>
      <c r="AA692" s="50"/>
      <c r="AB692" s="50"/>
    </row>
    <row r="693" customFormat="false" ht="15.75" hidden="false" customHeight="false" outlineLevel="0" collapsed="false">
      <c r="A693" s="50"/>
      <c r="B693" s="50"/>
      <c r="C693" s="5"/>
      <c r="D693" s="48"/>
      <c r="E693" s="50"/>
      <c r="F693" s="5"/>
      <c r="G693" s="5"/>
      <c r="H693" s="5"/>
      <c r="I693" s="5"/>
      <c r="J693" s="5"/>
      <c r="K693" s="50"/>
      <c r="L693" s="50"/>
      <c r="M693" s="50"/>
      <c r="N693" s="50"/>
      <c r="O693" s="50"/>
      <c r="P693" s="50"/>
      <c r="Q693" s="50"/>
      <c r="R693" s="50"/>
      <c r="S693" s="50"/>
      <c r="T693" s="50"/>
      <c r="U693" s="50"/>
      <c r="V693" s="50"/>
      <c r="W693" s="50"/>
      <c r="X693" s="50"/>
      <c r="Y693" s="50"/>
      <c r="Z693" s="50"/>
      <c r="AA693" s="50"/>
      <c r="AB693" s="50"/>
    </row>
    <row r="694" customFormat="false" ht="15.75" hidden="false" customHeight="false" outlineLevel="0" collapsed="false">
      <c r="A694" s="50"/>
      <c r="B694" s="50"/>
      <c r="C694" s="5"/>
      <c r="D694" s="48"/>
      <c r="E694" s="50"/>
      <c r="F694" s="5"/>
      <c r="G694" s="5"/>
      <c r="H694" s="5"/>
      <c r="I694" s="5"/>
      <c r="J694" s="5"/>
      <c r="K694" s="50"/>
      <c r="L694" s="50"/>
      <c r="M694" s="50"/>
      <c r="N694" s="50"/>
      <c r="O694" s="50"/>
      <c r="P694" s="50"/>
      <c r="Q694" s="50"/>
      <c r="R694" s="50"/>
      <c r="S694" s="50"/>
      <c r="T694" s="50"/>
      <c r="U694" s="50"/>
      <c r="V694" s="50"/>
      <c r="W694" s="50"/>
      <c r="X694" s="50"/>
      <c r="Y694" s="50"/>
      <c r="Z694" s="50"/>
      <c r="AA694" s="50"/>
      <c r="AB694" s="50"/>
    </row>
    <row r="695" customFormat="false" ht="15.75" hidden="false" customHeight="false" outlineLevel="0" collapsed="false">
      <c r="A695" s="50"/>
      <c r="B695" s="50"/>
      <c r="C695" s="5"/>
      <c r="D695" s="48"/>
      <c r="E695" s="50"/>
      <c r="F695" s="5"/>
      <c r="G695" s="5"/>
      <c r="H695" s="5"/>
      <c r="I695" s="5"/>
      <c r="J695" s="5"/>
      <c r="K695" s="50"/>
      <c r="L695" s="50"/>
      <c r="M695" s="50"/>
      <c r="N695" s="50"/>
      <c r="O695" s="50"/>
      <c r="P695" s="50"/>
      <c r="Q695" s="50"/>
      <c r="R695" s="50"/>
      <c r="S695" s="50"/>
      <c r="T695" s="50"/>
      <c r="U695" s="50"/>
      <c r="V695" s="50"/>
      <c r="W695" s="50"/>
      <c r="X695" s="50"/>
      <c r="Y695" s="50"/>
      <c r="Z695" s="50"/>
      <c r="AA695" s="50"/>
      <c r="AB695" s="50"/>
    </row>
    <row r="696" customFormat="false" ht="15.75" hidden="false" customHeight="false" outlineLevel="0" collapsed="false">
      <c r="A696" s="50"/>
      <c r="B696" s="50"/>
      <c r="C696" s="5"/>
      <c r="D696" s="48"/>
      <c r="E696" s="50"/>
      <c r="F696" s="5"/>
      <c r="G696" s="5"/>
      <c r="H696" s="5"/>
      <c r="I696" s="5"/>
      <c r="J696" s="5"/>
      <c r="K696" s="50"/>
      <c r="L696" s="50"/>
      <c r="M696" s="50"/>
      <c r="N696" s="50"/>
      <c r="O696" s="50"/>
      <c r="P696" s="50"/>
      <c r="Q696" s="50"/>
      <c r="R696" s="50"/>
      <c r="S696" s="50"/>
      <c r="T696" s="50"/>
      <c r="U696" s="50"/>
      <c r="V696" s="50"/>
      <c r="W696" s="50"/>
      <c r="X696" s="50"/>
      <c r="Y696" s="50"/>
      <c r="Z696" s="50"/>
      <c r="AA696" s="50"/>
      <c r="AB696" s="50"/>
    </row>
    <row r="697" customFormat="false" ht="15.75" hidden="false" customHeight="false" outlineLevel="0" collapsed="false">
      <c r="A697" s="50"/>
      <c r="B697" s="50"/>
      <c r="C697" s="5"/>
      <c r="D697" s="48"/>
      <c r="E697" s="50"/>
      <c r="F697" s="5"/>
      <c r="G697" s="5"/>
      <c r="H697" s="5"/>
      <c r="I697" s="5"/>
      <c r="J697" s="5"/>
      <c r="K697" s="50"/>
      <c r="L697" s="50"/>
      <c r="M697" s="50"/>
      <c r="N697" s="50"/>
      <c r="O697" s="50"/>
      <c r="P697" s="50"/>
      <c r="Q697" s="50"/>
      <c r="R697" s="50"/>
      <c r="S697" s="50"/>
      <c r="T697" s="50"/>
      <c r="U697" s="50"/>
      <c r="V697" s="50"/>
      <c r="W697" s="50"/>
      <c r="X697" s="50"/>
      <c r="Y697" s="50"/>
      <c r="Z697" s="50"/>
      <c r="AA697" s="50"/>
      <c r="AB697" s="50"/>
    </row>
    <row r="698" customFormat="false" ht="15.75" hidden="false" customHeight="false" outlineLevel="0" collapsed="false">
      <c r="A698" s="50"/>
      <c r="B698" s="50"/>
      <c r="C698" s="5"/>
      <c r="D698" s="48"/>
      <c r="E698" s="50"/>
      <c r="F698" s="5"/>
      <c r="G698" s="5"/>
      <c r="H698" s="5"/>
      <c r="I698" s="5"/>
      <c r="J698" s="5"/>
      <c r="K698" s="50"/>
      <c r="L698" s="50"/>
      <c r="M698" s="50"/>
      <c r="N698" s="50"/>
      <c r="O698" s="50"/>
      <c r="P698" s="50"/>
      <c r="Q698" s="50"/>
      <c r="R698" s="50"/>
      <c r="S698" s="50"/>
      <c r="T698" s="50"/>
      <c r="U698" s="50"/>
      <c r="V698" s="50"/>
      <c r="W698" s="50"/>
      <c r="X698" s="50"/>
      <c r="Y698" s="50"/>
      <c r="Z698" s="50"/>
      <c r="AA698" s="50"/>
      <c r="AB698" s="50"/>
    </row>
    <row r="699" customFormat="false" ht="15.75" hidden="false" customHeight="false" outlineLevel="0" collapsed="false">
      <c r="A699" s="50"/>
      <c r="B699" s="50"/>
      <c r="C699" s="5"/>
      <c r="D699" s="48"/>
      <c r="E699" s="50"/>
      <c r="F699" s="5"/>
      <c r="G699" s="5"/>
      <c r="H699" s="5"/>
      <c r="I699" s="5"/>
      <c r="J699" s="5"/>
      <c r="K699" s="50"/>
      <c r="L699" s="50"/>
      <c r="M699" s="50"/>
      <c r="N699" s="50"/>
      <c r="O699" s="50"/>
      <c r="P699" s="50"/>
      <c r="Q699" s="50"/>
      <c r="R699" s="50"/>
      <c r="S699" s="50"/>
      <c r="T699" s="50"/>
      <c r="U699" s="50"/>
      <c r="V699" s="50"/>
      <c r="W699" s="50"/>
      <c r="X699" s="50"/>
      <c r="Y699" s="50"/>
      <c r="Z699" s="50"/>
      <c r="AA699" s="50"/>
      <c r="AB699" s="50"/>
    </row>
    <row r="700" customFormat="false" ht="15.75" hidden="false" customHeight="false" outlineLevel="0" collapsed="false">
      <c r="A700" s="50"/>
      <c r="B700" s="50"/>
      <c r="C700" s="5"/>
      <c r="D700" s="48"/>
      <c r="E700" s="50"/>
      <c r="F700" s="5"/>
      <c r="G700" s="5"/>
      <c r="H700" s="5"/>
      <c r="I700" s="5"/>
      <c r="J700" s="5"/>
      <c r="K700" s="50"/>
      <c r="L700" s="50"/>
      <c r="M700" s="50"/>
      <c r="N700" s="50"/>
      <c r="O700" s="50"/>
      <c r="P700" s="50"/>
      <c r="Q700" s="50"/>
      <c r="R700" s="50"/>
      <c r="S700" s="50"/>
      <c r="T700" s="50"/>
      <c r="U700" s="50"/>
      <c r="V700" s="50"/>
      <c r="W700" s="50"/>
      <c r="X700" s="50"/>
      <c r="Y700" s="50"/>
      <c r="Z700" s="50"/>
      <c r="AA700" s="50"/>
      <c r="AB700" s="50"/>
    </row>
    <row r="701" customFormat="false" ht="15.75" hidden="false" customHeight="false" outlineLevel="0" collapsed="false">
      <c r="A701" s="50"/>
      <c r="B701" s="50"/>
      <c r="C701" s="5"/>
      <c r="D701" s="48"/>
      <c r="E701" s="50"/>
      <c r="F701" s="5"/>
      <c r="G701" s="5"/>
      <c r="H701" s="5"/>
      <c r="I701" s="5"/>
      <c r="J701" s="5"/>
      <c r="K701" s="50"/>
      <c r="L701" s="50"/>
      <c r="M701" s="50"/>
      <c r="N701" s="50"/>
      <c r="O701" s="50"/>
      <c r="P701" s="50"/>
      <c r="Q701" s="50"/>
      <c r="R701" s="50"/>
      <c r="S701" s="50"/>
      <c r="T701" s="50"/>
      <c r="U701" s="50"/>
      <c r="V701" s="50"/>
      <c r="W701" s="50"/>
      <c r="X701" s="50"/>
      <c r="Y701" s="50"/>
      <c r="Z701" s="50"/>
      <c r="AA701" s="50"/>
      <c r="AB701" s="50"/>
    </row>
    <row r="702" customFormat="false" ht="15.75" hidden="false" customHeight="false" outlineLevel="0" collapsed="false">
      <c r="A702" s="50"/>
      <c r="B702" s="50"/>
      <c r="C702" s="5"/>
      <c r="D702" s="48"/>
      <c r="E702" s="50"/>
      <c r="F702" s="5"/>
      <c r="G702" s="5"/>
      <c r="H702" s="5"/>
      <c r="I702" s="5"/>
      <c r="J702" s="5"/>
      <c r="K702" s="50"/>
      <c r="L702" s="50"/>
      <c r="M702" s="50"/>
      <c r="N702" s="50"/>
      <c r="O702" s="50"/>
      <c r="P702" s="50"/>
      <c r="Q702" s="50"/>
      <c r="R702" s="50"/>
      <c r="S702" s="50"/>
      <c r="T702" s="50"/>
      <c r="U702" s="50"/>
      <c r="V702" s="50"/>
      <c r="W702" s="50"/>
      <c r="X702" s="50"/>
      <c r="Y702" s="50"/>
      <c r="Z702" s="50"/>
      <c r="AA702" s="50"/>
      <c r="AB702" s="50"/>
    </row>
    <row r="703" customFormat="false" ht="15.75" hidden="false" customHeight="false" outlineLevel="0" collapsed="false">
      <c r="A703" s="50"/>
      <c r="B703" s="50"/>
      <c r="C703" s="5"/>
      <c r="D703" s="48"/>
      <c r="E703" s="50"/>
      <c r="F703" s="5"/>
      <c r="G703" s="5"/>
      <c r="H703" s="5"/>
      <c r="I703" s="5"/>
      <c r="J703" s="5"/>
      <c r="K703" s="50"/>
      <c r="L703" s="50"/>
      <c r="M703" s="50"/>
      <c r="N703" s="50"/>
      <c r="O703" s="50"/>
      <c r="P703" s="50"/>
      <c r="Q703" s="50"/>
      <c r="R703" s="50"/>
      <c r="S703" s="50"/>
      <c r="T703" s="50"/>
      <c r="U703" s="50"/>
      <c r="V703" s="50"/>
      <c r="W703" s="50"/>
      <c r="X703" s="50"/>
      <c r="Y703" s="50"/>
      <c r="Z703" s="50"/>
      <c r="AA703" s="50"/>
      <c r="AB703" s="50"/>
    </row>
    <row r="704" customFormat="false" ht="15.75" hidden="false" customHeight="false" outlineLevel="0" collapsed="false">
      <c r="A704" s="50"/>
      <c r="B704" s="50"/>
      <c r="C704" s="5"/>
      <c r="D704" s="48"/>
      <c r="E704" s="50"/>
      <c r="F704" s="5"/>
      <c r="G704" s="5"/>
      <c r="H704" s="5"/>
      <c r="I704" s="5"/>
      <c r="J704" s="5"/>
      <c r="K704" s="50"/>
      <c r="L704" s="50"/>
      <c r="M704" s="50"/>
      <c r="N704" s="50"/>
      <c r="O704" s="50"/>
      <c r="P704" s="50"/>
      <c r="Q704" s="50"/>
      <c r="R704" s="50"/>
      <c r="S704" s="50"/>
      <c r="T704" s="50"/>
      <c r="U704" s="50"/>
      <c r="V704" s="50"/>
      <c r="W704" s="50"/>
      <c r="X704" s="50"/>
      <c r="Y704" s="50"/>
      <c r="Z704" s="50"/>
      <c r="AA704" s="50"/>
      <c r="AB704" s="50"/>
    </row>
    <row r="705" customFormat="false" ht="15.75" hidden="false" customHeight="false" outlineLevel="0" collapsed="false">
      <c r="A705" s="50"/>
      <c r="B705" s="50"/>
      <c r="C705" s="5"/>
      <c r="D705" s="48"/>
      <c r="E705" s="50"/>
      <c r="F705" s="5"/>
      <c r="G705" s="5"/>
      <c r="H705" s="5"/>
      <c r="I705" s="5"/>
      <c r="J705" s="5"/>
      <c r="K705" s="50"/>
      <c r="L705" s="50"/>
      <c r="M705" s="50"/>
      <c r="N705" s="50"/>
      <c r="O705" s="50"/>
      <c r="P705" s="50"/>
      <c r="Q705" s="50"/>
      <c r="R705" s="50"/>
      <c r="S705" s="50"/>
      <c r="T705" s="50"/>
      <c r="U705" s="50"/>
      <c r="V705" s="50"/>
      <c r="W705" s="50"/>
      <c r="X705" s="50"/>
      <c r="Y705" s="50"/>
      <c r="Z705" s="50"/>
      <c r="AA705" s="50"/>
      <c r="AB705" s="50"/>
    </row>
    <row r="706" customFormat="false" ht="15.75" hidden="false" customHeight="false" outlineLevel="0" collapsed="false">
      <c r="A706" s="50"/>
      <c r="B706" s="50"/>
      <c r="C706" s="5"/>
      <c r="D706" s="48"/>
      <c r="E706" s="50"/>
      <c r="F706" s="5"/>
      <c r="G706" s="5"/>
      <c r="H706" s="5"/>
      <c r="I706" s="5"/>
      <c r="J706" s="5"/>
      <c r="K706" s="50"/>
      <c r="L706" s="50"/>
      <c r="M706" s="50"/>
      <c r="N706" s="50"/>
      <c r="O706" s="50"/>
      <c r="P706" s="50"/>
      <c r="Q706" s="50"/>
      <c r="R706" s="50"/>
      <c r="S706" s="50"/>
      <c r="T706" s="50"/>
      <c r="U706" s="50"/>
      <c r="V706" s="50"/>
      <c r="W706" s="50"/>
      <c r="X706" s="50"/>
      <c r="Y706" s="50"/>
      <c r="Z706" s="50"/>
      <c r="AA706" s="50"/>
      <c r="AB706" s="50"/>
    </row>
    <row r="707" customFormat="false" ht="15.75" hidden="false" customHeight="false" outlineLevel="0" collapsed="false">
      <c r="A707" s="50"/>
      <c r="B707" s="50"/>
      <c r="C707" s="5"/>
      <c r="D707" s="48"/>
      <c r="E707" s="50"/>
      <c r="F707" s="5"/>
      <c r="G707" s="5"/>
      <c r="H707" s="5"/>
      <c r="I707" s="5"/>
      <c r="J707" s="5"/>
      <c r="K707" s="50"/>
      <c r="L707" s="50"/>
      <c r="M707" s="50"/>
      <c r="N707" s="50"/>
      <c r="O707" s="50"/>
      <c r="P707" s="50"/>
      <c r="Q707" s="50"/>
      <c r="R707" s="50"/>
      <c r="S707" s="50"/>
      <c r="T707" s="50"/>
      <c r="U707" s="50"/>
      <c r="V707" s="50"/>
      <c r="W707" s="50"/>
      <c r="X707" s="50"/>
      <c r="Y707" s="50"/>
      <c r="Z707" s="50"/>
      <c r="AA707" s="50"/>
      <c r="AB707" s="50"/>
    </row>
    <row r="708" customFormat="false" ht="15.75" hidden="false" customHeight="false" outlineLevel="0" collapsed="false">
      <c r="A708" s="50"/>
      <c r="B708" s="50"/>
      <c r="C708" s="5"/>
      <c r="D708" s="48"/>
      <c r="E708" s="50"/>
      <c r="F708" s="5"/>
      <c r="G708" s="5"/>
      <c r="H708" s="5"/>
      <c r="I708" s="5"/>
      <c r="J708" s="5"/>
      <c r="K708" s="50"/>
      <c r="L708" s="50"/>
      <c r="M708" s="50"/>
      <c r="N708" s="50"/>
      <c r="O708" s="50"/>
      <c r="P708" s="50"/>
      <c r="Q708" s="50"/>
      <c r="R708" s="50"/>
      <c r="S708" s="50"/>
      <c r="T708" s="50"/>
      <c r="U708" s="50"/>
      <c r="V708" s="50"/>
      <c r="W708" s="50"/>
      <c r="X708" s="50"/>
      <c r="Y708" s="50"/>
      <c r="Z708" s="50"/>
      <c r="AA708" s="50"/>
      <c r="AB708" s="50"/>
    </row>
    <row r="709" customFormat="false" ht="15.75" hidden="false" customHeight="false" outlineLevel="0" collapsed="false">
      <c r="A709" s="50"/>
      <c r="B709" s="50"/>
      <c r="C709" s="5"/>
      <c r="D709" s="48"/>
      <c r="E709" s="50"/>
      <c r="F709" s="5"/>
      <c r="G709" s="5"/>
      <c r="H709" s="5"/>
      <c r="I709" s="5"/>
      <c r="J709" s="5"/>
      <c r="K709" s="50"/>
      <c r="L709" s="50"/>
      <c r="M709" s="50"/>
      <c r="N709" s="50"/>
      <c r="O709" s="50"/>
      <c r="P709" s="50"/>
      <c r="Q709" s="50"/>
      <c r="R709" s="50"/>
      <c r="S709" s="50"/>
      <c r="T709" s="50"/>
      <c r="U709" s="50"/>
      <c r="V709" s="50"/>
      <c r="W709" s="50"/>
      <c r="X709" s="50"/>
      <c r="Y709" s="50"/>
      <c r="Z709" s="50"/>
      <c r="AA709" s="50"/>
      <c r="AB709" s="50"/>
    </row>
    <row r="710" customFormat="false" ht="15.75" hidden="false" customHeight="false" outlineLevel="0" collapsed="false">
      <c r="A710" s="50"/>
      <c r="B710" s="50"/>
      <c r="C710" s="5"/>
      <c r="D710" s="48"/>
      <c r="E710" s="50"/>
      <c r="F710" s="5"/>
      <c r="G710" s="5"/>
      <c r="H710" s="5"/>
      <c r="I710" s="5"/>
      <c r="J710" s="5"/>
      <c r="K710" s="50"/>
      <c r="L710" s="50"/>
      <c r="M710" s="50"/>
      <c r="N710" s="50"/>
      <c r="O710" s="50"/>
      <c r="P710" s="50"/>
      <c r="Q710" s="50"/>
      <c r="R710" s="50"/>
      <c r="S710" s="50"/>
      <c r="T710" s="50"/>
      <c r="U710" s="50"/>
      <c r="V710" s="50"/>
      <c r="W710" s="50"/>
      <c r="X710" s="50"/>
      <c r="Y710" s="50"/>
      <c r="Z710" s="50"/>
      <c r="AA710" s="50"/>
      <c r="AB710" s="50"/>
    </row>
    <row r="711" customFormat="false" ht="15.75" hidden="false" customHeight="false" outlineLevel="0" collapsed="false">
      <c r="A711" s="50"/>
      <c r="B711" s="50"/>
      <c r="C711" s="5"/>
      <c r="D711" s="48"/>
      <c r="E711" s="50"/>
      <c r="F711" s="5"/>
      <c r="G711" s="5"/>
      <c r="H711" s="5"/>
      <c r="I711" s="5"/>
      <c r="J711" s="5"/>
      <c r="K711" s="50"/>
      <c r="L711" s="50"/>
      <c r="M711" s="50"/>
      <c r="N711" s="50"/>
      <c r="O711" s="50"/>
      <c r="P711" s="50"/>
      <c r="Q711" s="50"/>
      <c r="R711" s="50"/>
      <c r="S711" s="50"/>
      <c r="T711" s="50"/>
      <c r="U711" s="50"/>
      <c r="V711" s="50"/>
      <c r="W711" s="50"/>
      <c r="X711" s="50"/>
      <c r="Y711" s="50"/>
      <c r="Z711" s="50"/>
      <c r="AA711" s="50"/>
      <c r="AB711" s="50"/>
    </row>
    <row r="712" customFormat="false" ht="15.75" hidden="false" customHeight="false" outlineLevel="0" collapsed="false">
      <c r="A712" s="50"/>
      <c r="B712" s="50"/>
      <c r="C712" s="5"/>
      <c r="D712" s="48"/>
      <c r="E712" s="50"/>
      <c r="F712" s="5"/>
      <c r="G712" s="5"/>
      <c r="H712" s="5"/>
      <c r="I712" s="5"/>
      <c r="J712" s="5"/>
      <c r="K712" s="50"/>
      <c r="L712" s="50"/>
      <c r="M712" s="50"/>
      <c r="N712" s="50"/>
      <c r="O712" s="50"/>
      <c r="P712" s="50"/>
      <c r="Q712" s="50"/>
      <c r="R712" s="50"/>
      <c r="S712" s="50"/>
      <c r="T712" s="50"/>
      <c r="U712" s="50"/>
      <c r="V712" s="50"/>
      <c r="W712" s="50"/>
      <c r="X712" s="50"/>
      <c r="Y712" s="50"/>
      <c r="Z712" s="50"/>
      <c r="AA712" s="50"/>
      <c r="AB712" s="50"/>
    </row>
    <row r="713" customFormat="false" ht="15.75" hidden="false" customHeight="false" outlineLevel="0" collapsed="false">
      <c r="A713" s="50"/>
      <c r="B713" s="50"/>
      <c r="C713" s="5"/>
      <c r="D713" s="48"/>
      <c r="E713" s="50"/>
      <c r="F713" s="5"/>
      <c r="G713" s="5"/>
      <c r="H713" s="5"/>
      <c r="I713" s="5"/>
      <c r="J713" s="5"/>
      <c r="K713" s="50"/>
      <c r="L713" s="50"/>
      <c r="M713" s="50"/>
      <c r="N713" s="50"/>
      <c r="O713" s="50"/>
      <c r="P713" s="50"/>
      <c r="Q713" s="50"/>
      <c r="R713" s="50"/>
      <c r="S713" s="50"/>
      <c r="T713" s="50"/>
      <c r="U713" s="50"/>
      <c r="V713" s="50"/>
      <c r="W713" s="50"/>
      <c r="X713" s="50"/>
      <c r="Y713" s="50"/>
      <c r="Z713" s="50"/>
      <c r="AA713" s="50"/>
      <c r="AB713" s="50"/>
    </row>
    <row r="714" customFormat="false" ht="15.75" hidden="false" customHeight="false" outlineLevel="0" collapsed="false">
      <c r="A714" s="50"/>
      <c r="B714" s="50"/>
      <c r="C714" s="5"/>
      <c r="D714" s="48"/>
      <c r="E714" s="50"/>
      <c r="F714" s="5"/>
      <c r="G714" s="5"/>
      <c r="H714" s="5"/>
      <c r="I714" s="5"/>
      <c r="J714" s="5"/>
      <c r="K714" s="50"/>
      <c r="L714" s="50"/>
      <c r="M714" s="50"/>
      <c r="N714" s="50"/>
      <c r="O714" s="50"/>
      <c r="P714" s="50"/>
      <c r="Q714" s="50"/>
      <c r="R714" s="50"/>
      <c r="S714" s="50"/>
      <c r="T714" s="50"/>
      <c r="U714" s="50"/>
      <c r="V714" s="50"/>
      <c r="W714" s="50"/>
      <c r="X714" s="50"/>
      <c r="Y714" s="50"/>
      <c r="Z714" s="50"/>
      <c r="AA714" s="50"/>
      <c r="AB714" s="50"/>
    </row>
    <row r="715" customFormat="false" ht="15.75" hidden="false" customHeight="false" outlineLevel="0" collapsed="false">
      <c r="A715" s="50"/>
      <c r="B715" s="50"/>
      <c r="C715" s="5"/>
      <c r="D715" s="48"/>
      <c r="E715" s="50"/>
      <c r="F715" s="5"/>
      <c r="G715" s="5"/>
      <c r="H715" s="5"/>
      <c r="I715" s="5"/>
      <c r="J715" s="5"/>
      <c r="K715" s="50"/>
      <c r="L715" s="50"/>
      <c r="M715" s="50"/>
      <c r="N715" s="50"/>
      <c r="O715" s="50"/>
      <c r="P715" s="50"/>
      <c r="Q715" s="50"/>
      <c r="R715" s="50"/>
      <c r="S715" s="50"/>
      <c r="T715" s="50"/>
      <c r="U715" s="50"/>
      <c r="V715" s="50"/>
      <c r="W715" s="50"/>
      <c r="X715" s="50"/>
      <c r="Y715" s="50"/>
      <c r="Z715" s="50"/>
      <c r="AA715" s="50"/>
      <c r="AB715" s="50"/>
    </row>
    <row r="716" customFormat="false" ht="15.75" hidden="false" customHeight="false" outlineLevel="0" collapsed="false">
      <c r="A716" s="50"/>
      <c r="B716" s="50"/>
      <c r="C716" s="5"/>
      <c r="D716" s="48"/>
      <c r="E716" s="50"/>
      <c r="F716" s="5"/>
      <c r="G716" s="5"/>
      <c r="H716" s="5"/>
      <c r="I716" s="5"/>
      <c r="J716" s="5"/>
      <c r="K716" s="50"/>
      <c r="L716" s="50"/>
      <c r="M716" s="50"/>
      <c r="N716" s="50"/>
      <c r="O716" s="50"/>
      <c r="P716" s="50"/>
      <c r="Q716" s="50"/>
      <c r="R716" s="50"/>
      <c r="S716" s="50"/>
      <c r="T716" s="50"/>
      <c r="U716" s="50"/>
      <c r="V716" s="50"/>
      <c r="W716" s="50"/>
      <c r="X716" s="50"/>
      <c r="Y716" s="50"/>
      <c r="Z716" s="50"/>
      <c r="AA716" s="50"/>
      <c r="AB716" s="50"/>
    </row>
    <row r="717" customFormat="false" ht="15.75" hidden="false" customHeight="false" outlineLevel="0" collapsed="false">
      <c r="A717" s="50"/>
      <c r="B717" s="50"/>
      <c r="C717" s="5"/>
      <c r="D717" s="48"/>
      <c r="E717" s="50"/>
      <c r="F717" s="5"/>
      <c r="G717" s="5"/>
      <c r="H717" s="5"/>
      <c r="I717" s="5"/>
      <c r="J717" s="5"/>
      <c r="K717" s="50"/>
      <c r="L717" s="50"/>
      <c r="M717" s="50"/>
      <c r="N717" s="50"/>
      <c r="O717" s="50"/>
      <c r="P717" s="50"/>
      <c r="Q717" s="50"/>
      <c r="R717" s="50"/>
      <c r="S717" s="50"/>
      <c r="T717" s="50"/>
      <c r="U717" s="50"/>
      <c r="V717" s="50"/>
      <c r="W717" s="50"/>
      <c r="X717" s="50"/>
      <c r="Y717" s="50"/>
      <c r="Z717" s="50"/>
      <c r="AA717" s="50"/>
      <c r="AB717" s="50"/>
    </row>
    <row r="718" customFormat="false" ht="15.75" hidden="false" customHeight="false" outlineLevel="0" collapsed="false">
      <c r="A718" s="50"/>
      <c r="B718" s="50"/>
      <c r="C718" s="5"/>
      <c r="D718" s="48"/>
      <c r="E718" s="50"/>
      <c r="F718" s="5"/>
      <c r="G718" s="5"/>
      <c r="H718" s="5"/>
      <c r="I718" s="5"/>
      <c r="J718" s="5"/>
      <c r="K718" s="50"/>
      <c r="L718" s="50"/>
      <c r="M718" s="50"/>
      <c r="N718" s="50"/>
      <c r="O718" s="50"/>
      <c r="P718" s="50"/>
      <c r="Q718" s="50"/>
      <c r="R718" s="50"/>
      <c r="S718" s="50"/>
      <c r="T718" s="50"/>
      <c r="U718" s="50"/>
      <c r="V718" s="50"/>
      <c r="W718" s="50"/>
      <c r="X718" s="50"/>
      <c r="Y718" s="50"/>
      <c r="Z718" s="50"/>
      <c r="AA718" s="50"/>
      <c r="AB718" s="50"/>
    </row>
    <row r="719" customFormat="false" ht="15.75" hidden="false" customHeight="false" outlineLevel="0" collapsed="false">
      <c r="A719" s="50"/>
      <c r="B719" s="50"/>
      <c r="C719" s="5"/>
      <c r="D719" s="48"/>
      <c r="E719" s="50"/>
      <c r="F719" s="5"/>
      <c r="G719" s="5"/>
      <c r="H719" s="5"/>
      <c r="I719" s="5"/>
      <c r="J719" s="5"/>
      <c r="K719" s="50"/>
      <c r="L719" s="50"/>
      <c r="M719" s="50"/>
      <c r="N719" s="50"/>
      <c r="O719" s="50"/>
      <c r="P719" s="50"/>
      <c r="Q719" s="50"/>
      <c r="R719" s="50"/>
      <c r="S719" s="50"/>
      <c r="T719" s="50"/>
      <c r="U719" s="50"/>
      <c r="V719" s="50"/>
      <c r="W719" s="50"/>
      <c r="X719" s="50"/>
      <c r="Y719" s="50"/>
      <c r="Z719" s="50"/>
      <c r="AA719" s="50"/>
      <c r="AB719" s="50"/>
    </row>
    <row r="720" customFormat="false" ht="15.75" hidden="false" customHeight="false" outlineLevel="0" collapsed="false">
      <c r="A720" s="50"/>
      <c r="B720" s="50"/>
      <c r="C720" s="5"/>
      <c r="D720" s="48"/>
      <c r="E720" s="50"/>
      <c r="F720" s="5"/>
      <c r="G720" s="5"/>
      <c r="H720" s="5"/>
      <c r="I720" s="5"/>
      <c r="J720" s="5"/>
      <c r="K720" s="50"/>
      <c r="L720" s="50"/>
      <c r="M720" s="50"/>
      <c r="N720" s="50"/>
      <c r="O720" s="50"/>
      <c r="P720" s="50"/>
      <c r="Q720" s="50"/>
      <c r="R720" s="50"/>
      <c r="S720" s="50"/>
      <c r="T720" s="50"/>
      <c r="U720" s="50"/>
      <c r="V720" s="50"/>
      <c r="W720" s="50"/>
      <c r="X720" s="50"/>
      <c r="Y720" s="50"/>
      <c r="Z720" s="50"/>
      <c r="AA720" s="50"/>
      <c r="AB720" s="50"/>
    </row>
    <row r="721" customFormat="false" ht="15.75" hidden="false" customHeight="false" outlineLevel="0" collapsed="false">
      <c r="A721" s="50"/>
      <c r="B721" s="50"/>
      <c r="C721" s="5"/>
      <c r="D721" s="48"/>
      <c r="E721" s="50"/>
      <c r="F721" s="5"/>
      <c r="G721" s="5"/>
      <c r="H721" s="5"/>
      <c r="I721" s="5"/>
      <c r="J721" s="5"/>
      <c r="K721" s="50"/>
      <c r="L721" s="50"/>
      <c r="M721" s="50"/>
      <c r="N721" s="50"/>
      <c r="O721" s="50"/>
      <c r="P721" s="50"/>
      <c r="Q721" s="50"/>
      <c r="R721" s="50"/>
      <c r="S721" s="50"/>
      <c r="T721" s="50"/>
      <c r="U721" s="50"/>
      <c r="V721" s="50"/>
      <c r="W721" s="50"/>
      <c r="X721" s="50"/>
      <c r="Y721" s="50"/>
      <c r="Z721" s="50"/>
      <c r="AA721" s="50"/>
      <c r="AB721" s="50"/>
    </row>
    <row r="722" customFormat="false" ht="15.75" hidden="false" customHeight="false" outlineLevel="0" collapsed="false">
      <c r="A722" s="50"/>
      <c r="B722" s="50"/>
      <c r="C722" s="5"/>
      <c r="D722" s="48"/>
      <c r="E722" s="50"/>
      <c r="F722" s="5"/>
      <c r="G722" s="5"/>
      <c r="H722" s="5"/>
      <c r="I722" s="5"/>
      <c r="J722" s="5"/>
      <c r="K722" s="50"/>
      <c r="L722" s="50"/>
      <c r="M722" s="50"/>
      <c r="N722" s="50"/>
      <c r="O722" s="50"/>
      <c r="P722" s="50"/>
      <c r="Q722" s="50"/>
      <c r="R722" s="50"/>
      <c r="S722" s="50"/>
      <c r="T722" s="50"/>
      <c r="U722" s="50"/>
      <c r="V722" s="50"/>
      <c r="W722" s="50"/>
      <c r="X722" s="50"/>
      <c r="Y722" s="50"/>
      <c r="Z722" s="50"/>
      <c r="AA722" s="50"/>
      <c r="AB722" s="50"/>
    </row>
    <row r="723" customFormat="false" ht="15.75" hidden="false" customHeight="false" outlineLevel="0" collapsed="false">
      <c r="A723" s="50"/>
      <c r="B723" s="50"/>
      <c r="C723" s="5"/>
      <c r="D723" s="48"/>
      <c r="E723" s="50"/>
      <c r="F723" s="5"/>
      <c r="G723" s="5"/>
      <c r="H723" s="5"/>
      <c r="I723" s="5"/>
      <c r="J723" s="5"/>
      <c r="K723" s="50"/>
      <c r="L723" s="50"/>
      <c r="M723" s="50"/>
      <c r="N723" s="50"/>
      <c r="O723" s="50"/>
      <c r="P723" s="50"/>
      <c r="Q723" s="50"/>
      <c r="R723" s="50"/>
      <c r="S723" s="50"/>
      <c r="T723" s="50"/>
      <c r="U723" s="50"/>
      <c r="V723" s="50"/>
      <c r="W723" s="50"/>
      <c r="X723" s="50"/>
      <c r="Y723" s="50"/>
      <c r="Z723" s="50"/>
      <c r="AA723" s="50"/>
      <c r="AB723" s="50"/>
    </row>
    <row r="724" customFormat="false" ht="15.75" hidden="false" customHeight="false" outlineLevel="0" collapsed="false">
      <c r="A724" s="50"/>
      <c r="B724" s="50"/>
      <c r="C724" s="5"/>
      <c r="D724" s="48"/>
      <c r="E724" s="50"/>
      <c r="F724" s="5"/>
      <c r="G724" s="5"/>
      <c r="H724" s="5"/>
      <c r="I724" s="5"/>
      <c r="J724" s="5"/>
      <c r="K724" s="50"/>
      <c r="L724" s="50"/>
      <c r="M724" s="50"/>
      <c r="N724" s="50"/>
      <c r="O724" s="50"/>
      <c r="P724" s="50"/>
      <c r="Q724" s="50"/>
      <c r="R724" s="50"/>
      <c r="S724" s="50"/>
      <c r="T724" s="50"/>
      <c r="U724" s="50"/>
      <c r="V724" s="50"/>
      <c r="W724" s="50"/>
      <c r="X724" s="50"/>
      <c r="Y724" s="50"/>
      <c r="Z724" s="50"/>
      <c r="AA724" s="50"/>
      <c r="AB724" s="50"/>
    </row>
    <row r="725" customFormat="false" ht="15.75" hidden="false" customHeight="false" outlineLevel="0" collapsed="false">
      <c r="A725" s="50"/>
      <c r="B725" s="50"/>
      <c r="C725" s="5"/>
      <c r="D725" s="48"/>
      <c r="E725" s="50"/>
      <c r="F725" s="5"/>
      <c r="G725" s="5"/>
      <c r="H725" s="5"/>
      <c r="I725" s="5"/>
      <c r="J725" s="5"/>
      <c r="K725" s="50"/>
      <c r="L725" s="50"/>
      <c r="M725" s="50"/>
      <c r="N725" s="50"/>
      <c r="O725" s="50"/>
      <c r="P725" s="50"/>
      <c r="Q725" s="50"/>
      <c r="R725" s="50"/>
      <c r="S725" s="50"/>
      <c r="T725" s="50"/>
      <c r="U725" s="50"/>
      <c r="V725" s="50"/>
      <c r="W725" s="50"/>
      <c r="X725" s="50"/>
      <c r="Y725" s="50"/>
      <c r="Z725" s="50"/>
      <c r="AA725" s="50"/>
      <c r="AB725" s="50"/>
    </row>
    <row r="726" customFormat="false" ht="15.75" hidden="false" customHeight="false" outlineLevel="0" collapsed="false">
      <c r="A726" s="50"/>
      <c r="B726" s="50"/>
      <c r="C726" s="5"/>
      <c r="D726" s="48"/>
      <c r="E726" s="50"/>
      <c r="F726" s="5"/>
      <c r="G726" s="5"/>
      <c r="H726" s="5"/>
      <c r="I726" s="5"/>
      <c r="J726" s="5"/>
      <c r="K726" s="50"/>
      <c r="L726" s="50"/>
      <c r="M726" s="50"/>
      <c r="N726" s="50"/>
      <c r="O726" s="50"/>
      <c r="P726" s="50"/>
      <c r="Q726" s="50"/>
      <c r="R726" s="50"/>
      <c r="S726" s="50"/>
      <c r="T726" s="50"/>
      <c r="U726" s="50"/>
      <c r="V726" s="50"/>
      <c r="W726" s="50"/>
      <c r="X726" s="50"/>
      <c r="Y726" s="50"/>
      <c r="Z726" s="50"/>
      <c r="AA726" s="50"/>
      <c r="AB726" s="50"/>
    </row>
    <row r="727" customFormat="false" ht="15.75" hidden="false" customHeight="false" outlineLevel="0" collapsed="false">
      <c r="A727" s="50"/>
      <c r="B727" s="50"/>
      <c r="C727" s="5"/>
      <c r="D727" s="48"/>
      <c r="E727" s="50"/>
      <c r="F727" s="5"/>
      <c r="G727" s="5"/>
      <c r="H727" s="5"/>
      <c r="I727" s="5"/>
      <c r="J727" s="5"/>
      <c r="K727" s="50"/>
      <c r="L727" s="50"/>
      <c r="M727" s="50"/>
      <c r="N727" s="50"/>
      <c r="O727" s="50"/>
      <c r="P727" s="50"/>
      <c r="Q727" s="50"/>
      <c r="R727" s="50"/>
      <c r="S727" s="50"/>
      <c r="T727" s="50"/>
      <c r="U727" s="50"/>
      <c r="V727" s="50"/>
      <c r="W727" s="50"/>
      <c r="X727" s="50"/>
      <c r="Y727" s="50"/>
      <c r="Z727" s="50"/>
      <c r="AA727" s="50"/>
      <c r="AB727" s="50"/>
    </row>
    <row r="728" customFormat="false" ht="15.75" hidden="false" customHeight="false" outlineLevel="0" collapsed="false">
      <c r="A728" s="50"/>
      <c r="B728" s="50"/>
      <c r="C728" s="5"/>
      <c r="D728" s="48"/>
      <c r="E728" s="50"/>
      <c r="F728" s="5"/>
      <c r="G728" s="5"/>
      <c r="H728" s="5"/>
      <c r="I728" s="5"/>
      <c r="J728" s="5"/>
      <c r="K728" s="50"/>
      <c r="L728" s="50"/>
      <c r="M728" s="50"/>
      <c r="N728" s="50"/>
      <c r="O728" s="50"/>
      <c r="P728" s="50"/>
      <c r="Q728" s="50"/>
      <c r="R728" s="50"/>
      <c r="S728" s="50"/>
      <c r="T728" s="50"/>
      <c r="U728" s="50"/>
      <c r="V728" s="50"/>
      <c r="W728" s="50"/>
      <c r="X728" s="50"/>
      <c r="Y728" s="50"/>
      <c r="Z728" s="50"/>
      <c r="AA728" s="50"/>
      <c r="AB728" s="50"/>
    </row>
    <row r="729" customFormat="false" ht="15.75" hidden="false" customHeight="false" outlineLevel="0" collapsed="false">
      <c r="A729" s="50"/>
      <c r="B729" s="50"/>
      <c r="C729" s="5"/>
      <c r="D729" s="48"/>
      <c r="E729" s="50"/>
      <c r="F729" s="5"/>
      <c r="G729" s="5"/>
      <c r="H729" s="5"/>
      <c r="I729" s="5"/>
      <c r="J729" s="5"/>
      <c r="K729" s="50"/>
      <c r="L729" s="50"/>
      <c r="M729" s="50"/>
      <c r="N729" s="50"/>
      <c r="O729" s="50"/>
      <c r="P729" s="50"/>
      <c r="Q729" s="50"/>
      <c r="R729" s="50"/>
      <c r="S729" s="50"/>
      <c r="T729" s="50"/>
      <c r="U729" s="50"/>
      <c r="V729" s="50"/>
      <c r="W729" s="50"/>
      <c r="X729" s="50"/>
      <c r="Y729" s="50"/>
      <c r="Z729" s="50"/>
      <c r="AA729" s="50"/>
      <c r="AB729" s="50"/>
    </row>
    <row r="730" customFormat="false" ht="15.75" hidden="false" customHeight="false" outlineLevel="0" collapsed="false">
      <c r="A730" s="50"/>
      <c r="B730" s="50"/>
      <c r="C730" s="5"/>
      <c r="D730" s="48"/>
      <c r="E730" s="50"/>
      <c r="F730" s="5"/>
      <c r="G730" s="5"/>
      <c r="H730" s="5"/>
      <c r="I730" s="5"/>
      <c r="J730" s="5"/>
      <c r="K730" s="50"/>
      <c r="L730" s="50"/>
      <c r="M730" s="50"/>
      <c r="N730" s="50"/>
      <c r="O730" s="50"/>
      <c r="P730" s="50"/>
      <c r="Q730" s="50"/>
      <c r="R730" s="50"/>
      <c r="S730" s="50"/>
      <c r="T730" s="50"/>
      <c r="U730" s="50"/>
      <c r="V730" s="50"/>
      <c r="W730" s="50"/>
      <c r="X730" s="50"/>
      <c r="Y730" s="50"/>
      <c r="Z730" s="50"/>
      <c r="AA730" s="50"/>
      <c r="AB730" s="50"/>
    </row>
    <row r="731" customFormat="false" ht="15.75" hidden="false" customHeight="false" outlineLevel="0" collapsed="false">
      <c r="A731" s="50"/>
      <c r="B731" s="50"/>
      <c r="C731" s="5"/>
      <c r="D731" s="48"/>
      <c r="E731" s="50"/>
      <c r="F731" s="5"/>
      <c r="G731" s="5"/>
      <c r="H731" s="5"/>
      <c r="I731" s="5"/>
      <c r="J731" s="5"/>
      <c r="K731" s="50"/>
      <c r="L731" s="50"/>
      <c r="M731" s="50"/>
      <c r="N731" s="50"/>
      <c r="O731" s="50"/>
      <c r="P731" s="50"/>
      <c r="Q731" s="50"/>
      <c r="R731" s="50"/>
      <c r="S731" s="50"/>
      <c r="T731" s="50"/>
      <c r="U731" s="50"/>
      <c r="V731" s="50"/>
      <c r="W731" s="50"/>
      <c r="X731" s="50"/>
      <c r="Y731" s="50"/>
      <c r="Z731" s="50"/>
      <c r="AA731" s="50"/>
      <c r="AB731" s="50"/>
    </row>
    <row r="732" customFormat="false" ht="15.75" hidden="false" customHeight="false" outlineLevel="0" collapsed="false">
      <c r="A732" s="50"/>
      <c r="B732" s="50"/>
      <c r="C732" s="5"/>
      <c r="D732" s="48"/>
      <c r="E732" s="50"/>
      <c r="F732" s="5"/>
      <c r="G732" s="5"/>
      <c r="H732" s="5"/>
      <c r="I732" s="5"/>
      <c r="J732" s="5"/>
      <c r="K732" s="50"/>
      <c r="L732" s="50"/>
      <c r="M732" s="50"/>
      <c r="N732" s="50"/>
      <c r="O732" s="50"/>
      <c r="P732" s="50"/>
      <c r="Q732" s="50"/>
      <c r="R732" s="50"/>
      <c r="S732" s="50"/>
      <c r="T732" s="50"/>
      <c r="U732" s="50"/>
      <c r="V732" s="50"/>
      <c r="W732" s="50"/>
      <c r="X732" s="50"/>
      <c r="Y732" s="50"/>
      <c r="Z732" s="50"/>
      <c r="AA732" s="50"/>
      <c r="AB732" s="50"/>
    </row>
    <row r="733" customFormat="false" ht="15.75" hidden="false" customHeight="false" outlineLevel="0" collapsed="false">
      <c r="A733" s="50"/>
      <c r="B733" s="50"/>
      <c r="C733" s="5"/>
      <c r="D733" s="48"/>
      <c r="E733" s="50"/>
      <c r="F733" s="5"/>
      <c r="G733" s="5"/>
      <c r="H733" s="5"/>
      <c r="I733" s="5"/>
      <c r="J733" s="5"/>
      <c r="K733" s="50"/>
      <c r="L733" s="50"/>
      <c r="M733" s="50"/>
      <c r="N733" s="50"/>
      <c r="O733" s="50"/>
      <c r="P733" s="50"/>
      <c r="Q733" s="50"/>
      <c r="R733" s="50"/>
      <c r="S733" s="50"/>
      <c r="T733" s="50"/>
      <c r="U733" s="50"/>
      <c r="V733" s="50"/>
      <c r="W733" s="50"/>
      <c r="X733" s="50"/>
      <c r="Y733" s="50"/>
      <c r="Z733" s="50"/>
      <c r="AA733" s="50"/>
      <c r="AB733" s="50"/>
    </row>
    <row r="734" customFormat="false" ht="15.75" hidden="false" customHeight="false" outlineLevel="0" collapsed="false">
      <c r="A734" s="50"/>
      <c r="B734" s="50"/>
      <c r="C734" s="5"/>
      <c r="D734" s="48"/>
      <c r="E734" s="50"/>
      <c r="F734" s="5"/>
      <c r="G734" s="5"/>
      <c r="H734" s="5"/>
      <c r="I734" s="5"/>
      <c r="J734" s="5"/>
      <c r="K734" s="50"/>
      <c r="L734" s="50"/>
      <c r="M734" s="50"/>
      <c r="N734" s="50"/>
      <c r="O734" s="50"/>
      <c r="P734" s="50"/>
      <c r="Q734" s="50"/>
      <c r="R734" s="50"/>
      <c r="S734" s="50"/>
      <c r="T734" s="50"/>
      <c r="U734" s="50"/>
      <c r="V734" s="50"/>
      <c r="W734" s="50"/>
      <c r="X734" s="50"/>
      <c r="Y734" s="50"/>
      <c r="Z734" s="50"/>
      <c r="AA734" s="50"/>
      <c r="AB734" s="50"/>
    </row>
    <row r="735" customFormat="false" ht="15.75" hidden="false" customHeight="false" outlineLevel="0" collapsed="false">
      <c r="A735" s="50"/>
      <c r="B735" s="50"/>
      <c r="C735" s="5"/>
      <c r="D735" s="48"/>
      <c r="E735" s="50"/>
      <c r="F735" s="5"/>
      <c r="G735" s="5"/>
      <c r="H735" s="5"/>
      <c r="I735" s="5"/>
      <c r="J735" s="5"/>
      <c r="K735" s="50"/>
      <c r="L735" s="50"/>
      <c r="M735" s="50"/>
      <c r="N735" s="50"/>
      <c r="O735" s="50"/>
      <c r="P735" s="50"/>
      <c r="Q735" s="50"/>
      <c r="R735" s="50"/>
      <c r="S735" s="50"/>
      <c r="T735" s="50"/>
      <c r="U735" s="50"/>
      <c r="V735" s="50"/>
      <c r="W735" s="50"/>
      <c r="X735" s="50"/>
      <c r="Y735" s="50"/>
      <c r="Z735" s="50"/>
      <c r="AA735" s="50"/>
      <c r="AB735" s="50"/>
    </row>
    <row r="736" customFormat="false" ht="15.75" hidden="false" customHeight="false" outlineLevel="0" collapsed="false">
      <c r="A736" s="50"/>
      <c r="B736" s="50"/>
      <c r="C736" s="5"/>
      <c r="D736" s="48"/>
      <c r="E736" s="50"/>
      <c r="F736" s="5"/>
      <c r="G736" s="5"/>
      <c r="H736" s="5"/>
      <c r="I736" s="5"/>
      <c r="J736" s="5"/>
      <c r="K736" s="50"/>
      <c r="L736" s="50"/>
      <c r="M736" s="50"/>
      <c r="N736" s="50"/>
      <c r="O736" s="50"/>
      <c r="P736" s="50"/>
      <c r="Q736" s="50"/>
      <c r="R736" s="50"/>
      <c r="S736" s="50"/>
      <c r="T736" s="50"/>
      <c r="U736" s="50"/>
      <c r="V736" s="50"/>
      <c r="W736" s="50"/>
      <c r="X736" s="50"/>
      <c r="Y736" s="50"/>
      <c r="Z736" s="50"/>
      <c r="AA736" s="50"/>
      <c r="AB736" s="50"/>
    </row>
    <row r="737" customFormat="false" ht="15.75" hidden="false" customHeight="false" outlineLevel="0" collapsed="false">
      <c r="A737" s="50"/>
      <c r="B737" s="50"/>
      <c r="C737" s="5"/>
      <c r="D737" s="48"/>
      <c r="E737" s="50"/>
      <c r="F737" s="5"/>
      <c r="G737" s="5"/>
      <c r="H737" s="5"/>
      <c r="I737" s="5"/>
      <c r="J737" s="5"/>
      <c r="K737" s="50"/>
      <c r="L737" s="50"/>
      <c r="M737" s="50"/>
      <c r="N737" s="50"/>
      <c r="O737" s="50"/>
      <c r="P737" s="50"/>
      <c r="Q737" s="50"/>
      <c r="R737" s="50"/>
      <c r="S737" s="50"/>
      <c r="T737" s="50"/>
      <c r="U737" s="50"/>
      <c r="V737" s="50"/>
      <c r="W737" s="50"/>
      <c r="X737" s="50"/>
      <c r="Y737" s="50"/>
      <c r="Z737" s="50"/>
      <c r="AA737" s="50"/>
      <c r="AB737" s="50"/>
    </row>
    <row r="738" customFormat="false" ht="15.75" hidden="false" customHeight="false" outlineLevel="0" collapsed="false">
      <c r="A738" s="50"/>
      <c r="B738" s="50"/>
      <c r="C738" s="5"/>
      <c r="D738" s="48"/>
      <c r="E738" s="50"/>
      <c r="F738" s="5"/>
      <c r="G738" s="5"/>
      <c r="H738" s="5"/>
      <c r="I738" s="5"/>
      <c r="J738" s="5"/>
      <c r="K738" s="50"/>
      <c r="L738" s="50"/>
      <c r="M738" s="50"/>
      <c r="N738" s="50"/>
      <c r="O738" s="50"/>
      <c r="P738" s="50"/>
      <c r="Q738" s="50"/>
      <c r="R738" s="50"/>
      <c r="S738" s="50"/>
      <c r="T738" s="50"/>
      <c r="U738" s="50"/>
      <c r="V738" s="50"/>
      <c r="W738" s="50"/>
      <c r="X738" s="50"/>
      <c r="Y738" s="50"/>
      <c r="Z738" s="50"/>
      <c r="AA738" s="50"/>
      <c r="AB738" s="50"/>
    </row>
    <row r="739" customFormat="false" ht="15.75" hidden="false" customHeight="false" outlineLevel="0" collapsed="false">
      <c r="A739" s="50"/>
      <c r="B739" s="50"/>
      <c r="C739" s="5"/>
      <c r="D739" s="48"/>
      <c r="E739" s="50"/>
      <c r="F739" s="5"/>
      <c r="G739" s="5"/>
      <c r="H739" s="5"/>
      <c r="I739" s="5"/>
      <c r="J739" s="5"/>
      <c r="K739" s="50"/>
      <c r="L739" s="50"/>
      <c r="M739" s="50"/>
      <c r="N739" s="50"/>
      <c r="O739" s="50"/>
      <c r="P739" s="50"/>
      <c r="Q739" s="50"/>
      <c r="R739" s="50"/>
      <c r="S739" s="50"/>
      <c r="T739" s="50"/>
      <c r="U739" s="50"/>
      <c r="V739" s="50"/>
      <c r="W739" s="50"/>
      <c r="X739" s="50"/>
      <c r="Y739" s="50"/>
      <c r="Z739" s="50"/>
      <c r="AA739" s="50"/>
      <c r="AB739" s="50"/>
    </row>
    <row r="740" customFormat="false" ht="15.75" hidden="false" customHeight="false" outlineLevel="0" collapsed="false">
      <c r="A740" s="50"/>
      <c r="B740" s="50"/>
      <c r="C740" s="5"/>
      <c r="D740" s="48"/>
      <c r="E740" s="50"/>
      <c r="F740" s="5"/>
      <c r="G740" s="5"/>
      <c r="H740" s="5"/>
      <c r="I740" s="5"/>
      <c r="J740" s="5"/>
      <c r="K740" s="50"/>
      <c r="L740" s="50"/>
      <c r="M740" s="50"/>
      <c r="N740" s="50"/>
      <c r="O740" s="50"/>
      <c r="P740" s="50"/>
      <c r="Q740" s="50"/>
      <c r="R740" s="50"/>
      <c r="S740" s="50"/>
      <c r="T740" s="50"/>
      <c r="U740" s="50"/>
      <c r="V740" s="50"/>
      <c r="W740" s="50"/>
      <c r="X740" s="50"/>
      <c r="Y740" s="50"/>
      <c r="Z740" s="50"/>
      <c r="AA740" s="50"/>
      <c r="AB740" s="50"/>
    </row>
    <row r="741" customFormat="false" ht="15.75" hidden="false" customHeight="false" outlineLevel="0" collapsed="false">
      <c r="A741" s="50"/>
      <c r="B741" s="50"/>
      <c r="C741" s="5"/>
      <c r="D741" s="48"/>
      <c r="E741" s="50"/>
      <c r="F741" s="5"/>
      <c r="G741" s="5"/>
      <c r="H741" s="5"/>
      <c r="I741" s="5"/>
      <c r="J741" s="5"/>
      <c r="K741" s="50"/>
      <c r="L741" s="50"/>
      <c r="M741" s="50"/>
      <c r="N741" s="50"/>
      <c r="O741" s="50"/>
      <c r="P741" s="50"/>
      <c r="Q741" s="50"/>
      <c r="R741" s="50"/>
      <c r="S741" s="50"/>
      <c r="T741" s="50"/>
      <c r="U741" s="50"/>
      <c r="V741" s="50"/>
      <c r="W741" s="50"/>
      <c r="X741" s="50"/>
      <c r="Y741" s="50"/>
      <c r="Z741" s="50"/>
      <c r="AA741" s="50"/>
      <c r="AB741" s="50"/>
    </row>
    <row r="742" customFormat="false" ht="15.75" hidden="false" customHeight="false" outlineLevel="0" collapsed="false">
      <c r="A742" s="50"/>
      <c r="B742" s="50"/>
      <c r="C742" s="5"/>
      <c r="D742" s="48"/>
      <c r="E742" s="50"/>
      <c r="F742" s="5"/>
      <c r="G742" s="5"/>
      <c r="H742" s="5"/>
      <c r="I742" s="5"/>
      <c r="J742" s="5"/>
      <c r="K742" s="50"/>
      <c r="L742" s="50"/>
      <c r="M742" s="50"/>
      <c r="N742" s="50"/>
      <c r="O742" s="50"/>
      <c r="P742" s="50"/>
      <c r="Q742" s="50"/>
      <c r="R742" s="50"/>
      <c r="S742" s="50"/>
      <c r="T742" s="50"/>
      <c r="U742" s="50"/>
      <c r="V742" s="50"/>
      <c r="W742" s="50"/>
      <c r="X742" s="50"/>
      <c r="Y742" s="50"/>
      <c r="Z742" s="50"/>
      <c r="AA742" s="50"/>
      <c r="AB742" s="50"/>
    </row>
    <row r="743" customFormat="false" ht="15.75" hidden="false" customHeight="false" outlineLevel="0" collapsed="false">
      <c r="A743" s="50"/>
      <c r="B743" s="50"/>
      <c r="C743" s="5"/>
      <c r="D743" s="48"/>
      <c r="E743" s="50"/>
      <c r="F743" s="5"/>
      <c r="G743" s="5"/>
      <c r="H743" s="5"/>
      <c r="I743" s="5"/>
      <c r="J743" s="5"/>
      <c r="K743" s="50"/>
      <c r="L743" s="50"/>
      <c r="M743" s="50"/>
      <c r="N743" s="50"/>
      <c r="O743" s="50"/>
      <c r="P743" s="50"/>
      <c r="Q743" s="50"/>
      <c r="R743" s="50"/>
      <c r="S743" s="50"/>
      <c r="T743" s="50"/>
      <c r="U743" s="50"/>
      <c r="V743" s="50"/>
      <c r="W743" s="50"/>
      <c r="X743" s="50"/>
      <c r="Y743" s="50"/>
      <c r="Z743" s="50"/>
      <c r="AA743" s="50"/>
      <c r="AB743" s="50"/>
    </row>
    <row r="744" customFormat="false" ht="15.75" hidden="false" customHeight="false" outlineLevel="0" collapsed="false">
      <c r="A744" s="50"/>
      <c r="B744" s="50"/>
      <c r="C744" s="5"/>
      <c r="D744" s="48"/>
      <c r="E744" s="50"/>
      <c r="F744" s="5"/>
      <c r="G744" s="5"/>
      <c r="H744" s="5"/>
      <c r="I744" s="5"/>
      <c r="J744" s="5"/>
      <c r="K744" s="50"/>
      <c r="L744" s="50"/>
      <c r="M744" s="50"/>
      <c r="N744" s="50"/>
      <c r="O744" s="50"/>
      <c r="P744" s="50"/>
      <c r="Q744" s="50"/>
      <c r="R744" s="50"/>
      <c r="S744" s="50"/>
      <c r="T744" s="50"/>
      <c r="U744" s="50"/>
      <c r="V744" s="50"/>
      <c r="W744" s="50"/>
      <c r="X744" s="50"/>
      <c r="Y744" s="50"/>
      <c r="Z744" s="50"/>
      <c r="AA744" s="50"/>
      <c r="AB744" s="50"/>
    </row>
    <row r="745" customFormat="false" ht="15.75" hidden="false" customHeight="false" outlineLevel="0" collapsed="false">
      <c r="A745" s="50"/>
      <c r="B745" s="50"/>
      <c r="C745" s="5"/>
      <c r="D745" s="48"/>
      <c r="E745" s="50"/>
      <c r="F745" s="5"/>
      <c r="G745" s="5"/>
      <c r="H745" s="5"/>
      <c r="I745" s="5"/>
      <c r="J745" s="5"/>
      <c r="K745" s="50"/>
      <c r="L745" s="50"/>
      <c r="M745" s="50"/>
      <c r="N745" s="50"/>
      <c r="O745" s="50"/>
      <c r="P745" s="50"/>
      <c r="Q745" s="50"/>
      <c r="R745" s="50"/>
      <c r="S745" s="50"/>
      <c r="T745" s="50"/>
      <c r="U745" s="50"/>
      <c r="V745" s="50"/>
      <c r="W745" s="50"/>
      <c r="X745" s="50"/>
      <c r="Y745" s="50"/>
      <c r="Z745" s="50"/>
      <c r="AA745" s="50"/>
      <c r="AB745" s="50"/>
    </row>
    <row r="746" customFormat="false" ht="15.75" hidden="false" customHeight="false" outlineLevel="0" collapsed="false">
      <c r="A746" s="50"/>
      <c r="B746" s="50"/>
      <c r="C746" s="5"/>
      <c r="D746" s="48"/>
      <c r="E746" s="50"/>
      <c r="F746" s="5"/>
      <c r="G746" s="5"/>
      <c r="H746" s="5"/>
      <c r="I746" s="5"/>
      <c r="J746" s="5"/>
      <c r="K746" s="50"/>
      <c r="L746" s="50"/>
      <c r="M746" s="50"/>
      <c r="N746" s="50"/>
      <c r="O746" s="50"/>
      <c r="P746" s="50"/>
      <c r="Q746" s="50"/>
      <c r="R746" s="50"/>
      <c r="S746" s="50"/>
      <c r="T746" s="50"/>
      <c r="U746" s="50"/>
      <c r="V746" s="50"/>
      <c r="W746" s="50"/>
      <c r="X746" s="50"/>
      <c r="Y746" s="50"/>
      <c r="Z746" s="50"/>
      <c r="AA746" s="50"/>
      <c r="AB746" s="50"/>
    </row>
    <row r="747" customFormat="false" ht="15.75" hidden="false" customHeight="false" outlineLevel="0" collapsed="false">
      <c r="A747" s="50"/>
      <c r="B747" s="50"/>
      <c r="C747" s="5"/>
      <c r="D747" s="48"/>
      <c r="E747" s="50"/>
      <c r="F747" s="5"/>
      <c r="G747" s="5"/>
      <c r="H747" s="5"/>
      <c r="I747" s="5"/>
      <c r="J747" s="5"/>
      <c r="K747" s="50"/>
      <c r="L747" s="50"/>
      <c r="M747" s="50"/>
      <c r="N747" s="50"/>
      <c r="O747" s="50"/>
      <c r="P747" s="50"/>
      <c r="Q747" s="50"/>
      <c r="R747" s="50"/>
      <c r="S747" s="50"/>
      <c r="T747" s="50"/>
      <c r="U747" s="50"/>
      <c r="V747" s="50"/>
      <c r="W747" s="50"/>
      <c r="X747" s="50"/>
      <c r="Y747" s="50"/>
      <c r="Z747" s="50"/>
      <c r="AA747" s="50"/>
      <c r="AB747" s="50"/>
    </row>
    <row r="748" customFormat="false" ht="15.75" hidden="false" customHeight="false" outlineLevel="0" collapsed="false">
      <c r="A748" s="50"/>
      <c r="B748" s="50"/>
      <c r="C748" s="5"/>
      <c r="D748" s="48"/>
      <c r="E748" s="50"/>
      <c r="F748" s="5"/>
      <c r="G748" s="5"/>
      <c r="H748" s="5"/>
      <c r="I748" s="5"/>
      <c r="J748" s="5"/>
      <c r="K748" s="50"/>
      <c r="L748" s="50"/>
      <c r="M748" s="50"/>
      <c r="N748" s="50"/>
      <c r="O748" s="50"/>
      <c r="P748" s="50"/>
      <c r="Q748" s="50"/>
      <c r="R748" s="50"/>
      <c r="S748" s="50"/>
      <c r="T748" s="50"/>
      <c r="U748" s="50"/>
      <c r="V748" s="50"/>
      <c r="W748" s="50"/>
      <c r="X748" s="50"/>
      <c r="Y748" s="50"/>
      <c r="Z748" s="50"/>
      <c r="AA748" s="50"/>
      <c r="AB748" s="50"/>
    </row>
    <row r="749" customFormat="false" ht="15.75" hidden="false" customHeight="false" outlineLevel="0" collapsed="false">
      <c r="A749" s="50"/>
      <c r="B749" s="50"/>
      <c r="C749" s="5"/>
      <c r="D749" s="48"/>
      <c r="E749" s="50"/>
      <c r="F749" s="5"/>
      <c r="G749" s="5"/>
      <c r="H749" s="5"/>
      <c r="I749" s="5"/>
      <c r="J749" s="5"/>
      <c r="K749" s="50"/>
      <c r="L749" s="50"/>
      <c r="M749" s="50"/>
      <c r="N749" s="50"/>
      <c r="O749" s="50"/>
      <c r="P749" s="50"/>
      <c r="Q749" s="50"/>
      <c r="R749" s="50"/>
      <c r="S749" s="50"/>
      <c r="T749" s="50"/>
      <c r="U749" s="50"/>
      <c r="V749" s="50"/>
      <c r="W749" s="50"/>
      <c r="X749" s="50"/>
      <c r="Y749" s="50"/>
      <c r="Z749" s="50"/>
      <c r="AA749" s="50"/>
      <c r="AB749" s="50"/>
    </row>
    <row r="750" customFormat="false" ht="15.75" hidden="false" customHeight="false" outlineLevel="0" collapsed="false">
      <c r="A750" s="50"/>
      <c r="B750" s="50"/>
      <c r="C750" s="5"/>
      <c r="D750" s="48"/>
      <c r="E750" s="50"/>
      <c r="F750" s="5"/>
      <c r="G750" s="5"/>
      <c r="H750" s="5"/>
      <c r="I750" s="5"/>
      <c r="J750" s="5"/>
      <c r="K750" s="50"/>
      <c r="L750" s="50"/>
      <c r="M750" s="50"/>
      <c r="N750" s="50"/>
      <c r="O750" s="50"/>
      <c r="P750" s="50"/>
      <c r="Q750" s="50"/>
      <c r="R750" s="50"/>
      <c r="S750" s="50"/>
      <c r="T750" s="50"/>
      <c r="U750" s="50"/>
      <c r="V750" s="50"/>
      <c r="W750" s="50"/>
      <c r="X750" s="50"/>
      <c r="Y750" s="50"/>
      <c r="Z750" s="50"/>
      <c r="AA750" s="50"/>
      <c r="AB750" s="50"/>
    </row>
    <row r="751" customFormat="false" ht="15.75" hidden="false" customHeight="false" outlineLevel="0" collapsed="false">
      <c r="A751" s="50"/>
      <c r="B751" s="50"/>
      <c r="C751" s="5"/>
      <c r="D751" s="48"/>
      <c r="E751" s="50"/>
      <c r="F751" s="5"/>
      <c r="G751" s="5"/>
      <c r="H751" s="5"/>
      <c r="I751" s="5"/>
      <c r="J751" s="5"/>
      <c r="K751" s="50"/>
      <c r="L751" s="50"/>
      <c r="M751" s="50"/>
      <c r="N751" s="50"/>
      <c r="O751" s="50"/>
      <c r="P751" s="50"/>
      <c r="Q751" s="50"/>
      <c r="R751" s="50"/>
      <c r="S751" s="50"/>
      <c r="T751" s="50"/>
      <c r="U751" s="50"/>
      <c r="V751" s="50"/>
      <c r="W751" s="50"/>
      <c r="X751" s="50"/>
      <c r="Y751" s="50"/>
      <c r="Z751" s="50"/>
      <c r="AA751" s="50"/>
      <c r="AB751" s="50"/>
    </row>
    <row r="752" customFormat="false" ht="15.75" hidden="false" customHeight="false" outlineLevel="0" collapsed="false">
      <c r="A752" s="50"/>
      <c r="B752" s="50"/>
      <c r="C752" s="5"/>
      <c r="D752" s="48"/>
      <c r="E752" s="50"/>
      <c r="F752" s="5"/>
      <c r="G752" s="5"/>
      <c r="H752" s="5"/>
      <c r="I752" s="5"/>
      <c r="J752" s="5"/>
      <c r="K752" s="50"/>
      <c r="L752" s="50"/>
      <c r="M752" s="50"/>
      <c r="N752" s="50"/>
      <c r="O752" s="50"/>
      <c r="P752" s="50"/>
      <c r="Q752" s="50"/>
      <c r="R752" s="50"/>
      <c r="S752" s="50"/>
      <c r="T752" s="50"/>
      <c r="U752" s="50"/>
      <c r="V752" s="50"/>
      <c r="W752" s="50"/>
      <c r="X752" s="50"/>
      <c r="Y752" s="50"/>
      <c r="Z752" s="50"/>
      <c r="AA752" s="50"/>
      <c r="AB752" s="50"/>
    </row>
    <row r="753" customFormat="false" ht="15.75" hidden="false" customHeight="false" outlineLevel="0" collapsed="false">
      <c r="A753" s="50"/>
      <c r="B753" s="50"/>
      <c r="C753" s="5"/>
      <c r="D753" s="48"/>
      <c r="E753" s="50"/>
      <c r="F753" s="5"/>
      <c r="G753" s="5"/>
      <c r="H753" s="5"/>
      <c r="I753" s="5"/>
      <c r="J753" s="5"/>
      <c r="K753" s="50"/>
      <c r="L753" s="50"/>
      <c r="M753" s="50"/>
      <c r="N753" s="50"/>
      <c r="O753" s="50"/>
      <c r="P753" s="50"/>
      <c r="Q753" s="50"/>
      <c r="R753" s="50"/>
      <c r="S753" s="50"/>
      <c r="T753" s="50"/>
      <c r="U753" s="50"/>
      <c r="V753" s="50"/>
      <c r="W753" s="50"/>
      <c r="X753" s="50"/>
      <c r="Y753" s="50"/>
      <c r="Z753" s="50"/>
      <c r="AA753" s="50"/>
      <c r="AB753" s="50"/>
    </row>
    <row r="754" customFormat="false" ht="15.75" hidden="false" customHeight="false" outlineLevel="0" collapsed="false">
      <c r="A754" s="50"/>
      <c r="B754" s="50"/>
      <c r="C754" s="5"/>
      <c r="D754" s="48"/>
      <c r="E754" s="50"/>
      <c r="F754" s="5"/>
      <c r="G754" s="5"/>
      <c r="H754" s="5"/>
      <c r="I754" s="5"/>
      <c r="J754" s="5"/>
      <c r="K754" s="50"/>
      <c r="L754" s="50"/>
      <c r="M754" s="50"/>
      <c r="N754" s="50"/>
      <c r="O754" s="50"/>
      <c r="P754" s="50"/>
      <c r="Q754" s="50"/>
      <c r="R754" s="50"/>
      <c r="S754" s="50"/>
      <c r="T754" s="50"/>
      <c r="U754" s="50"/>
      <c r="V754" s="50"/>
      <c r="W754" s="50"/>
      <c r="X754" s="50"/>
      <c r="Y754" s="50"/>
      <c r="Z754" s="50"/>
      <c r="AA754" s="50"/>
      <c r="AB754" s="50"/>
    </row>
    <row r="755" customFormat="false" ht="15.75" hidden="false" customHeight="false" outlineLevel="0" collapsed="false">
      <c r="A755" s="50"/>
      <c r="B755" s="50"/>
      <c r="C755" s="5"/>
      <c r="D755" s="48"/>
      <c r="E755" s="50"/>
      <c r="F755" s="5"/>
      <c r="G755" s="5"/>
      <c r="H755" s="5"/>
      <c r="I755" s="5"/>
      <c r="J755" s="5"/>
      <c r="K755" s="50"/>
      <c r="L755" s="50"/>
      <c r="M755" s="50"/>
      <c r="N755" s="50"/>
      <c r="O755" s="50"/>
      <c r="P755" s="50"/>
      <c r="Q755" s="50"/>
      <c r="R755" s="50"/>
      <c r="S755" s="50"/>
      <c r="T755" s="50"/>
      <c r="U755" s="50"/>
      <c r="V755" s="50"/>
      <c r="W755" s="50"/>
      <c r="X755" s="50"/>
      <c r="Y755" s="50"/>
      <c r="Z755" s="50"/>
      <c r="AA755" s="50"/>
      <c r="AB755" s="50"/>
    </row>
    <row r="756" customFormat="false" ht="15.75" hidden="false" customHeight="false" outlineLevel="0" collapsed="false">
      <c r="A756" s="50"/>
      <c r="B756" s="50"/>
      <c r="C756" s="5"/>
      <c r="D756" s="48"/>
      <c r="E756" s="50"/>
      <c r="F756" s="5"/>
      <c r="G756" s="5"/>
      <c r="H756" s="5"/>
      <c r="I756" s="5"/>
      <c r="J756" s="5"/>
      <c r="K756" s="50"/>
      <c r="L756" s="50"/>
      <c r="M756" s="50"/>
      <c r="N756" s="50"/>
      <c r="O756" s="50"/>
      <c r="P756" s="50"/>
      <c r="Q756" s="50"/>
      <c r="R756" s="50"/>
      <c r="S756" s="50"/>
      <c r="T756" s="50"/>
      <c r="U756" s="50"/>
      <c r="V756" s="50"/>
      <c r="W756" s="50"/>
      <c r="X756" s="50"/>
      <c r="Y756" s="50"/>
      <c r="Z756" s="50"/>
      <c r="AA756" s="50"/>
      <c r="AB756" s="50"/>
    </row>
    <row r="757" customFormat="false" ht="15.75" hidden="false" customHeight="false" outlineLevel="0" collapsed="false">
      <c r="A757" s="50"/>
      <c r="B757" s="50"/>
      <c r="C757" s="5"/>
      <c r="D757" s="48"/>
      <c r="E757" s="50"/>
      <c r="F757" s="5"/>
      <c r="G757" s="5"/>
      <c r="H757" s="5"/>
      <c r="I757" s="5"/>
      <c r="J757" s="5"/>
      <c r="K757" s="50"/>
      <c r="L757" s="50"/>
      <c r="M757" s="50"/>
      <c r="N757" s="50"/>
      <c r="O757" s="50"/>
      <c r="P757" s="50"/>
      <c r="Q757" s="50"/>
      <c r="R757" s="50"/>
      <c r="S757" s="50"/>
      <c r="T757" s="50"/>
      <c r="U757" s="50"/>
      <c r="V757" s="50"/>
      <c r="W757" s="50"/>
      <c r="X757" s="50"/>
      <c r="Y757" s="50"/>
      <c r="Z757" s="50"/>
      <c r="AA757" s="50"/>
      <c r="AB757" s="50"/>
    </row>
    <row r="758" customFormat="false" ht="15.75" hidden="false" customHeight="false" outlineLevel="0" collapsed="false">
      <c r="A758" s="50"/>
      <c r="B758" s="50"/>
      <c r="C758" s="5"/>
      <c r="D758" s="48"/>
      <c r="E758" s="50"/>
      <c r="F758" s="5"/>
      <c r="G758" s="5"/>
      <c r="H758" s="5"/>
      <c r="I758" s="5"/>
      <c r="J758" s="5"/>
      <c r="K758" s="50"/>
      <c r="L758" s="50"/>
      <c r="M758" s="50"/>
      <c r="N758" s="50"/>
      <c r="O758" s="50"/>
      <c r="P758" s="50"/>
      <c r="Q758" s="50"/>
      <c r="R758" s="50"/>
      <c r="S758" s="50"/>
      <c r="T758" s="50"/>
      <c r="U758" s="50"/>
      <c r="V758" s="50"/>
      <c r="W758" s="50"/>
      <c r="X758" s="50"/>
      <c r="Y758" s="50"/>
      <c r="Z758" s="50"/>
      <c r="AA758" s="50"/>
      <c r="AB758" s="50"/>
    </row>
    <row r="759" customFormat="false" ht="15.75" hidden="false" customHeight="false" outlineLevel="0" collapsed="false">
      <c r="A759" s="50"/>
      <c r="B759" s="50"/>
      <c r="C759" s="5"/>
      <c r="D759" s="48"/>
      <c r="E759" s="50"/>
      <c r="F759" s="5"/>
      <c r="G759" s="5"/>
      <c r="H759" s="5"/>
      <c r="I759" s="5"/>
      <c r="J759" s="5"/>
      <c r="K759" s="50"/>
      <c r="L759" s="50"/>
      <c r="M759" s="50"/>
      <c r="N759" s="50"/>
      <c r="O759" s="50"/>
      <c r="P759" s="50"/>
      <c r="Q759" s="50"/>
      <c r="R759" s="50"/>
      <c r="S759" s="50"/>
      <c r="T759" s="50"/>
      <c r="U759" s="50"/>
      <c r="V759" s="50"/>
      <c r="W759" s="50"/>
      <c r="X759" s="50"/>
      <c r="Y759" s="50"/>
      <c r="Z759" s="50"/>
      <c r="AA759" s="50"/>
      <c r="AB759" s="50"/>
    </row>
    <row r="760" customFormat="false" ht="15.75" hidden="false" customHeight="false" outlineLevel="0" collapsed="false">
      <c r="A760" s="50"/>
      <c r="B760" s="50"/>
      <c r="C760" s="5"/>
      <c r="D760" s="48"/>
      <c r="E760" s="50"/>
      <c r="F760" s="5"/>
      <c r="G760" s="5"/>
      <c r="H760" s="5"/>
      <c r="I760" s="5"/>
      <c r="J760" s="5"/>
      <c r="K760" s="50"/>
      <c r="L760" s="50"/>
      <c r="M760" s="50"/>
      <c r="N760" s="50"/>
      <c r="O760" s="50"/>
      <c r="P760" s="50"/>
      <c r="Q760" s="50"/>
      <c r="R760" s="50"/>
      <c r="S760" s="50"/>
      <c r="T760" s="50"/>
      <c r="U760" s="50"/>
      <c r="V760" s="50"/>
      <c r="W760" s="50"/>
      <c r="X760" s="50"/>
      <c r="Y760" s="50"/>
      <c r="Z760" s="50"/>
      <c r="AA760" s="50"/>
      <c r="AB760" s="50"/>
    </row>
    <row r="761" customFormat="false" ht="15.75" hidden="false" customHeight="false" outlineLevel="0" collapsed="false">
      <c r="A761" s="50"/>
      <c r="B761" s="50"/>
      <c r="C761" s="5"/>
      <c r="D761" s="48"/>
      <c r="E761" s="50"/>
      <c r="F761" s="5"/>
      <c r="G761" s="5"/>
      <c r="H761" s="5"/>
      <c r="I761" s="5"/>
      <c r="J761" s="5"/>
      <c r="K761" s="50"/>
      <c r="L761" s="50"/>
      <c r="M761" s="50"/>
      <c r="N761" s="50"/>
      <c r="O761" s="50"/>
      <c r="P761" s="50"/>
      <c r="Q761" s="50"/>
      <c r="R761" s="50"/>
      <c r="S761" s="50"/>
      <c r="T761" s="50"/>
      <c r="U761" s="50"/>
      <c r="V761" s="50"/>
      <c r="W761" s="50"/>
      <c r="X761" s="50"/>
      <c r="Y761" s="50"/>
      <c r="Z761" s="50"/>
      <c r="AA761" s="50"/>
      <c r="AB761" s="50"/>
    </row>
    <row r="762" customFormat="false" ht="15.75" hidden="false" customHeight="false" outlineLevel="0" collapsed="false">
      <c r="A762" s="50"/>
      <c r="B762" s="50"/>
      <c r="C762" s="5"/>
      <c r="D762" s="48"/>
      <c r="E762" s="50"/>
      <c r="F762" s="5"/>
      <c r="G762" s="5"/>
      <c r="H762" s="5"/>
      <c r="I762" s="5"/>
      <c r="J762" s="5"/>
      <c r="K762" s="50"/>
      <c r="L762" s="50"/>
      <c r="M762" s="50"/>
      <c r="N762" s="50"/>
      <c r="O762" s="50"/>
      <c r="P762" s="50"/>
      <c r="Q762" s="50"/>
      <c r="R762" s="50"/>
      <c r="S762" s="50"/>
      <c r="T762" s="50"/>
      <c r="U762" s="50"/>
      <c r="V762" s="50"/>
      <c r="W762" s="50"/>
      <c r="X762" s="50"/>
      <c r="Y762" s="50"/>
      <c r="Z762" s="50"/>
      <c r="AA762" s="50"/>
      <c r="AB762" s="50"/>
    </row>
    <row r="763" customFormat="false" ht="15.75" hidden="false" customHeight="false" outlineLevel="0" collapsed="false">
      <c r="A763" s="50"/>
      <c r="B763" s="50"/>
      <c r="C763" s="5"/>
      <c r="D763" s="48"/>
      <c r="E763" s="50"/>
      <c r="F763" s="5"/>
      <c r="G763" s="5"/>
      <c r="H763" s="5"/>
      <c r="I763" s="5"/>
      <c r="J763" s="5"/>
      <c r="K763" s="50"/>
      <c r="L763" s="50"/>
      <c r="M763" s="50"/>
      <c r="N763" s="50"/>
      <c r="O763" s="50"/>
      <c r="P763" s="50"/>
      <c r="Q763" s="50"/>
      <c r="R763" s="50"/>
      <c r="S763" s="50"/>
      <c r="T763" s="50"/>
      <c r="U763" s="50"/>
      <c r="V763" s="50"/>
      <c r="W763" s="50"/>
      <c r="X763" s="50"/>
      <c r="Y763" s="50"/>
      <c r="Z763" s="50"/>
      <c r="AA763" s="50"/>
      <c r="AB763" s="50"/>
    </row>
    <row r="764" customFormat="false" ht="15.75" hidden="false" customHeight="false" outlineLevel="0" collapsed="false">
      <c r="A764" s="50"/>
      <c r="B764" s="50"/>
      <c r="C764" s="5"/>
      <c r="D764" s="48"/>
      <c r="E764" s="50"/>
      <c r="F764" s="5"/>
      <c r="G764" s="5"/>
      <c r="H764" s="5"/>
      <c r="I764" s="5"/>
      <c r="J764" s="5"/>
      <c r="K764" s="50"/>
      <c r="L764" s="50"/>
      <c r="M764" s="50"/>
      <c r="N764" s="50"/>
      <c r="O764" s="50"/>
      <c r="P764" s="50"/>
      <c r="Q764" s="50"/>
      <c r="R764" s="50"/>
      <c r="S764" s="50"/>
      <c r="T764" s="50"/>
      <c r="U764" s="50"/>
      <c r="V764" s="50"/>
      <c r="W764" s="50"/>
      <c r="X764" s="50"/>
      <c r="Y764" s="50"/>
      <c r="Z764" s="50"/>
      <c r="AA764" s="50"/>
      <c r="AB764" s="50"/>
    </row>
    <row r="765" customFormat="false" ht="15.75" hidden="false" customHeight="false" outlineLevel="0" collapsed="false">
      <c r="A765" s="50"/>
      <c r="B765" s="50"/>
      <c r="C765" s="5"/>
      <c r="D765" s="48"/>
      <c r="E765" s="50"/>
      <c r="F765" s="5"/>
      <c r="G765" s="5"/>
      <c r="H765" s="5"/>
      <c r="I765" s="5"/>
      <c r="J765" s="5"/>
      <c r="K765" s="50"/>
      <c r="L765" s="50"/>
      <c r="M765" s="50"/>
      <c r="N765" s="50"/>
      <c r="O765" s="50"/>
      <c r="P765" s="50"/>
      <c r="Q765" s="50"/>
      <c r="R765" s="50"/>
      <c r="S765" s="50"/>
      <c r="T765" s="50"/>
      <c r="U765" s="50"/>
      <c r="V765" s="50"/>
      <c r="W765" s="50"/>
      <c r="X765" s="50"/>
      <c r="Y765" s="50"/>
      <c r="Z765" s="50"/>
      <c r="AA765" s="50"/>
      <c r="AB765" s="50"/>
    </row>
    <row r="766" customFormat="false" ht="15.75" hidden="false" customHeight="false" outlineLevel="0" collapsed="false">
      <c r="A766" s="50"/>
      <c r="B766" s="50"/>
      <c r="C766" s="5"/>
      <c r="D766" s="48"/>
      <c r="E766" s="50"/>
      <c r="F766" s="5"/>
      <c r="G766" s="5"/>
      <c r="H766" s="5"/>
      <c r="I766" s="5"/>
      <c r="J766" s="5"/>
      <c r="K766" s="50"/>
      <c r="L766" s="50"/>
      <c r="M766" s="50"/>
      <c r="N766" s="50"/>
      <c r="O766" s="50"/>
      <c r="P766" s="50"/>
      <c r="Q766" s="50"/>
      <c r="R766" s="50"/>
      <c r="S766" s="50"/>
      <c r="T766" s="50"/>
      <c r="U766" s="50"/>
      <c r="V766" s="50"/>
      <c r="W766" s="50"/>
      <c r="X766" s="50"/>
      <c r="Y766" s="50"/>
      <c r="Z766" s="50"/>
      <c r="AA766" s="50"/>
      <c r="AB766" s="50"/>
    </row>
    <row r="767" customFormat="false" ht="15.75" hidden="false" customHeight="false" outlineLevel="0" collapsed="false">
      <c r="A767" s="50"/>
      <c r="B767" s="50"/>
      <c r="C767" s="5"/>
      <c r="D767" s="48"/>
      <c r="E767" s="50"/>
      <c r="F767" s="5"/>
      <c r="G767" s="5"/>
      <c r="H767" s="5"/>
      <c r="I767" s="5"/>
      <c r="J767" s="5"/>
      <c r="K767" s="50"/>
      <c r="L767" s="50"/>
      <c r="M767" s="50"/>
      <c r="N767" s="50"/>
      <c r="O767" s="50"/>
      <c r="P767" s="50"/>
      <c r="Q767" s="50"/>
      <c r="R767" s="50"/>
      <c r="S767" s="50"/>
      <c r="T767" s="50"/>
      <c r="U767" s="50"/>
      <c r="V767" s="50"/>
      <c r="W767" s="50"/>
      <c r="X767" s="50"/>
      <c r="Y767" s="50"/>
      <c r="Z767" s="50"/>
      <c r="AA767" s="50"/>
      <c r="AB767" s="50"/>
    </row>
    <row r="768" customFormat="false" ht="15.75" hidden="false" customHeight="false" outlineLevel="0" collapsed="false">
      <c r="A768" s="50"/>
      <c r="B768" s="50"/>
      <c r="C768" s="5"/>
      <c r="D768" s="48"/>
      <c r="E768" s="50"/>
      <c r="F768" s="5"/>
      <c r="G768" s="5"/>
      <c r="H768" s="5"/>
      <c r="I768" s="5"/>
      <c r="J768" s="5"/>
      <c r="K768" s="50"/>
      <c r="L768" s="50"/>
      <c r="M768" s="50"/>
      <c r="N768" s="50"/>
      <c r="O768" s="50"/>
      <c r="P768" s="50"/>
      <c r="Q768" s="50"/>
      <c r="R768" s="50"/>
      <c r="S768" s="50"/>
      <c r="T768" s="50"/>
      <c r="U768" s="50"/>
      <c r="V768" s="50"/>
      <c r="W768" s="50"/>
      <c r="X768" s="50"/>
      <c r="Y768" s="50"/>
      <c r="Z768" s="50"/>
      <c r="AA768" s="50"/>
      <c r="AB768" s="50"/>
    </row>
    <row r="769" customFormat="false" ht="15.75" hidden="false" customHeight="false" outlineLevel="0" collapsed="false">
      <c r="A769" s="50"/>
      <c r="B769" s="50"/>
      <c r="C769" s="5"/>
      <c r="D769" s="48"/>
      <c r="E769" s="50"/>
      <c r="F769" s="5"/>
      <c r="G769" s="5"/>
      <c r="H769" s="5"/>
      <c r="I769" s="5"/>
      <c r="J769" s="5"/>
      <c r="K769" s="50"/>
      <c r="L769" s="50"/>
      <c r="M769" s="50"/>
      <c r="N769" s="50"/>
      <c r="O769" s="50"/>
      <c r="P769" s="50"/>
      <c r="Q769" s="50"/>
      <c r="R769" s="50"/>
      <c r="S769" s="50"/>
      <c r="T769" s="50"/>
      <c r="U769" s="50"/>
      <c r="V769" s="50"/>
      <c r="W769" s="50"/>
      <c r="X769" s="50"/>
      <c r="Y769" s="50"/>
      <c r="Z769" s="50"/>
      <c r="AA769" s="50"/>
      <c r="AB769" s="50"/>
    </row>
    <row r="770" customFormat="false" ht="15.75" hidden="false" customHeight="false" outlineLevel="0" collapsed="false">
      <c r="A770" s="50"/>
      <c r="B770" s="50"/>
      <c r="C770" s="5"/>
      <c r="D770" s="48"/>
      <c r="E770" s="50"/>
      <c r="F770" s="5"/>
      <c r="G770" s="5"/>
      <c r="H770" s="5"/>
      <c r="I770" s="5"/>
      <c r="J770" s="5"/>
      <c r="K770" s="50"/>
      <c r="L770" s="50"/>
      <c r="M770" s="50"/>
      <c r="N770" s="50"/>
      <c r="O770" s="50"/>
      <c r="P770" s="50"/>
      <c r="Q770" s="50"/>
      <c r="R770" s="50"/>
      <c r="S770" s="50"/>
      <c r="T770" s="50"/>
      <c r="U770" s="50"/>
      <c r="V770" s="50"/>
      <c r="W770" s="50"/>
      <c r="X770" s="50"/>
      <c r="Y770" s="50"/>
      <c r="Z770" s="50"/>
      <c r="AA770" s="50"/>
      <c r="AB770" s="50"/>
    </row>
    <row r="771" customFormat="false" ht="15.75" hidden="false" customHeight="false" outlineLevel="0" collapsed="false">
      <c r="A771" s="50"/>
      <c r="B771" s="50"/>
      <c r="C771" s="5"/>
      <c r="D771" s="48"/>
      <c r="E771" s="50"/>
      <c r="F771" s="5"/>
      <c r="G771" s="5"/>
      <c r="H771" s="5"/>
      <c r="I771" s="5"/>
      <c r="J771" s="5"/>
      <c r="K771" s="50"/>
      <c r="L771" s="50"/>
      <c r="M771" s="50"/>
      <c r="N771" s="50"/>
      <c r="O771" s="50"/>
      <c r="P771" s="50"/>
      <c r="Q771" s="50"/>
      <c r="R771" s="50"/>
      <c r="S771" s="50"/>
      <c r="T771" s="50"/>
      <c r="U771" s="50"/>
      <c r="V771" s="50"/>
      <c r="W771" s="50"/>
      <c r="X771" s="50"/>
      <c r="Y771" s="50"/>
      <c r="Z771" s="50"/>
      <c r="AA771" s="50"/>
      <c r="AB771" s="50"/>
    </row>
    <row r="772" customFormat="false" ht="15.75" hidden="false" customHeight="false" outlineLevel="0" collapsed="false">
      <c r="A772" s="50"/>
      <c r="B772" s="50"/>
      <c r="C772" s="5"/>
      <c r="D772" s="48"/>
      <c r="E772" s="50"/>
      <c r="F772" s="5"/>
      <c r="G772" s="5"/>
      <c r="H772" s="5"/>
      <c r="I772" s="5"/>
      <c r="J772" s="5"/>
      <c r="K772" s="50"/>
      <c r="L772" s="50"/>
      <c r="M772" s="50"/>
      <c r="N772" s="50"/>
      <c r="O772" s="50"/>
      <c r="P772" s="50"/>
      <c r="Q772" s="50"/>
      <c r="R772" s="50"/>
      <c r="S772" s="50"/>
      <c r="T772" s="50"/>
      <c r="U772" s="50"/>
      <c r="V772" s="50"/>
      <c r="W772" s="50"/>
      <c r="X772" s="50"/>
      <c r="Y772" s="50"/>
      <c r="Z772" s="50"/>
      <c r="AA772" s="50"/>
      <c r="AB772" s="50"/>
    </row>
    <row r="773" customFormat="false" ht="15.75" hidden="false" customHeight="false" outlineLevel="0" collapsed="false">
      <c r="A773" s="50"/>
      <c r="B773" s="50"/>
      <c r="C773" s="5"/>
      <c r="D773" s="48"/>
      <c r="E773" s="50"/>
      <c r="F773" s="5"/>
      <c r="G773" s="5"/>
      <c r="H773" s="5"/>
      <c r="I773" s="5"/>
      <c r="J773" s="5"/>
      <c r="K773" s="50"/>
      <c r="L773" s="50"/>
      <c r="M773" s="50"/>
      <c r="N773" s="50"/>
      <c r="O773" s="50"/>
      <c r="P773" s="50"/>
      <c r="Q773" s="50"/>
      <c r="R773" s="50"/>
      <c r="S773" s="50"/>
      <c r="T773" s="50"/>
      <c r="U773" s="50"/>
      <c r="V773" s="50"/>
      <c r="W773" s="50"/>
      <c r="X773" s="50"/>
      <c r="Y773" s="50"/>
      <c r="Z773" s="50"/>
      <c r="AA773" s="50"/>
      <c r="AB773" s="50"/>
    </row>
    <row r="774" customFormat="false" ht="15.75" hidden="false" customHeight="false" outlineLevel="0" collapsed="false">
      <c r="A774" s="50"/>
      <c r="B774" s="50"/>
      <c r="C774" s="5"/>
      <c r="D774" s="48"/>
      <c r="E774" s="50"/>
      <c r="F774" s="5"/>
      <c r="G774" s="5"/>
      <c r="H774" s="5"/>
      <c r="I774" s="5"/>
      <c r="J774" s="5"/>
      <c r="K774" s="50"/>
      <c r="L774" s="50"/>
      <c r="M774" s="50"/>
      <c r="N774" s="50"/>
      <c r="O774" s="50"/>
      <c r="P774" s="50"/>
      <c r="Q774" s="50"/>
      <c r="R774" s="50"/>
      <c r="S774" s="50"/>
      <c r="T774" s="50"/>
      <c r="U774" s="50"/>
      <c r="V774" s="50"/>
      <c r="W774" s="50"/>
      <c r="X774" s="50"/>
      <c r="Y774" s="50"/>
      <c r="Z774" s="50"/>
      <c r="AA774" s="50"/>
      <c r="AB774" s="50"/>
    </row>
    <row r="775" customFormat="false" ht="15.75" hidden="false" customHeight="false" outlineLevel="0" collapsed="false">
      <c r="A775" s="50"/>
      <c r="B775" s="50"/>
      <c r="C775" s="5"/>
      <c r="D775" s="48"/>
      <c r="E775" s="50"/>
      <c r="F775" s="5"/>
      <c r="G775" s="5"/>
      <c r="H775" s="5"/>
      <c r="I775" s="5"/>
      <c r="J775" s="5"/>
      <c r="K775" s="50"/>
      <c r="L775" s="50"/>
      <c r="M775" s="50"/>
      <c r="N775" s="50"/>
      <c r="O775" s="50"/>
      <c r="P775" s="50"/>
      <c r="Q775" s="50"/>
      <c r="R775" s="50"/>
      <c r="S775" s="50"/>
      <c r="T775" s="50"/>
      <c r="U775" s="50"/>
      <c r="V775" s="50"/>
      <c r="W775" s="50"/>
      <c r="X775" s="50"/>
      <c r="Y775" s="50"/>
      <c r="Z775" s="50"/>
      <c r="AA775" s="50"/>
      <c r="AB775" s="50"/>
    </row>
    <row r="776" customFormat="false" ht="15.75" hidden="false" customHeight="false" outlineLevel="0" collapsed="false">
      <c r="A776" s="50"/>
      <c r="B776" s="50"/>
      <c r="C776" s="5"/>
      <c r="D776" s="48"/>
      <c r="E776" s="50"/>
      <c r="F776" s="5"/>
      <c r="G776" s="5"/>
      <c r="H776" s="5"/>
      <c r="I776" s="5"/>
      <c r="J776" s="5"/>
      <c r="K776" s="50"/>
      <c r="L776" s="50"/>
      <c r="M776" s="50"/>
      <c r="N776" s="50"/>
      <c r="O776" s="50"/>
      <c r="P776" s="50"/>
      <c r="Q776" s="50"/>
      <c r="R776" s="50"/>
      <c r="S776" s="50"/>
      <c r="T776" s="50"/>
      <c r="U776" s="50"/>
      <c r="V776" s="50"/>
      <c r="W776" s="50"/>
      <c r="X776" s="50"/>
      <c r="Y776" s="50"/>
      <c r="Z776" s="50"/>
      <c r="AA776" s="50"/>
      <c r="AB776" s="50"/>
    </row>
    <row r="777" customFormat="false" ht="15.75" hidden="false" customHeight="false" outlineLevel="0" collapsed="false">
      <c r="A777" s="50"/>
      <c r="B777" s="50"/>
      <c r="C777" s="5"/>
      <c r="D777" s="48"/>
      <c r="E777" s="50"/>
      <c r="F777" s="5"/>
      <c r="G777" s="5"/>
      <c r="H777" s="5"/>
      <c r="I777" s="5"/>
      <c r="J777" s="5"/>
      <c r="K777" s="50"/>
      <c r="L777" s="50"/>
      <c r="M777" s="50"/>
      <c r="N777" s="50"/>
      <c r="O777" s="50"/>
      <c r="P777" s="50"/>
      <c r="Q777" s="50"/>
      <c r="R777" s="50"/>
      <c r="S777" s="50"/>
      <c r="T777" s="50"/>
      <c r="U777" s="50"/>
      <c r="V777" s="50"/>
      <c r="W777" s="50"/>
      <c r="X777" s="50"/>
      <c r="Y777" s="50"/>
      <c r="Z777" s="50"/>
      <c r="AA777" s="50"/>
      <c r="AB777" s="50"/>
    </row>
    <row r="778" customFormat="false" ht="15.75" hidden="false" customHeight="false" outlineLevel="0" collapsed="false">
      <c r="A778" s="50"/>
      <c r="B778" s="50"/>
      <c r="C778" s="5"/>
      <c r="D778" s="48"/>
      <c r="E778" s="50"/>
      <c r="F778" s="5"/>
      <c r="G778" s="5"/>
      <c r="H778" s="5"/>
      <c r="I778" s="5"/>
      <c r="J778" s="5"/>
      <c r="K778" s="50"/>
      <c r="L778" s="50"/>
      <c r="M778" s="50"/>
      <c r="N778" s="50"/>
      <c r="O778" s="50"/>
      <c r="P778" s="50"/>
      <c r="Q778" s="50"/>
      <c r="R778" s="50"/>
      <c r="S778" s="50"/>
      <c r="T778" s="50"/>
      <c r="U778" s="50"/>
      <c r="V778" s="50"/>
      <c r="W778" s="50"/>
      <c r="X778" s="50"/>
      <c r="Y778" s="50"/>
      <c r="Z778" s="50"/>
      <c r="AA778" s="50"/>
      <c r="AB778" s="50"/>
    </row>
    <row r="779" customFormat="false" ht="15.75" hidden="false" customHeight="false" outlineLevel="0" collapsed="false">
      <c r="A779" s="50"/>
      <c r="B779" s="50"/>
      <c r="C779" s="5"/>
      <c r="D779" s="48"/>
      <c r="E779" s="50"/>
      <c r="F779" s="5"/>
      <c r="G779" s="5"/>
      <c r="H779" s="5"/>
      <c r="I779" s="5"/>
      <c r="J779" s="5"/>
      <c r="K779" s="50"/>
      <c r="L779" s="50"/>
      <c r="M779" s="50"/>
      <c r="N779" s="50"/>
      <c r="O779" s="50"/>
      <c r="P779" s="50"/>
      <c r="Q779" s="50"/>
      <c r="R779" s="50"/>
      <c r="S779" s="50"/>
      <c r="T779" s="50"/>
      <c r="U779" s="50"/>
      <c r="V779" s="50"/>
      <c r="W779" s="50"/>
      <c r="X779" s="50"/>
      <c r="Y779" s="50"/>
      <c r="Z779" s="50"/>
      <c r="AA779" s="50"/>
      <c r="AB779" s="50"/>
    </row>
    <row r="780" customFormat="false" ht="15.75" hidden="false" customHeight="false" outlineLevel="0" collapsed="false">
      <c r="A780" s="50"/>
      <c r="B780" s="50"/>
      <c r="C780" s="5"/>
      <c r="D780" s="48"/>
      <c r="E780" s="50"/>
      <c r="F780" s="5"/>
      <c r="G780" s="5"/>
      <c r="H780" s="5"/>
      <c r="I780" s="5"/>
      <c r="J780" s="5"/>
      <c r="K780" s="50"/>
      <c r="L780" s="50"/>
      <c r="M780" s="50"/>
      <c r="N780" s="50"/>
      <c r="O780" s="50"/>
      <c r="P780" s="50"/>
      <c r="Q780" s="50"/>
      <c r="R780" s="50"/>
      <c r="S780" s="50"/>
      <c r="T780" s="50"/>
      <c r="U780" s="50"/>
      <c r="V780" s="50"/>
      <c r="W780" s="50"/>
      <c r="X780" s="50"/>
      <c r="Y780" s="50"/>
      <c r="Z780" s="50"/>
      <c r="AA780" s="50"/>
      <c r="AB780" s="50"/>
    </row>
    <row r="781" customFormat="false" ht="15.75" hidden="false" customHeight="false" outlineLevel="0" collapsed="false">
      <c r="A781" s="50"/>
      <c r="B781" s="50"/>
      <c r="C781" s="5"/>
      <c r="D781" s="48"/>
      <c r="E781" s="50"/>
      <c r="F781" s="5"/>
      <c r="G781" s="5"/>
      <c r="H781" s="5"/>
      <c r="I781" s="5"/>
      <c r="J781" s="5"/>
      <c r="K781" s="50"/>
      <c r="L781" s="50"/>
      <c r="M781" s="50"/>
      <c r="N781" s="50"/>
      <c r="O781" s="50"/>
      <c r="P781" s="50"/>
      <c r="Q781" s="50"/>
      <c r="R781" s="50"/>
      <c r="S781" s="50"/>
      <c r="T781" s="50"/>
      <c r="U781" s="50"/>
      <c r="V781" s="50"/>
      <c r="W781" s="50"/>
      <c r="X781" s="50"/>
      <c r="Y781" s="50"/>
      <c r="Z781" s="50"/>
      <c r="AA781" s="50"/>
      <c r="AB781" s="50"/>
    </row>
    <row r="782" customFormat="false" ht="15.75" hidden="false" customHeight="false" outlineLevel="0" collapsed="false">
      <c r="A782" s="50"/>
      <c r="B782" s="50"/>
      <c r="C782" s="5"/>
      <c r="D782" s="48"/>
      <c r="E782" s="50"/>
      <c r="F782" s="5"/>
      <c r="G782" s="5"/>
      <c r="H782" s="5"/>
      <c r="I782" s="5"/>
      <c r="J782" s="5"/>
      <c r="K782" s="50"/>
      <c r="L782" s="50"/>
      <c r="M782" s="50"/>
      <c r="N782" s="50"/>
      <c r="O782" s="50"/>
      <c r="P782" s="50"/>
      <c r="Q782" s="50"/>
      <c r="R782" s="50"/>
      <c r="S782" s="50"/>
      <c r="T782" s="50"/>
      <c r="U782" s="50"/>
      <c r="V782" s="50"/>
      <c r="W782" s="50"/>
      <c r="X782" s="50"/>
      <c r="Y782" s="50"/>
      <c r="Z782" s="50"/>
      <c r="AA782" s="50"/>
      <c r="AB782" s="50"/>
    </row>
    <row r="783" customFormat="false" ht="15.75" hidden="false" customHeight="false" outlineLevel="0" collapsed="false">
      <c r="A783" s="50"/>
      <c r="B783" s="50"/>
      <c r="C783" s="5"/>
      <c r="D783" s="48"/>
      <c r="E783" s="50"/>
      <c r="F783" s="5"/>
      <c r="G783" s="5"/>
      <c r="H783" s="5"/>
      <c r="I783" s="5"/>
      <c r="J783" s="5"/>
      <c r="K783" s="50"/>
      <c r="L783" s="50"/>
      <c r="M783" s="50"/>
      <c r="N783" s="50"/>
      <c r="O783" s="50"/>
      <c r="P783" s="50"/>
      <c r="Q783" s="50"/>
      <c r="R783" s="50"/>
      <c r="S783" s="50"/>
      <c r="T783" s="50"/>
      <c r="U783" s="50"/>
      <c r="V783" s="50"/>
      <c r="W783" s="50"/>
      <c r="X783" s="50"/>
      <c r="Y783" s="50"/>
      <c r="Z783" s="50"/>
      <c r="AA783" s="50"/>
      <c r="AB783" s="50"/>
    </row>
    <row r="784" customFormat="false" ht="15.75" hidden="false" customHeight="false" outlineLevel="0" collapsed="false">
      <c r="A784" s="50"/>
      <c r="B784" s="50"/>
      <c r="C784" s="5"/>
      <c r="D784" s="48"/>
      <c r="E784" s="50"/>
      <c r="F784" s="5"/>
      <c r="G784" s="5"/>
      <c r="H784" s="5"/>
      <c r="I784" s="5"/>
      <c r="J784" s="5"/>
      <c r="K784" s="50"/>
      <c r="L784" s="50"/>
      <c r="M784" s="50"/>
      <c r="N784" s="50"/>
      <c r="O784" s="50"/>
      <c r="P784" s="50"/>
      <c r="Q784" s="50"/>
      <c r="R784" s="50"/>
      <c r="S784" s="50"/>
      <c r="T784" s="50"/>
      <c r="U784" s="50"/>
      <c r="V784" s="50"/>
      <c r="W784" s="50"/>
      <c r="X784" s="50"/>
      <c r="Y784" s="50"/>
      <c r="Z784" s="50"/>
      <c r="AA784" s="50"/>
      <c r="AB784" s="50"/>
    </row>
    <row r="785" customFormat="false" ht="15.75" hidden="false" customHeight="false" outlineLevel="0" collapsed="false">
      <c r="A785" s="50"/>
      <c r="B785" s="50"/>
      <c r="C785" s="5"/>
      <c r="D785" s="48"/>
      <c r="E785" s="50"/>
      <c r="F785" s="5"/>
      <c r="G785" s="5"/>
      <c r="H785" s="5"/>
      <c r="I785" s="5"/>
      <c r="J785" s="5"/>
      <c r="K785" s="50"/>
      <c r="L785" s="50"/>
      <c r="M785" s="50"/>
      <c r="N785" s="50"/>
      <c r="O785" s="50"/>
      <c r="P785" s="50"/>
      <c r="Q785" s="50"/>
      <c r="R785" s="50"/>
      <c r="S785" s="50"/>
      <c r="T785" s="50"/>
      <c r="U785" s="50"/>
      <c r="V785" s="50"/>
      <c r="W785" s="50"/>
      <c r="X785" s="50"/>
      <c r="Y785" s="50"/>
      <c r="Z785" s="50"/>
      <c r="AA785" s="50"/>
      <c r="AB785" s="50"/>
    </row>
    <row r="786" customFormat="false" ht="15.75" hidden="false" customHeight="false" outlineLevel="0" collapsed="false">
      <c r="A786" s="50"/>
      <c r="B786" s="50"/>
      <c r="C786" s="5"/>
      <c r="D786" s="48"/>
      <c r="E786" s="50"/>
      <c r="F786" s="5"/>
      <c r="G786" s="5"/>
      <c r="H786" s="5"/>
      <c r="I786" s="5"/>
      <c r="J786" s="5"/>
      <c r="K786" s="50"/>
      <c r="L786" s="50"/>
      <c r="M786" s="50"/>
      <c r="N786" s="50"/>
      <c r="O786" s="50"/>
      <c r="P786" s="50"/>
      <c r="Q786" s="50"/>
      <c r="R786" s="50"/>
      <c r="S786" s="50"/>
      <c r="T786" s="50"/>
      <c r="U786" s="50"/>
      <c r="V786" s="50"/>
      <c r="W786" s="50"/>
      <c r="X786" s="50"/>
      <c r="Y786" s="50"/>
      <c r="Z786" s="50"/>
      <c r="AA786" s="50"/>
      <c r="AB786" s="50"/>
    </row>
    <row r="787" customFormat="false" ht="15.75" hidden="false" customHeight="false" outlineLevel="0" collapsed="false">
      <c r="A787" s="50"/>
      <c r="B787" s="50"/>
      <c r="C787" s="5"/>
      <c r="D787" s="48"/>
      <c r="E787" s="50"/>
      <c r="F787" s="5"/>
      <c r="G787" s="5"/>
      <c r="H787" s="5"/>
      <c r="I787" s="5"/>
      <c r="J787" s="5"/>
      <c r="K787" s="50"/>
      <c r="L787" s="50"/>
      <c r="M787" s="50"/>
      <c r="N787" s="50"/>
      <c r="O787" s="50"/>
      <c r="P787" s="50"/>
      <c r="Q787" s="50"/>
      <c r="R787" s="50"/>
      <c r="S787" s="50"/>
      <c r="T787" s="50"/>
      <c r="U787" s="50"/>
      <c r="V787" s="50"/>
      <c r="W787" s="50"/>
      <c r="X787" s="50"/>
      <c r="Y787" s="50"/>
      <c r="Z787" s="50"/>
      <c r="AA787" s="50"/>
      <c r="AB787" s="50"/>
    </row>
    <row r="788" customFormat="false" ht="15.75" hidden="false" customHeight="false" outlineLevel="0" collapsed="false">
      <c r="A788" s="50"/>
      <c r="B788" s="50"/>
      <c r="C788" s="5"/>
      <c r="D788" s="48"/>
      <c r="E788" s="50"/>
      <c r="F788" s="5"/>
      <c r="G788" s="5"/>
      <c r="H788" s="5"/>
      <c r="I788" s="5"/>
      <c r="J788" s="5"/>
      <c r="K788" s="50"/>
      <c r="L788" s="50"/>
      <c r="M788" s="50"/>
      <c r="N788" s="50"/>
      <c r="O788" s="50"/>
      <c r="P788" s="50"/>
      <c r="Q788" s="50"/>
      <c r="R788" s="50"/>
      <c r="S788" s="50"/>
      <c r="T788" s="50"/>
      <c r="U788" s="50"/>
      <c r="V788" s="50"/>
      <c r="W788" s="50"/>
      <c r="X788" s="50"/>
      <c r="Y788" s="50"/>
      <c r="Z788" s="50"/>
      <c r="AA788" s="50"/>
      <c r="AB788" s="50"/>
    </row>
    <row r="789" customFormat="false" ht="15.75" hidden="false" customHeight="false" outlineLevel="0" collapsed="false">
      <c r="A789" s="50"/>
      <c r="B789" s="50"/>
      <c r="C789" s="5"/>
      <c r="D789" s="48"/>
      <c r="E789" s="50"/>
      <c r="F789" s="5"/>
      <c r="G789" s="5"/>
      <c r="H789" s="5"/>
      <c r="I789" s="5"/>
      <c r="J789" s="5"/>
      <c r="K789" s="50"/>
      <c r="L789" s="50"/>
      <c r="M789" s="50"/>
      <c r="N789" s="50"/>
      <c r="O789" s="50"/>
      <c r="P789" s="50"/>
      <c r="Q789" s="50"/>
      <c r="R789" s="50"/>
      <c r="S789" s="50"/>
      <c r="T789" s="50"/>
      <c r="U789" s="50"/>
      <c r="V789" s="50"/>
      <c r="W789" s="50"/>
      <c r="X789" s="50"/>
      <c r="Y789" s="50"/>
      <c r="Z789" s="50"/>
      <c r="AA789" s="50"/>
      <c r="AB789" s="50"/>
    </row>
    <row r="790" customFormat="false" ht="15.75" hidden="false" customHeight="false" outlineLevel="0" collapsed="false">
      <c r="A790" s="50"/>
      <c r="B790" s="50"/>
      <c r="C790" s="5"/>
      <c r="D790" s="48"/>
      <c r="E790" s="50"/>
      <c r="F790" s="5"/>
      <c r="G790" s="5"/>
      <c r="H790" s="5"/>
      <c r="I790" s="5"/>
      <c r="J790" s="5"/>
      <c r="K790" s="50"/>
      <c r="L790" s="50"/>
      <c r="M790" s="50"/>
      <c r="N790" s="50"/>
      <c r="O790" s="50"/>
      <c r="P790" s="50"/>
      <c r="Q790" s="50"/>
      <c r="R790" s="50"/>
      <c r="S790" s="50"/>
      <c r="T790" s="50"/>
      <c r="U790" s="50"/>
      <c r="V790" s="50"/>
      <c r="W790" s="50"/>
      <c r="X790" s="50"/>
      <c r="Y790" s="50"/>
      <c r="Z790" s="50"/>
      <c r="AA790" s="50"/>
      <c r="AB790" s="50"/>
    </row>
    <row r="791" customFormat="false" ht="15.75" hidden="false" customHeight="false" outlineLevel="0" collapsed="false">
      <c r="A791" s="50"/>
      <c r="B791" s="50"/>
      <c r="C791" s="5"/>
      <c r="D791" s="48"/>
      <c r="E791" s="50"/>
      <c r="F791" s="5"/>
      <c r="G791" s="5"/>
      <c r="H791" s="5"/>
      <c r="I791" s="5"/>
      <c r="J791" s="5"/>
      <c r="K791" s="50"/>
      <c r="L791" s="50"/>
      <c r="M791" s="50"/>
      <c r="N791" s="50"/>
      <c r="O791" s="50"/>
      <c r="P791" s="50"/>
      <c r="Q791" s="50"/>
      <c r="R791" s="50"/>
      <c r="S791" s="50"/>
      <c r="T791" s="50"/>
      <c r="U791" s="50"/>
      <c r="V791" s="50"/>
      <c r="W791" s="50"/>
      <c r="X791" s="50"/>
      <c r="Y791" s="50"/>
      <c r="Z791" s="50"/>
      <c r="AA791" s="50"/>
      <c r="AB791" s="50"/>
    </row>
    <row r="792" customFormat="false" ht="15.75" hidden="false" customHeight="false" outlineLevel="0" collapsed="false">
      <c r="A792" s="50"/>
      <c r="B792" s="50"/>
      <c r="C792" s="5"/>
      <c r="D792" s="48"/>
      <c r="E792" s="50"/>
      <c r="F792" s="5"/>
      <c r="G792" s="5"/>
      <c r="H792" s="5"/>
      <c r="I792" s="5"/>
      <c r="J792" s="5"/>
      <c r="K792" s="50"/>
      <c r="L792" s="50"/>
      <c r="M792" s="50"/>
      <c r="N792" s="50"/>
      <c r="O792" s="50"/>
      <c r="P792" s="50"/>
      <c r="Q792" s="50"/>
      <c r="R792" s="50"/>
      <c r="S792" s="50"/>
      <c r="T792" s="50"/>
      <c r="U792" s="50"/>
      <c r="V792" s="50"/>
      <c r="W792" s="50"/>
      <c r="X792" s="50"/>
      <c r="Y792" s="50"/>
      <c r="Z792" s="50"/>
      <c r="AA792" s="50"/>
      <c r="AB792" s="50"/>
    </row>
    <row r="793" customFormat="false" ht="15.75" hidden="false" customHeight="false" outlineLevel="0" collapsed="false">
      <c r="A793" s="50"/>
      <c r="B793" s="50"/>
      <c r="C793" s="5"/>
      <c r="D793" s="48"/>
      <c r="E793" s="50"/>
      <c r="F793" s="5"/>
      <c r="G793" s="5"/>
      <c r="H793" s="5"/>
      <c r="I793" s="5"/>
      <c r="J793" s="5"/>
      <c r="K793" s="50"/>
      <c r="L793" s="50"/>
      <c r="M793" s="50"/>
      <c r="N793" s="50"/>
      <c r="O793" s="50"/>
      <c r="P793" s="50"/>
      <c r="Q793" s="50"/>
      <c r="R793" s="50"/>
      <c r="S793" s="50"/>
      <c r="T793" s="50"/>
      <c r="U793" s="50"/>
      <c r="V793" s="50"/>
      <c r="W793" s="50"/>
      <c r="X793" s="50"/>
      <c r="Y793" s="50"/>
      <c r="Z793" s="50"/>
      <c r="AA793" s="50"/>
      <c r="AB793" s="50"/>
    </row>
    <row r="794" customFormat="false" ht="15.75" hidden="false" customHeight="false" outlineLevel="0" collapsed="false">
      <c r="A794" s="50"/>
      <c r="B794" s="50"/>
      <c r="C794" s="5"/>
      <c r="D794" s="48"/>
      <c r="E794" s="50"/>
      <c r="F794" s="5"/>
      <c r="G794" s="5"/>
      <c r="H794" s="5"/>
      <c r="I794" s="5"/>
      <c r="J794" s="5"/>
      <c r="K794" s="50"/>
      <c r="L794" s="50"/>
      <c r="M794" s="50"/>
      <c r="N794" s="50"/>
      <c r="O794" s="50"/>
      <c r="P794" s="50"/>
      <c r="Q794" s="50"/>
      <c r="R794" s="50"/>
      <c r="S794" s="50"/>
      <c r="T794" s="50"/>
      <c r="U794" s="50"/>
      <c r="V794" s="50"/>
      <c r="W794" s="50"/>
      <c r="X794" s="50"/>
      <c r="Y794" s="50"/>
      <c r="Z794" s="50"/>
      <c r="AA794" s="50"/>
      <c r="AB794" s="50"/>
    </row>
    <row r="795" customFormat="false" ht="15.75" hidden="false" customHeight="false" outlineLevel="0" collapsed="false">
      <c r="A795" s="50"/>
      <c r="B795" s="50"/>
      <c r="C795" s="5"/>
      <c r="D795" s="48"/>
      <c r="E795" s="50"/>
      <c r="F795" s="5"/>
      <c r="G795" s="5"/>
      <c r="H795" s="5"/>
      <c r="I795" s="5"/>
      <c r="J795" s="5"/>
      <c r="K795" s="50"/>
      <c r="L795" s="50"/>
      <c r="M795" s="50"/>
      <c r="N795" s="50"/>
      <c r="O795" s="50"/>
      <c r="P795" s="50"/>
      <c r="Q795" s="50"/>
      <c r="R795" s="50"/>
      <c r="S795" s="50"/>
      <c r="T795" s="50"/>
      <c r="U795" s="50"/>
      <c r="V795" s="50"/>
      <c r="W795" s="50"/>
      <c r="X795" s="50"/>
      <c r="Y795" s="50"/>
      <c r="Z795" s="50"/>
      <c r="AA795" s="50"/>
      <c r="AB795" s="50"/>
    </row>
    <row r="796" customFormat="false" ht="15.75" hidden="false" customHeight="false" outlineLevel="0" collapsed="false">
      <c r="A796" s="50"/>
      <c r="B796" s="50"/>
      <c r="C796" s="5"/>
      <c r="D796" s="48"/>
      <c r="E796" s="50"/>
      <c r="F796" s="5"/>
      <c r="G796" s="5"/>
      <c r="H796" s="5"/>
      <c r="I796" s="5"/>
      <c r="J796" s="5"/>
      <c r="K796" s="50"/>
      <c r="L796" s="50"/>
      <c r="M796" s="50"/>
      <c r="N796" s="50"/>
      <c r="O796" s="50"/>
      <c r="P796" s="50"/>
      <c r="Q796" s="50"/>
      <c r="R796" s="50"/>
      <c r="S796" s="50"/>
      <c r="T796" s="50"/>
      <c r="U796" s="50"/>
      <c r="V796" s="50"/>
      <c r="W796" s="50"/>
      <c r="X796" s="50"/>
      <c r="Y796" s="50"/>
      <c r="Z796" s="50"/>
      <c r="AA796" s="50"/>
      <c r="AB796" s="50"/>
    </row>
    <row r="797" customFormat="false" ht="15.75" hidden="false" customHeight="false" outlineLevel="0" collapsed="false">
      <c r="A797" s="50"/>
      <c r="B797" s="50"/>
      <c r="C797" s="5"/>
      <c r="D797" s="48"/>
      <c r="E797" s="50"/>
      <c r="F797" s="5"/>
      <c r="G797" s="5"/>
      <c r="H797" s="5"/>
      <c r="I797" s="5"/>
      <c r="J797" s="5"/>
      <c r="K797" s="50"/>
      <c r="L797" s="50"/>
      <c r="M797" s="50"/>
      <c r="N797" s="50"/>
      <c r="O797" s="50"/>
      <c r="P797" s="50"/>
      <c r="Q797" s="50"/>
      <c r="R797" s="50"/>
      <c r="S797" s="50"/>
      <c r="T797" s="50"/>
      <c r="U797" s="50"/>
      <c r="V797" s="50"/>
      <c r="W797" s="50"/>
      <c r="X797" s="50"/>
      <c r="Y797" s="50"/>
      <c r="Z797" s="50"/>
      <c r="AA797" s="50"/>
      <c r="AB797" s="50"/>
    </row>
    <row r="798" customFormat="false" ht="15.75" hidden="false" customHeight="false" outlineLevel="0" collapsed="false">
      <c r="A798" s="50"/>
      <c r="B798" s="50"/>
      <c r="C798" s="5"/>
      <c r="D798" s="48"/>
      <c r="E798" s="50"/>
      <c r="F798" s="5"/>
      <c r="G798" s="5"/>
      <c r="H798" s="5"/>
      <c r="I798" s="5"/>
      <c r="J798" s="5"/>
      <c r="K798" s="50"/>
      <c r="L798" s="50"/>
      <c r="M798" s="50"/>
      <c r="N798" s="50"/>
      <c r="O798" s="50"/>
      <c r="P798" s="50"/>
      <c r="Q798" s="50"/>
      <c r="R798" s="50"/>
      <c r="S798" s="50"/>
      <c r="T798" s="50"/>
      <c r="U798" s="50"/>
      <c r="V798" s="50"/>
      <c r="W798" s="50"/>
      <c r="X798" s="50"/>
      <c r="Y798" s="50"/>
      <c r="Z798" s="50"/>
      <c r="AA798" s="50"/>
      <c r="AB798" s="50"/>
    </row>
    <row r="799" customFormat="false" ht="15.75" hidden="false" customHeight="false" outlineLevel="0" collapsed="false">
      <c r="A799" s="50"/>
      <c r="B799" s="50"/>
      <c r="C799" s="5"/>
      <c r="D799" s="48"/>
      <c r="E799" s="50"/>
      <c r="F799" s="5"/>
      <c r="G799" s="5"/>
      <c r="H799" s="5"/>
      <c r="I799" s="5"/>
      <c r="J799" s="5"/>
      <c r="K799" s="50"/>
      <c r="L799" s="50"/>
      <c r="M799" s="50"/>
      <c r="N799" s="50"/>
      <c r="O799" s="50"/>
      <c r="P799" s="50"/>
      <c r="Q799" s="50"/>
      <c r="R799" s="50"/>
      <c r="S799" s="50"/>
      <c r="T799" s="50"/>
      <c r="U799" s="50"/>
      <c r="V799" s="50"/>
      <c r="W799" s="50"/>
      <c r="X799" s="50"/>
      <c r="Y799" s="50"/>
      <c r="Z799" s="50"/>
      <c r="AA799" s="50"/>
      <c r="AB799" s="50"/>
    </row>
    <row r="800" customFormat="false" ht="15.75" hidden="false" customHeight="false" outlineLevel="0" collapsed="false">
      <c r="A800" s="50"/>
      <c r="B800" s="50"/>
      <c r="C800" s="5"/>
      <c r="D800" s="48"/>
      <c r="E800" s="50"/>
      <c r="F800" s="5"/>
      <c r="G800" s="5"/>
      <c r="H800" s="5"/>
      <c r="I800" s="5"/>
      <c r="J800" s="5"/>
      <c r="K800" s="50"/>
      <c r="L800" s="50"/>
      <c r="M800" s="50"/>
      <c r="N800" s="50"/>
      <c r="O800" s="50"/>
      <c r="P800" s="50"/>
      <c r="Q800" s="50"/>
      <c r="R800" s="50"/>
      <c r="S800" s="50"/>
      <c r="T800" s="50"/>
      <c r="U800" s="50"/>
      <c r="V800" s="50"/>
      <c r="W800" s="50"/>
      <c r="X800" s="50"/>
      <c r="Y800" s="50"/>
      <c r="Z800" s="50"/>
      <c r="AA800" s="50"/>
      <c r="AB800" s="50"/>
    </row>
    <row r="801" customFormat="false" ht="15.75" hidden="false" customHeight="false" outlineLevel="0" collapsed="false">
      <c r="A801" s="50"/>
      <c r="B801" s="50"/>
      <c r="C801" s="5"/>
      <c r="D801" s="48"/>
      <c r="E801" s="50"/>
      <c r="F801" s="5"/>
      <c r="G801" s="5"/>
      <c r="H801" s="5"/>
      <c r="I801" s="5"/>
      <c r="J801" s="5"/>
      <c r="K801" s="50"/>
      <c r="L801" s="50"/>
      <c r="M801" s="50"/>
      <c r="N801" s="50"/>
      <c r="O801" s="50"/>
      <c r="P801" s="50"/>
      <c r="Q801" s="50"/>
      <c r="R801" s="50"/>
      <c r="S801" s="50"/>
      <c r="T801" s="50"/>
      <c r="U801" s="50"/>
      <c r="V801" s="50"/>
      <c r="W801" s="50"/>
      <c r="X801" s="50"/>
      <c r="Y801" s="50"/>
      <c r="Z801" s="50"/>
      <c r="AA801" s="50"/>
      <c r="AB801" s="50"/>
    </row>
    <row r="802" customFormat="false" ht="15.75" hidden="false" customHeight="false" outlineLevel="0" collapsed="false">
      <c r="A802" s="50"/>
      <c r="B802" s="50"/>
      <c r="C802" s="5"/>
      <c r="D802" s="48"/>
      <c r="E802" s="50"/>
      <c r="F802" s="5"/>
      <c r="G802" s="5"/>
      <c r="H802" s="5"/>
      <c r="I802" s="5"/>
      <c r="J802" s="5"/>
      <c r="K802" s="50"/>
      <c r="L802" s="50"/>
      <c r="M802" s="50"/>
      <c r="N802" s="50"/>
      <c r="O802" s="50"/>
      <c r="P802" s="50"/>
      <c r="Q802" s="50"/>
      <c r="R802" s="50"/>
      <c r="S802" s="50"/>
      <c r="T802" s="50"/>
      <c r="U802" s="50"/>
      <c r="V802" s="50"/>
      <c r="W802" s="50"/>
      <c r="X802" s="50"/>
      <c r="Y802" s="50"/>
      <c r="Z802" s="50"/>
      <c r="AA802" s="50"/>
      <c r="AB802" s="50"/>
    </row>
    <row r="803" customFormat="false" ht="15.75" hidden="false" customHeight="false" outlineLevel="0" collapsed="false">
      <c r="A803" s="50"/>
      <c r="B803" s="50"/>
      <c r="C803" s="5"/>
      <c r="D803" s="48"/>
      <c r="E803" s="50"/>
      <c r="F803" s="5"/>
      <c r="G803" s="5"/>
      <c r="H803" s="5"/>
      <c r="I803" s="5"/>
      <c r="J803" s="5"/>
      <c r="K803" s="50"/>
      <c r="L803" s="50"/>
      <c r="M803" s="50"/>
      <c r="N803" s="50"/>
      <c r="O803" s="50"/>
      <c r="P803" s="50"/>
      <c r="Q803" s="50"/>
      <c r="R803" s="50"/>
      <c r="S803" s="50"/>
      <c r="T803" s="50"/>
      <c r="U803" s="50"/>
      <c r="V803" s="50"/>
      <c r="W803" s="50"/>
      <c r="X803" s="50"/>
      <c r="Y803" s="50"/>
      <c r="Z803" s="50"/>
      <c r="AA803" s="50"/>
      <c r="AB803" s="50"/>
    </row>
    <row r="804" customFormat="false" ht="15.75" hidden="false" customHeight="false" outlineLevel="0" collapsed="false">
      <c r="A804" s="50"/>
      <c r="B804" s="50"/>
      <c r="C804" s="5"/>
      <c r="D804" s="48"/>
      <c r="E804" s="50"/>
      <c r="F804" s="5"/>
      <c r="G804" s="5"/>
      <c r="H804" s="5"/>
      <c r="I804" s="5"/>
      <c r="J804" s="5"/>
      <c r="K804" s="50"/>
      <c r="L804" s="50"/>
      <c r="M804" s="50"/>
      <c r="N804" s="50"/>
      <c r="O804" s="50"/>
      <c r="P804" s="50"/>
      <c r="Q804" s="50"/>
      <c r="R804" s="50"/>
      <c r="S804" s="50"/>
      <c r="T804" s="50"/>
      <c r="U804" s="50"/>
      <c r="V804" s="50"/>
      <c r="W804" s="50"/>
      <c r="X804" s="50"/>
      <c r="Y804" s="50"/>
      <c r="Z804" s="50"/>
      <c r="AA804" s="50"/>
      <c r="AB804" s="50"/>
    </row>
    <row r="805" customFormat="false" ht="15.75" hidden="false" customHeight="false" outlineLevel="0" collapsed="false">
      <c r="A805" s="50"/>
      <c r="B805" s="50"/>
      <c r="C805" s="5"/>
      <c r="D805" s="48"/>
      <c r="E805" s="50"/>
      <c r="F805" s="5"/>
      <c r="G805" s="5"/>
      <c r="H805" s="5"/>
      <c r="I805" s="5"/>
      <c r="J805" s="5"/>
      <c r="K805" s="50"/>
      <c r="L805" s="50"/>
      <c r="M805" s="50"/>
      <c r="N805" s="50"/>
      <c r="O805" s="50"/>
      <c r="P805" s="50"/>
      <c r="Q805" s="50"/>
      <c r="R805" s="50"/>
      <c r="S805" s="50"/>
      <c r="T805" s="50"/>
      <c r="U805" s="50"/>
      <c r="V805" s="50"/>
      <c r="W805" s="50"/>
      <c r="X805" s="50"/>
      <c r="Y805" s="50"/>
      <c r="Z805" s="50"/>
      <c r="AA805" s="50"/>
      <c r="AB805" s="50"/>
    </row>
    <row r="806" customFormat="false" ht="15.75" hidden="false" customHeight="false" outlineLevel="0" collapsed="false">
      <c r="A806" s="50"/>
      <c r="B806" s="50"/>
      <c r="C806" s="5"/>
      <c r="D806" s="48"/>
      <c r="E806" s="50"/>
      <c r="F806" s="5"/>
      <c r="G806" s="5"/>
      <c r="H806" s="5"/>
      <c r="I806" s="5"/>
      <c r="J806" s="5"/>
      <c r="K806" s="50"/>
      <c r="L806" s="50"/>
      <c r="M806" s="50"/>
      <c r="N806" s="50"/>
      <c r="O806" s="50"/>
      <c r="P806" s="50"/>
      <c r="Q806" s="50"/>
      <c r="R806" s="50"/>
      <c r="S806" s="50"/>
      <c r="T806" s="50"/>
      <c r="U806" s="50"/>
      <c r="V806" s="50"/>
      <c r="W806" s="50"/>
      <c r="X806" s="50"/>
      <c r="Y806" s="50"/>
      <c r="Z806" s="50"/>
      <c r="AA806" s="50"/>
      <c r="AB806" s="50"/>
    </row>
    <row r="807" customFormat="false" ht="15.75" hidden="false" customHeight="false" outlineLevel="0" collapsed="false">
      <c r="A807" s="50"/>
      <c r="B807" s="50"/>
      <c r="C807" s="5"/>
      <c r="D807" s="48"/>
      <c r="E807" s="50"/>
      <c r="F807" s="5"/>
      <c r="G807" s="5"/>
      <c r="H807" s="5"/>
      <c r="I807" s="5"/>
      <c r="J807" s="5"/>
      <c r="K807" s="50"/>
      <c r="L807" s="50"/>
      <c r="M807" s="50"/>
      <c r="N807" s="50"/>
      <c r="O807" s="50"/>
      <c r="P807" s="50"/>
      <c r="Q807" s="50"/>
      <c r="R807" s="50"/>
      <c r="S807" s="50"/>
      <c r="T807" s="50"/>
      <c r="U807" s="50"/>
      <c r="V807" s="50"/>
      <c r="W807" s="50"/>
      <c r="X807" s="50"/>
      <c r="Y807" s="50"/>
      <c r="Z807" s="50"/>
      <c r="AA807" s="50"/>
      <c r="AB807" s="50"/>
    </row>
    <row r="808" customFormat="false" ht="15.75" hidden="false" customHeight="false" outlineLevel="0" collapsed="false">
      <c r="A808" s="50"/>
      <c r="B808" s="50"/>
      <c r="C808" s="5"/>
      <c r="D808" s="48"/>
      <c r="E808" s="50"/>
      <c r="F808" s="5"/>
      <c r="G808" s="5"/>
      <c r="H808" s="5"/>
      <c r="I808" s="5"/>
      <c r="J808" s="5"/>
      <c r="K808" s="50"/>
      <c r="L808" s="50"/>
      <c r="M808" s="50"/>
      <c r="N808" s="50"/>
      <c r="O808" s="50"/>
      <c r="P808" s="50"/>
      <c r="Q808" s="50"/>
      <c r="R808" s="50"/>
      <c r="S808" s="50"/>
      <c r="T808" s="50"/>
      <c r="U808" s="50"/>
      <c r="V808" s="50"/>
      <c r="W808" s="50"/>
      <c r="X808" s="50"/>
      <c r="Y808" s="50"/>
      <c r="Z808" s="50"/>
      <c r="AA808" s="50"/>
      <c r="AB808" s="50"/>
    </row>
    <row r="809" customFormat="false" ht="15.75" hidden="false" customHeight="false" outlineLevel="0" collapsed="false">
      <c r="A809" s="50"/>
      <c r="B809" s="50"/>
      <c r="C809" s="5"/>
      <c r="D809" s="48"/>
      <c r="E809" s="50"/>
      <c r="F809" s="5"/>
      <c r="G809" s="5"/>
      <c r="H809" s="5"/>
      <c r="I809" s="5"/>
      <c r="J809" s="5"/>
      <c r="K809" s="50"/>
      <c r="L809" s="50"/>
      <c r="M809" s="50"/>
      <c r="N809" s="50"/>
      <c r="O809" s="50"/>
      <c r="P809" s="50"/>
      <c r="Q809" s="50"/>
      <c r="R809" s="50"/>
      <c r="S809" s="50"/>
      <c r="T809" s="50"/>
      <c r="U809" s="50"/>
      <c r="V809" s="50"/>
      <c r="W809" s="50"/>
      <c r="X809" s="50"/>
      <c r="Y809" s="50"/>
      <c r="Z809" s="50"/>
      <c r="AA809" s="50"/>
      <c r="AB809" s="50"/>
    </row>
    <row r="810" customFormat="false" ht="15.75" hidden="false" customHeight="false" outlineLevel="0" collapsed="false">
      <c r="A810" s="50"/>
      <c r="B810" s="50"/>
      <c r="C810" s="5"/>
      <c r="D810" s="48"/>
      <c r="E810" s="50"/>
      <c r="F810" s="5"/>
      <c r="G810" s="5"/>
      <c r="H810" s="5"/>
      <c r="I810" s="5"/>
      <c r="J810" s="5"/>
      <c r="K810" s="50"/>
      <c r="L810" s="50"/>
      <c r="M810" s="50"/>
      <c r="N810" s="50"/>
      <c r="O810" s="50"/>
      <c r="P810" s="50"/>
      <c r="Q810" s="50"/>
      <c r="R810" s="50"/>
      <c r="S810" s="50"/>
      <c r="T810" s="50"/>
      <c r="U810" s="50"/>
      <c r="V810" s="50"/>
      <c r="W810" s="50"/>
      <c r="X810" s="50"/>
      <c r="Y810" s="50"/>
      <c r="Z810" s="50"/>
      <c r="AA810" s="50"/>
      <c r="AB810" s="50"/>
    </row>
    <row r="811" customFormat="false" ht="15.75" hidden="false" customHeight="false" outlineLevel="0" collapsed="false">
      <c r="A811" s="50"/>
      <c r="B811" s="50"/>
      <c r="C811" s="5"/>
      <c r="D811" s="48"/>
      <c r="E811" s="50"/>
      <c r="F811" s="5"/>
      <c r="G811" s="5"/>
      <c r="H811" s="5"/>
      <c r="I811" s="5"/>
      <c r="J811" s="5"/>
      <c r="K811" s="50"/>
      <c r="L811" s="50"/>
      <c r="M811" s="50"/>
      <c r="N811" s="50"/>
      <c r="O811" s="50"/>
      <c r="P811" s="50"/>
      <c r="Q811" s="50"/>
      <c r="R811" s="50"/>
      <c r="S811" s="50"/>
      <c r="T811" s="50"/>
      <c r="U811" s="50"/>
      <c r="V811" s="50"/>
      <c r="W811" s="50"/>
      <c r="X811" s="50"/>
      <c r="Y811" s="50"/>
      <c r="Z811" s="50"/>
      <c r="AA811" s="50"/>
      <c r="AB811" s="50"/>
    </row>
    <row r="812" customFormat="false" ht="15.75" hidden="false" customHeight="false" outlineLevel="0" collapsed="false">
      <c r="A812" s="50"/>
      <c r="B812" s="50"/>
      <c r="C812" s="5"/>
      <c r="D812" s="48"/>
      <c r="E812" s="50"/>
      <c r="F812" s="5"/>
      <c r="G812" s="5"/>
      <c r="H812" s="5"/>
      <c r="I812" s="5"/>
      <c r="J812" s="5"/>
      <c r="K812" s="50"/>
      <c r="L812" s="50"/>
      <c r="M812" s="50"/>
      <c r="N812" s="50"/>
      <c r="O812" s="50"/>
      <c r="P812" s="50"/>
      <c r="Q812" s="50"/>
      <c r="R812" s="50"/>
      <c r="S812" s="50"/>
      <c r="T812" s="50"/>
      <c r="U812" s="50"/>
      <c r="V812" s="50"/>
      <c r="W812" s="50"/>
      <c r="X812" s="50"/>
      <c r="Y812" s="50"/>
      <c r="Z812" s="50"/>
      <c r="AA812" s="50"/>
      <c r="AB812" s="50"/>
    </row>
    <row r="813" customFormat="false" ht="15.75" hidden="false" customHeight="false" outlineLevel="0" collapsed="false">
      <c r="A813" s="50"/>
      <c r="B813" s="50"/>
      <c r="C813" s="5"/>
      <c r="D813" s="48"/>
      <c r="E813" s="50"/>
      <c r="F813" s="5"/>
      <c r="G813" s="5"/>
      <c r="H813" s="5"/>
      <c r="I813" s="5"/>
      <c r="J813" s="5"/>
      <c r="K813" s="50"/>
      <c r="L813" s="50"/>
      <c r="M813" s="50"/>
      <c r="N813" s="50"/>
      <c r="O813" s="50"/>
      <c r="P813" s="50"/>
      <c r="Q813" s="50"/>
      <c r="R813" s="50"/>
      <c r="S813" s="50"/>
      <c r="T813" s="50"/>
      <c r="U813" s="50"/>
      <c r="V813" s="50"/>
      <c r="W813" s="50"/>
      <c r="X813" s="50"/>
      <c r="Y813" s="50"/>
      <c r="Z813" s="50"/>
      <c r="AA813" s="50"/>
      <c r="AB813" s="50"/>
    </row>
    <row r="814" customFormat="false" ht="15.75" hidden="false" customHeight="false" outlineLevel="0" collapsed="false">
      <c r="A814" s="50"/>
      <c r="B814" s="50"/>
      <c r="C814" s="5"/>
      <c r="D814" s="48"/>
      <c r="E814" s="50"/>
      <c r="F814" s="5"/>
      <c r="G814" s="5"/>
      <c r="H814" s="5"/>
      <c r="I814" s="5"/>
      <c r="J814" s="5"/>
      <c r="K814" s="50"/>
      <c r="L814" s="50"/>
      <c r="M814" s="50"/>
      <c r="N814" s="50"/>
      <c r="O814" s="50"/>
      <c r="P814" s="50"/>
      <c r="Q814" s="50"/>
      <c r="R814" s="50"/>
      <c r="S814" s="50"/>
      <c r="T814" s="50"/>
      <c r="U814" s="50"/>
      <c r="V814" s="50"/>
      <c r="W814" s="50"/>
      <c r="X814" s="50"/>
      <c r="Y814" s="50"/>
      <c r="Z814" s="50"/>
      <c r="AA814" s="50"/>
      <c r="AB814" s="50"/>
    </row>
    <row r="815" customFormat="false" ht="15.75" hidden="false" customHeight="false" outlineLevel="0" collapsed="false">
      <c r="A815" s="50"/>
      <c r="B815" s="50"/>
      <c r="C815" s="5"/>
      <c r="D815" s="48"/>
      <c r="E815" s="50"/>
      <c r="F815" s="5"/>
      <c r="G815" s="5"/>
      <c r="H815" s="5"/>
      <c r="I815" s="5"/>
      <c r="J815" s="5"/>
      <c r="K815" s="50"/>
      <c r="L815" s="50"/>
      <c r="M815" s="50"/>
      <c r="N815" s="50"/>
      <c r="O815" s="50"/>
      <c r="P815" s="50"/>
      <c r="Q815" s="50"/>
      <c r="R815" s="50"/>
      <c r="S815" s="50"/>
      <c r="T815" s="50"/>
      <c r="U815" s="50"/>
      <c r="V815" s="50"/>
      <c r="W815" s="50"/>
      <c r="X815" s="50"/>
      <c r="Y815" s="50"/>
      <c r="Z815" s="50"/>
      <c r="AA815" s="50"/>
      <c r="AB815" s="50"/>
    </row>
    <row r="816" customFormat="false" ht="15.75" hidden="false" customHeight="false" outlineLevel="0" collapsed="false">
      <c r="A816" s="50"/>
      <c r="B816" s="50"/>
      <c r="C816" s="5"/>
      <c r="D816" s="48"/>
      <c r="E816" s="50"/>
      <c r="F816" s="5"/>
      <c r="G816" s="5"/>
      <c r="H816" s="5"/>
      <c r="I816" s="5"/>
      <c r="J816" s="5"/>
      <c r="K816" s="50"/>
      <c r="L816" s="50"/>
      <c r="M816" s="50"/>
      <c r="N816" s="50"/>
      <c r="O816" s="50"/>
      <c r="P816" s="50"/>
      <c r="Q816" s="50"/>
      <c r="R816" s="50"/>
      <c r="S816" s="50"/>
      <c r="T816" s="50"/>
      <c r="U816" s="50"/>
      <c r="V816" s="50"/>
      <c r="W816" s="50"/>
      <c r="X816" s="50"/>
      <c r="Y816" s="50"/>
      <c r="Z816" s="50"/>
      <c r="AA816" s="50"/>
      <c r="AB816" s="50"/>
    </row>
    <row r="817" customFormat="false" ht="15.75" hidden="false" customHeight="false" outlineLevel="0" collapsed="false">
      <c r="A817" s="50"/>
      <c r="B817" s="50"/>
      <c r="C817" s="5"/>
      <c r="D817" s="48"/>
      <c r="E817" s="50"/>
      <c r="F817" s="5"/>
      <c r="G817" s="5"/>
      <c r="H817" s="5"/>
      <c r="I817" s="5"/>
      <c r="J817" s="5"/>
      <c r="K817" s="50"/>
      <c r="L817" s="50"/>
      <c r="M817" s="50"/>
      <c r="N817" s="50"/>
      <c r="O817" s="50"/>
      <c r="P817" s="50"/>
      <c r="Q817" s="50"/>
      <c r="R817" s="50"/>
      <c r="S817" s="50"/>
      <c r="T817" s="50"/>
      <c r="U817" s="50"/>
      <c r="V817" s="50"/>
      <c r="W817" s="50"/>
      <c r="X817" s="50"/>
      <c r="Y817" s="50"/>
      <c r="Z817" s="50"/>
      <c r="AA817" s="50"/>
      <c r="AB817" s="50"/>
    </row>
    <row r="818" customFormat="false" ht="15.75" hidden="false" customHeight="false" outlineLevel="0" collapsed="false">
      <c r="A818" s="50"/>
      <c r="B818" s="50"/>
      <c r="C818" s="5"/>
      <c r="D818" s="48"/>
      <c r="E818" s="50"/>
      <c r="F818" s="5"/>
      <c r="G818" s="5"/>
      <c r="H818" s="5"/>
      <c r="I818" s="5"/>
      <c r="J818" s="5"/>
      <c r="K818" s="50"/>
      <c r="L818" s="50"/>
      <c r="M818" s="50"/>
      <c r="N818" s="50"/>
      <c r="O818" s="50"/>
      <c r="P818" s="50"/>
      <c r="Q818" s="50"/>
      <c r="R818" s="50"/>
      <c r="S818" s="50"/>
      <c r="T818" s="50"/>
      <c r="U818" s="50"/>
      <c r="V818" s="50"/>
      <c r="W818" s="50"/>
      <c r="X818" s="50"/>
      <c r="Y818" s="50"/>
      <c r="Z818" s="50"/>
      <c r="AA818" s="50"/>
      <c r="AB818" s="50"/>
    </row>
    <row r="819" customFormat="false" ht="15.75" hidden="false" customHeight="false" outlineLevel="0" collapsed="false">
      <c r="A819" s="50"/>
      <c r="B819" s="50"/>
      <c r="C819" s="5"/>
      <c r="D819" s="48"/>
      <c r="E819" s="50"/>
      <c r="F819" s="5"/>
      <c r="G819" s="5"/>
      <c r="H819" s="5"/>
      <c r="I819" s="5"/>
      <c r="J819" s="5"/>
      <c r="K819" s="50"/>
      <c r="L819" s="50"/>
      <c r="M819" s="50"/>
      <c r="N819" s="50"/>
      <c r="O819" s="50"/>
      <c r="P819" s="50"/>
      <c r="Q819" s="50"/>
      <c r="R819" s="50"/>
      <c r="S819" s="50"/>
      <c r="T819" s="50"/>
      <c r="U819" s="50"/>
      <c r="V819" s="50"/>
      <c r="W819" s="50"/>
      <c r="X819" s="50"/>
      <c r="Y819" s="50"/>
      <c r="Z819" s="50"/>
      <c r="AA819" s="50"/>
      <c r="AB819" s="50"/>
    </row>
    <row r="820" customFormat="false" ht="15.75" hidden="false" customHeight="false" outlineLevel="0" collapsed="false">
      <c r="A820" s="50"/>
      <c r="B820" s="50"/>
      <c r="C820" s="5"/>
      <c r="D820" s="48"/>
      <c r="E820" s="50"/>
      <c r="F820" s="5"/>
      <c r="G820" s="5"/>
      <c r="H820" s="5"/>
      <c r="I820" s="5"/>
      <c r="J820" s="5"/>
      <c r="K820" s="50"/>
      <c r="L820" s="50"/>
      <c r="M820" s="50"/>
      <c r="N820" s="50"/>
      <c r="O820" s="50"/>
      <c r="P820" s="50"/>
      <c r="Q820" s="50"/>
      <c r="R820" s="50"/>
      <c r="S820" s="50"/>
      <c r="T820" s="50"/>
      <c r="U820" s="50"/>
      <c r="V820" s="50"/>
      <c r="W820" s="50"/>
      <c r="X820" s="50"/>
      <c r="Y820" s="50"/>
      <c r="Z820" s="50"/>
      <c r="AA820" s="50"/>
      <c r="AB820" s="50"/>
    </row>
    <row r="821" customFormat="false" ht="15.75" hidden="false" customHeight="false" outlineLevel="0" collapsed="false">
      <c r="A821" s="50"/>
      <c r="B821" s="50"/>
      <c r="C821" s="5"/>
      <c r="D821" s="48"/>
      <c r="E821" s="50"/>
      <c r="F821" s="5"/>
      <c r="G821" s="5"/>
      <c r="H821" s="5"/>
      <c r="I821" s="5"/>
      <c r="J821" s="5"/>
      <c r="K821" s="50"/>
      <c r="L821" s="50"/>
      <c r="M821" s="50"/>
      <c r="N821" s="50"/>
      <c r="O821" s="50"/>
      <c r="P821" s="50"/>
      <c r="Q821" s="50"/>
      <c r="R821" s="50"/>
      <c r="S821" s="50"/>
      <c r="T821" s="50"/>
      <c r="U821" s="50"/>
      <c r="V821" s="50"/>
      <c r="W821" s="50"/>
      <c r="X821" s="50"/>
      <c r="Y821" s="50"/>
      <c r="Z821" s="50"/>
      <c r="AA821" s="50"/>
      <c r="AB821" s="50"/>
    </row>
    <row r="822" customFormat="false" ht="15.75" hidden="false" customHeight="false" outlineLevel="0" collapsed="false">
      <c r="A822" s="50"/>
      <c r="B822" s="50"/>
      <c r="C822" s="5"/>
      <c r="D822" s="48"/>
      <c r="E822" s="50"/>
      <c r="F822" s="5"/>
      <c r="G822" s="5"/>
      <c r="H822" s="5"/>
      <c r="I822" s="5"/>
      <c r="J822" s="5"/>
      <c r="K822" s="50"/>
      <c r="L822" s="50"/>
      <c r="M822" s="50"/>
      <c r="N822" s="50"/>
      <c r="O822" s="50"/>
      <c r="P822" s="50"/>
      <c r="Q822" s="50"/>
      <c r="R822" s="50"/>
      <c r="S822" s="50"/>
      <c r="T822" s="50"/>
      <c r="U822" s="50"/>
      <c r="V822" s="50"/>
      <c r="W822" s="50"/>
      <c r="X822" s="50"/>
      <c r="Y822" s="50"/>
      <c r="Z822" s="50"/>
      <c r="AA822" s="50"/>
      <c r="AB822" s="50"/>
    </row>
    <row r="823" customFormat="false" ht="15.75" hidden="false" customHeight="false" outlineLevel="0" collapsed="false">
      <c r="A823" s="50"/>
      <c r="B823" s="50"/>
      <c r="C823" s="5"/>
      <c r="D823" s="48"/>
      <c r="E823" s="50"/>
      <c r="F823" s="5"/>
      <c r="G823" s="5"/>
      <c r="H823" s="5"/>
      <c r="I823" s="5"/>
      <c r="J823" s="5"/>
      <c r="K823" s="50"/>
      <c r="L823" s="50"/>
      <c r="M823" s="50"/>
      <c r="N823" s="50"/>
      <c r="O823" s="50"/>
      <c r="P823" s="50"/>
      <c r="Q823" s="50"/>
      <c r="R823" s="50"/>
      <c r="S823" s="50"/>
      <c r="T823" s="50"/>
      <c r="U823" s="50"/>
      <c r="V823" s="50"/>
      <c r="W823" s="50"/>
      <c r="X823" s="50"/>
      <c r="Y823" s="50"/>
      <c r="Z823" s="50"/>
      <c r="AA823" s="50"/>
      <c r="AB823" s="50"/>
    </row>
    <row r="824" customFormat="false" ht="15.75" hidden="false" customHeight="false" outlineLevel="0" collapsed="false">
      <c r="A824" s="50"/>
      <c r="B824" s="50"/>
      <c r="C824" s="5"/>
      <c r="D824" s="48"/>
      <c r="E824" s="50"/>
      <c r="F824" s="5"/>
      <c r="G824" s="5"/>
      <c r="H824" s="5"/>
      <c r="I824" s="5"/>
      <c r="J824" s="5"/>
      <c r="K824" s="50"/>
      <c r="L824" s="50"/>
      <c r="M824" s="50"/>
      <c r="N824" s="50"/>
      <c r="O824" s="50"/>
      <c r="P824" s="50"/>
      <c r="Q824" s="50"/>
      <c r="R824" s="50"/>
      <c r="S824" s="50"/>
      <c r="T824" s="50"/>
      <c r="U824" s="50"/>
      <c r="V824" s="50"/>
      <c r="W824" s="50"/>
      <c r="X824" s="50"/>
      <c r="Y824" s="50"/>
      <c r="Z824" s="50"/>
      <c r="AA824" s="50"/>
      <c r="AB824" s="50"/>
    </row>
    <row r="825" customFormat="false" ht="15.75" hidden="false" customHeight="false" outlineLevel="0" collapsed="false">
      <c r="A825" s="50"/>
      <c r="B825" s="50"/>
      <c r="C825" s="5"/>
      <c r="D825" s="48"/>
      <c r="E825" s="50"/>
      <c r="F825" s="5"/>
      <c r="G825" s="5"/>
      <c r="H825" s="5"/>
      <c r="I825" s="5"/>
      <c r="J825" s="5"/>
      <c r="K825" s="50"/>
      <c r="L825" s="50"/>
      <c r="M825" s="50"/>
      <c r="N825" s="50"/>
      <c r="O825" s="50"/>
      <c r="P825" s="50"/>
      <c r="Q825" s="50"/>
      <c r="R825" s="50"/>
      <c r="S825" s="50"/>
      <c r="T825" s="50"/>
      <c r="U825" s="50"/>
      <c r="V825" s="50"/>
      <c r="W825" s="50"/>
      <c r="X825" s="50"/>
      <c r="Y825" s="50"/>
      <c r="Z825" s="50"/>
      <c r="AA825" s="50"/>
      <c r="AB825" s="50"/>
    </row>
    <row r="826" customFormat="false" ht="15.75" hidden="false" customHeight="false" outlineLevel="0" collapsed="false">
      <c r="A826" s="50"/>
      <c r="B826" s="50"/>
      <c r="C826" s="5"/>
      <c r="D826" s="48"/>
      <c r="E826" s="50"/>
      <c r="F826" s="5"/>
      <c r="G826" s="5"/>
      <c r="H826" s="5"/>
      <c r="I826" s="5"/>
      <c r="J826" s="5"/>
      <c r="K826" s="50"/>
      <c r="L826" s="50"/>
      <c r="M826" s="50"/>
      <c r="N826" s="50"/>
      <c r="O826" s="50"/>
      <c r="P826" s="50"/>
      <c r="Q826" s="50"/>
      <c r="R826" s="50"/>
      <c r="S826" s="50"/>
      <c r="T826" s="50"/>
      <c r="U826" s="50"/>
      <c r="V826" s="50"/>
      <c r="W826" s="50"/>
      <c r="X826" s="50"/>
      <c r="Y826" s="50"/>
      <c r="Z826" s="50"/>
      <c r="AA826" s="50"/>
      <c r="AB826" s="50"/>
    </row>
    <row r="827" customFormat="false" ht="15.75" hidden="false" customHeight="false" outlineLevel="0" collapsed="false">
      <c r="A827" s="50"/>
      <c r="B827" s="50"/>
      <c r="C827" s="5"/>
      <c r="D827" s="48"/>
      <c r="E827" s="50"/>
      <c r="F827" s="5"/>
      <c r="G827" s="5"/>
      <c r="H827" s="5"/>
      <c r="I827" s="5"/>
      <c r="J827" s="5"/>
      <c r="K827" s="50"/>
      <c r="L827" s="50"/>
      <c r="M827" s="50"/>
      <c r="N827" s="50"/>
      <c r="O827" s="50"/>
      <c r="P827" s="50"/>
      <c r="Q827" s="50"/>
      <c r="R827" s="50"/>
      <c r="S827" s="50"/>
      <c r="T827" s="50"/>
      <c r="U827" s="50"/>
      <c r="V827" s="50"/>
      <c r="W827" s="50"/>
      <c r="X827" s="50"/>
      <c r="Y827" s="50"/>
      <c r="Z827" s="50"/>
      <c r="AA827" s="50"/>
      <c r="AB827" s="50"/>
    </row>
    <row r="828" customFormat="false" ht="15.75" hidden="false" customHeight="false" outlineLevel="0" collapsed="false">
      <c r="A828" s="50"/>
      <c r="B828" s="50"/>
      <c r="C828" s="5"/>
      <c r="D828" s="48"/>
      <c r="E828" s="50"/>
      <c r="F828" s="5"/>
      <c r="G828" s="5"/>
      <c r="H828" s="5"/>
      <c r="I828" s="5"/>
      <c r="J828" s="5"/>
      <c r="K828" s="50"/>
      <c r="L828" s="50"/>
      <c r="M828" s="50"/>
      <c r="N828" s="50"/>
      <c r="O828" s="50"/>
      <c r="P828" s="50"/>
      <c r="Q828" s="50"/>
      <c r="R828" s="50"/>
      <c r="S828" s="50"/>
      <c r="T828" s="50"/>
      <c r="U828" s="50"/>
      <c r="V828" s="50"/>
      <c r="W828" s="50"/>
      <c r="X828" s="50"/>
      <c r="Y828" s="50"/>
      <c r="Z828" s="50"/>
      <c r="AA828" s="50"/>
      <c r="AB828" s="50"/>
    </row>
    <row r="829" customFormat="false" ht="15.75" hidden="false" customHeight="false" outlineLevel="0" collapsed="false">
      <c r="A829" s="50"/>
      <c r="B829" s="50"/>
      <c r="C829" s="5"/>
      <c r="D829" s="48"/>
      <c r="E829" s="50"/>
      <c r="F829" s="5"/>
      <c r="G829" s="5"/>
      <c r="H829" s="5"/>
      <c r="I829" s="5"/>
      <c r="J829" s="5"/>
      <c r="K829" s="50"/>
      <c r="L829" s="50"/>
      <c r="M829" s="50"/>
      <c r="N829" s="50"/>
      <c r="O829" s="50"/>
      <c r="P829" s="50"/>
      <c r="Q829" s="50"/>
      <c r="R829" s="50"/>
      <c r="S829" s="50"/>
      <c r="T829" s="50"/>
      <c r="U829" s="50"/>
      <c r="V829" s="50"/>
      <c r="W829" s="50"/>
      <c r="X829" s="50"/>
      <c r="Y829" s="50"/>
      <c r="Z829" s="50"/>
      <c r="AA829" s="50"/>
      <c r="AB829" s="50"/>
    </row>
    <row r="830" customFormat="false" ht="15.75" hidden="false" customHeight="false" outlineLevel="0" collapsed="false">
      <c r="A830" s="50"/>
      <c r="B830" s="50"/>
      <c r="C830" s="5"/>
      <c r="D830" s="48"/>
      <c r="E830" s="50"/>
      <c r="F830" s="5"/>
      <c r="G830" s="5"/>
      <c r="H830" s="5"/>
      <c r="I830" s="5"/>
      <c r="J830" s="5"/>
      <c r="K830" s="50"/>
      <c r="L830" s="50"/>
      <c r="M830" s="50"/>
      <c r="N830" s="50"/>
      <c r="O830" s="50"/>
      <c r="P830" s="50"/>
      <c r="Q830" s="50"/>
      <c r="R830" s="50"/>
      <c r="S830" s="50"/>
      <c r="T830" s="50"/>
      <c r="U830" s="50"/>
      <c r="V830" s="50"/>
      <c r="W830" s="50"/>
      <c r="X830" s="50"/>
      <c r="Y830" s="50"/>
      <c r="Z830" s="50"/>
      <c r="AA830" s="50"/>
      <c r="AB830" s="50"/>
    </row>
    <row r="831" customFormat="false" ht="15.75" hidden="false" customHeight="false" outlineLevel="0" collapsed="false">
      <c r="A831" s="50"/>
      <c r="B831" s="50"/>
      <c r="C831" s="5"/>
      <c r="D831" s="48"/>
      <c r="E831" s="50"/>
      <c r="F831" s="5"/>
      <c r="G831" s="5"/>
      <c r="H831" s="5"/>
      <c r="I831" s="5"/>
      <c r="J831" s="5"/>
      <c r="K831" s="50"/>
      <c r="L831" s="50"/>
      <c r="M831" s="50"/>
      <c r="N831" s="50"/>
      <c r="O831" s="50"/>
      <c r="P831" s="50"/>
      <c r="Q831" s="50"/>
      <c r="R831" s="50"/>
      <c r="S831" s="50"/>
      <c r="T831" s="50"/>
      <c r="U831" s="50"/>
      <c r="V831" s="50"/>
      <c r="W831" s="50"/>
      <c r="X831" s="50"/>
      <c r="Y831" s="50"/>
      <c r="Z831" s="50"/>
      <c r="AA831" s="50"/>
      <c r="AB831" s="50"/>
    </row>
    <row r="832" customFormat="false" ht="15.75" hidden="false" customHeight="false" outlineLevel="0" collapsed="false">
      <c r="A832" s="50"/>
      <c r="B832" s="50"/>
      <c r="C832" s="5"/>
      <c r="D832" s="48"/>
      <c r="E832" s="50"/>
      <c r="F832" s="5"/>
      <c r="G832" s="5"/>
      <c r="H832" s="5"/>
      <c r="I832" s="5"/>
      <c r="J832" s="5"/>
      <c r="K832" s="50"/>
      <c r="L832" s="50"/>
      <c r="M832" s="50"/>
      <c r="N832" s="50"/>
      <c r="O832" s="50"/>
      <c r="P832" s="50"/>
      <c r="Q832" s="50"/>
      <c r="R832" s="50"/>
      <c r="S832" s="50"/>
      <c r="T832" s="50"/>
      <c r="U832" s="50"/>
      <c r="V832" s="50"/>
      <c r="W832" s="50"/>
      <c r="X832" s="50"/>
      <c r="Y832" s="50"/>
      <c r="Z832" s="50"/>
      <c r="AA832" s="50"/>
      <c r="AB832" s="50"/>
    </row>
    <row r="833" customFormat="false" ht="15.75" hidden="false" customHeight="false" outlineLevel="0" collapsed="false">
      <c r="A833" s="50"/>
      <c r="B833" s="50"/>
      <c r="C833" s="5"/>
      <c r="D833" s="48"/>
      <c r="E833" s="50"/>
      <c r="F833" s="5"/>
      <c r="G833" s="5"/>
      <c r="H833" s="5"/>
      <c r="I833" s="5"/>
      <c r="J833" s="5"/>
      <c r="K833" s="50"/>
      <c r="L833" s="50"/>
      <c r="M833" s="50"/>
      <c r="N833" s="50"/>
      <c r="O833" s="50"/>
      <c r="P833" s="50"/>
      <c r="Q833" s="50"/>
      <c r="R833" s="50"/>
      <c r="S833" s="50"/>
      <c r="T833" s="50"/>
      <c r="U833" s="50"/>
      <c r="V833" s="50"/>
      <c r="W833" s="50"/>
      <c r="X833" s="50"/>
      <c r="Y833" s="50"/>
      <c r="Z833" s="50"/>
      <c r="AA833" s="50"/>
      <c r="AB833" s="50"/>
    </row>
    <row r="834" customFormat="false" ht="15.75" hidden="false" customHeight="false" outlineLevel="0" collapsed="false">
      <c r="A834" s="50"/>
      <c r="B834" s="50"/>
      <c r="C834" s="5"/>
      <c r="D834" s="48"/>
      <c r="E834" s="50"/>
      <c r="F834" s="5"/>
      <c r="G834" s="5"/>
      <c r="H834" s="5"/>
      <c r="I834" s="5"/>
      <c r="J834" s="5"/>
      <c r="K834" s="50"/>
      <c r="L834" s="50"/>
      <c r="M834" s="50"/>
      <c r="N834" s="50"/>
      <c r="O834" s="50"/>
      <c r="P834" s="50"/>
      <c r="Q834" s="50"/>
      <c r="R834" s="50"/>
      <c r="S834" s="50"/>
      <c r="T834" s="50"/>
      <c r="U834" s="50"/>
      <c r="V834" s="50"/>
      <c r="W834" s="50"/>
      <c r="X834" s="50"/>
      <c r="Y834" s="50"/>
      <c r="Z834" s="50"/>
      <c r="AA834" s="50"/>
      <c r="AB834" s="50"/>
    </row>
    <row r="835" customFormat="false" ht="15.75" hidden="false" customHeight="false" outlineLevel="0" collapsed="false">
      <c r="A835" s="50"/>
      <c r="B835" s="50"/>
      <c r="C835" s="5"/>
      <c r="D835" s="48"/>
      <c r="E835" s="50"/>
      <c r="F835" s="5"/>
      <c r="G835" s="5"/>
      <c r="H835" s="5"/>
      <c r="I835" s="5"/>
      <c r="J835" s="5"/>
      <c r="K835" s="50"/>
      <c r="L835" s="50"/>
      <c r="M835" s="50"/>
      <c r="N835" s="50"/>
      <c r="O835" s="50"/>
      <c r="P835" s="50"/>
      <c r="Q835" s="50"/>
      <c r="R835" s="50"/>
      <c r="S835" s="50"/>
      <c r="T835" s="50"/>
      <c r="U835" s="50"/>
      <c r="V835" s="50"/>
      <c r="W835" s="50"/>
      <c r="X835" s="50"/>
      <c r="Y835" s="50"/>
      <c r="Z835" s="50"/>
      <c r="AA835" s="50"/>
      <c r="AB835" s="50"/>
    </row>
    <row r="836" customFormat="false" ht="15.75" hidden="false" customHeight="false" outlineLevel="0" collapsed="false">
      <c r="A836" s="50"/>
      <c r="B836" s="50"/>
      <c r="C836" s="5"/>
      <c r="D836" s="48"/>
      <c r="E836" s="50"/>
      <c r="F836" s="5"/>
      <c r="G836" s="5"/>
      <c r="H836" s="5"/>
      <c r="I836" s="5"/>
      <c r="J836" s="5"/>
      <c r="K836" s="50"/>
      <c r="L836" s="50"/>
      <c r="M836" s="50"/>
      <c r="N836" s="50"/>
      <c r="O836" s="50"/>
      <c r="P836" s="50"/>
      <c r="Q836" s="50"/>
      <c r="R836" s="50"/>
      <c r="S836" s="50"/>
      <c r="T836" s="50"/>
      <c r="U836" s="50"/>
      <c r="V836" s="50"/>
      <c r="W836" s="50"/>
      <c r="X836" s="50"/>
      <c r="Y836" s="50"/>
      <c r="Z836" s="50"/>
      <c r="AA836" s="50"/>
      <c r="AB836" s="50"/>
    </row>
    <row r="837" customFormat="false" ht="15.75" hidden="false" customHeight="false" outlineLevel="0" collapsed="false">
      <c r="A837" s="50"/>
      <c r="B837" s="50"/>
      <c r="C837" s="5"/>
      <c r="D837" s="48"/>
      <c r="E837" s="50"/>
      <c r="F837" s="5"/>
      <c r="G837" s="5"/>
      <c r="H837" s="5"/>
      <c r="I837" s="5"/>
      <c r="J837" s="5"/>
      <c r="K837" s="50"/>
      <c r="L837" s="50"/>
      <c r="M837" s="50"/>
      <c r="N837" s="50"/>
      <c r="O837" s="50"/>
      <c r="P837" s="50"/>
      <c r="Q837" s="50"/>
      <c r="R837" s="50"/>
      <c r="S837" s="50"/>
      <c r="T837" s="50"/>
      <c r="U837" s="50"/>
      <c r="V837" s="50"/>
      <c r="W837" s="50"/>
      <c r="X837" s="50"/>
      <c r="Y837" s="50"/>
      <c r="Z837" s="50"/>
      <c r="AA837" s="50"/>
      <c r="AB837" s="50"/>
    </row>
    <row r="838" customFormat="false" ht="15.75" hidden="false" customHeight="false" outlineLevel="0" collapsed="false">
      <c r="A838" s="50"/>
      <c r="B838" s="50"/>
      <c r="C838" s="5"/>
      <c r="D838" s="48"/>
      <c r="E838" s="50"/>
      <c r="F838" s="5"/>
      <c r="G838" s="5"/>
      <c r="H838" s="5"/>
      <c r="I838" s="5"/>
      <c r="J838" s="5"/>
      <c r="K838" s="50"/>
      <c r="L838" s="50"/>
      <c r="M838" s="50"/>
      <c r="N838" s="50"/>
      <c r="O838" s="50"/>
      <c r="P838" s="50"/>
      <c r="Q838" s="50"/>
      <c r="R838" s="50"/>
      <c r="S838" s="50"/>
      <c r="T838" s="50"/>
      <c r="U838" s="50"/>
      <c r="V838" s="50"/>
      <c r="W838" s="50"/>
      <c r="X838" s="50"/>
      <c r="Y838" s="50"/>
      <c r="Z838" s="50"/>
      <c r="AA838" s="50"/>
      <c r="AB838" s="50"/>
    </row>
    <row r="839" customFormat="false" ht="15.75" hidden="false" customHeight="false" outlineLevel="0" collapsed="false">
      <c r="A839" s="50"/>
      <c r="B839" s="50"/>
      <c r="C839" s="5"/>
      <c r="D839" s="48"/>
      <c r="E839" s="50"/>
      <c r="F839" s="5"/>
      <c r="G839" s="5"/>
      <c r="H839" s="5"/>
      <c r="I839" s="5"/>
      <c r="J839" s="5"/>
      <c r="K839" s="50"/>
      <c r="L839" s="50"/>
      <c r="M839" s="50"/>
      <c r="N839" s="50"/>
      <c r="O839" s="50"/>
      <c r="P839" s="50"/>
      <c r="Q839" s="50"/>
      <c r="R839" s="50"/>
      <c r="S839" s="50"/>
      <c r="T839" s="50"/>
      <c r="U839" s="50"/>
      <c r="V839" s="50"/>
      <c r="W839" s="50"/>
      <c r="X839" s="50"/>
      <c r="Y839" s="50"/>
      <c r="Z839" s="50"/>
      <c r="AA839" s="50"/>
      <c r="AB839" s="50"/>
    </row>
    <row r="840" customFormat="false" ht="15.75" hidden="false" customHeight="false" outlineLevel="0" collapsed="false">
      <c r="A840" s="50"/>
      <c r="B840" s="50"/>
      <c r="C840" s="5"/>
      <c r="D840" s="48"/>
      <c r="E840" s="50"/>
      <c r="F840" s="5"/>
      <c r="G840" s="5"/>
      <c r="H840" s="5"/>
      <c r="I840" s="5"/>
      <c r="J840" s="5"/>
      <c r="K840" s="50"/>
      <c r="L840" s="50"/>
      <c r="M840" s="50"/>
      <c r="N840" s="50"/>
      <c r="O840" s="50"/>
      <c r="P840" s="50"/>
      <c r="Q840" s="50"/>
      <c r="R840" s="50"/>
      <c r="S840" s="50"/>
      <c r="T840" s="50"/>
      <c r="U840" s="50"/>
      <c r="V840" s="50"/>
      <c r="W840" s="50"/>
      <c r="X840" s="50"/>
      <c r="Y840" s="50"/>
      <c r="Z840" s="50"/>
      <c r="AA840" s="50"/>
      <c r="AB840" s="50"/>
    </row>
    <row r="841" customFormat="false" ht="15.75" hidden="false" customHeight="false" outlineLevel="0" collapsed="false">
      <c r="A841" s="50"/>
      <c r="B841" s="50"/>
      <c r="C841" s="5"/>
      <c r="D841" s="48"/>
      <c r="E841" s="50"/>
      <c r="F841" s="5"/>
      <c r="G841" s="5"/>
      <c r="H841" s="5"/>
      <c r="I841" s="5"/>
      <c r="J841" s="5"/>
      <c r="K841" s="50"/>
      <c r="L841" s="50"/>
      <c r="M841" s="50"/>
      <c r="N841" s="50"/>
      <c r="O841" s="50"/>
      <c r="P841" s="50"/>
      <c r="Q841" s="50"/>
      <c r="R841" s="50"/>
      <c r="S841" s="50"/>
      <c r="T841" s="50"/>
      <c r="U841" s="50"/>
      <c r="V841" s="50"/>
      <c r="W841" s="50"/>
      <c r="X841" s="50"/>
      <c r="Y841" s="50"/>
      <c r="Z841" s="50"/>
      <c r="AA841" s="50"/>
      <c r="AB841" s="50"/>
    </row>
    <row r="842" customFormat="false" ht="15.75" hidden="false" customHeight="false" outlineLevel="0" collapsed="false">
      <c r="A842" s="50"/>
      <c r="B842" s="50"/>
      <c r="C842" s="5"/>
      <c r="D842" s="48"/>
      <c r="E842" s="50"/>
      <c r="F842" s="5"/>
      <c r="G842" s="5"/>
      <c r="H842" s="5"/>
      <c r="I842" s="5"/>
      <c r="J842" s="5"/>
      <c r="K842" s="50"/>
      <c r="L842" s="50"/>
      <c r="M842" s="50"/>
      <c r="N842" s="50"/>
      <c r="O842" s="50"/>
      <c r="P842" s="50"/>
      <c r="Q842" s="50"/>
      <c r="R842" s="50"/>
      <c r="S842" s="50"/>
      <c r="T842" s="50"/>
      <c r="U842" s="50"/>
      <c r="V842" s="50"/>
      <c r="W842" s="50"/>
      <c r="X842" s="50"/>
      <c r="Y842" s="50"/>
      <c r="Z842" s="50"/>
      <c r="AA842" s="50"/>
      <c r="AB842" s="50"/>
    </row>
    <row r="843" customFormat="false" ht="15.75" hidden="false" customHeight="false" outlineLevel="0" collapsed="false">
      <c r="A843" s="50"/>
      <c r="B843" s="50"/>
      <c r="C843" s="5"/>
      <c r="D843" s="48"/>
      <c r="E843" s="50"/>
      <c r="F843" s="5"/>
      <c r="G843" s="5"/>
      <c r="H843" s="5"/>
      <c r="I843" s="5"/>
      <c r="J843" s="5"/>
      <c r="K843" s="50"/>
      <c r="L843" s="50"/>
      <c r="M843" s="50"/>
      <c r="N843" s="50"/>
      <c r="O843" s="50"/>
      <c r="P843" s="50"/>
      <c r="Q843" s="50"/>
      <c r="R843" s="50"/>
      <c r="S843" s="50"/>
      <c r="T843" s="50"/>
      <c r="U843" s="50"/>
      <c r="V843" s="50"/>
      <c r="W843" s="50"/>
      <c r="X843" s="50"/>
      <c r="Y843" s="50"/>
      <c r="Z843" s="50"/>
      <c r="AA843" s="50"/>
      <c r="AB843" s="50"/>
    </row>
    <row r="844" customFormat="false" ht="15.75" hidden="false" customHeight="false" outlineLevel="0" collapsed="false">
      <c r="A844" s="50"/>
      <c r="B844" s="50"/>
      <c r="C844" s="5"/>
      <c r="D844" s="48"/>
      <c r="E844" s="50"/>
      <c r="F844" s="5"/>
      <c r="G844" s="5"/>
      <c r="H844" s="5"/>
      <c r="I844" s="5"/>
      <c r="J844" s="5"/>
      <c r="K844" s="50"/>
      <c r="L844" s="50"/>
      <c r="M844" s="50"/>
      <c r="N844" s="50"/>
      <c r="O844" s="50"/>
      <c r="P844" s="50"/>
      <c r="Q844" s="50"/>
      <c r="R844" s="50"/>
      <c r="S844" s="50"/>
      <c r="T844" s="50"/>
      <c r="U844" s="50"/>
      <c r="V844" s="50"/>
      <c r="W844" s="50"/>
      <c r="X844" s="50"/>
      <c r="Y844" s="50"/>
      <c r="Z844" s="50"/>
      <c r="AA844" s="50"/>
      <c r="AB844" s="50"/>
    </row>
    <row r="845" customFormat="false" ht="15.75" hidden="false" customHeight="false" outlineLevel="0" collapsed="false">
      <c r="A845" s="50"/>
      <c r="B845" s="50"/>
      <c r="C845" s="5"/>
      <c r="D845" s="48"/>
      <c r="E845" s="50"/>
      <c r="F845" s="5"/>
      <c r="G845" s="5"/>
      <c r="H845" s="5"/>
      <c r="I845" s="5"/>
      <c r="J845" s="5"/>
      <c r="K845" s="50"/>
      <c r="L845" s="50"/>
      <c r="M845" s="50"/>
      <c r="N845" s="50"/>
      <c r="O845" s="50"/>
      <c r="P845" s="50"/>
      <c r="Q845" s="50"/>
      <c r="R845" s="50"/>
      <c r="S845" s="50"/>
      <c r="T845" s="50"/>
      <c r="U845" s="50"/>
      <c r="V845" s="50"/>
      <c r="W845" s="50"/>
      <c r="X845" s="50"/>
      <c r="Y845" s="50"/>
      <c r="Z845" s="50"/>
      <c r="AA845" s="50"/>
      <c r="AB845" s="50"/>
    </row>
    <row r="846" customFormat="false" ht="15.75" hidden="false" customHeight="false" outlineLevel="0" collapsed="false">
      <c r="A846" s="50"/>
      <c r="B846" s="50"/>
      <c r="C846" s="5"/>
      <c r="D846" s="48"/>
      <c r="E846" s="50"/>
      <c r="F846" s="5"/>
      <c r="G846" s="5"/>
      <c r="H846" s="5"/>
      <c r="I846" s="5"/>
      <c r="J846" s="5"/>
      <c r="K846" s="50"/>
      <c r="L846" s="50"/>
      <c r="M846" s="50"/>
      <c r="N846" s="50"/>
      <c r="O846" s="50"/>
      <c r="P846" s="50"/>
      <c r="Q846" s="50"/>
      <c r="R846" s="50"/>
      <c r="S846" s="50"/>
      <c r="T846" s="50"/>
      <c r="U846" s="50"/>
      <c r="V846" s="50"/>
      <c r="W846" s="50"/>
      <c r="X846" s="50"/>
      <c r="Y846" s="50"/>
      <c r="Z846" s="50"/>
      <c r="AA846" s="50"/>
      <c r="AB846" s="50"/>
    </row>
    <row r="847" customFormat="false" ht="15.75" hidden="false" customHeight="false" outlineLevel="0" collapsed="false">
      <c r="A847" s="50"/>
      <c r="B847" s="50"/>
      <c r="C847" s="5"/>
      <c r="D847" s="48"/>
      <c r="E847" s="50"/>
      <c r="F847" s="5"/>
      <c r="G847" s="5"/>
      <c r="H847" s="5"/>
      <c r="I847" s="5"/>
      <c r="J847" s="5"/>
      <c r="K847" s="50"/>
      <c r="L847" s="50"/>
      <c r="M847" s="50"/>
      <c r="N847" s="50"/>
      <c r="O847" s="50"/>
      <c r="P847" s="50"/>
      <c r="Q847" s="50"/>
      <c r="R847" s="50"/>
      <c r="S847" s="50"/>
      <c r="T847" s="50"/>
      <c r="U847" s="50"/>
      <c r="V847" s="50"/>
      <c r="W847" s="50"/>
      <c r="X847" s="50"/>
      <c r="Y847" s="50"/>
      <c r="Z847" s="50"/>
      <c r="AA847" s="50"/>
      <c r="AB847" s="50"/>
    </row>
    <row r="848" customFormat="false" ht="15.75" hidden="false" customHeight="false" outlineLevel="0" collapsed="false">
      <c r="A848" s="50"/>
      <c r="B848" s="50"/>
      <c r="C848" s="5"/>
      <c r="D848" s="48"/>
      <c r="E848" s="50"/>
      <c r="F848" s="5"/>
      <c r="G848" s="5"/>
      <c r="H848" s="5"/>
      <c r="I848" s="5"/>
      <c r="J848" s="5"/>
      <c r="K848" s="50"/>
      <c r="L848" s="50"/>
      <c r="M848" s="50"/>
      <c r="N848" s="50"/>
      <c r="O848" s="50"/>
      <c r="P848" s="50"/>
      <c r="Q848" s="50"/>
      <c r="R848" s="50"/>
      <c r="S848" s="50"/>
      <c r="T848" s="50"/>
      <c r="U848" s="50"/>
      <c r="V848" s="50"/>
      <c r="W848" s="50"/>
      <c r="X848" s="50"/>
      <c r="Y848" s="50"/>
      <c r="Z848" s="50"/>
      <c r="AA848" s="50"/>
      <c r="AB848" s="50"/>
    </row>
    <row r="849" customFormat="false" ht="15.75" hidden="false" customHeight="false" outlineLevel="0" collapsed="false">
      <c r="A849" s="50"/>
      <c r="B849" s="50"/>
      <c r="C849" s="5"/>
      <c r="D849" s="48"/>
      <c r="E849" s="50"/>
      <c r="F849" s="5"/>
      <c r="G849" s="5"/>
      <c r="H849" s="5"/>
      <c r="I849" s="5"/>
      <c r="J849" s="5"/>
      <c r="K849" s="50"/>
      <c r="L849" s="50"/>
      <c r="M849" s="50"/>
      <c r="N849" s="50"/>
      <c r="O849" s="50"/>
      <c r="P849" s="50"/>
      <c r="Q849" s="50"/>
      <c r="R849" s="50"/>
      <c r="S849" s="50"/>
      <c r="T849" s="50"/>
      <c r="U849" s="50"/>
      <c r="V849" s="50"/>
      <c r="W849" s="50"/>
      <c r="X849" s="50"/>
      <c r="Y849" s="50"/>
      <c r="Z849" s="50"/>
      <c r="AA849" s="50"/>
      <c r="AB849" s="50"/>
    </row>
    <row r="850" customFormat="false" ht="15.75" hidden="false" customHeight="false" outlineLevel="0" collapsed="false">
      <c r="A850" s="50"/>
      <c r="B850" s="50"/>
      <c r="C850" s="5"/>
      <c r="D850" s="48"/>
      <c r="E850" s="50"/>
      <c r="F850" s="5"/>
      <c r="G850" s="5"/>
      <c r="H850" s="5"/>
      <c r="I850" s="5"/>
      <c r="J850" s="5"/>
      <c r="K850" s="50"/>
      <c r="L850" s="50"/>
      <c r="M850" s="50"/>
      <c r="N850" s="50"/>
      <c r="O850" s="50"/>
      <c r="P850" s="50"/>
      <c r="Q850" s="50"/>
      <c r="R850" s="50"/>
      <c r="S850" s="50"/>
      <c r="T850" s="50"/>
      <c r="U850" s="50"/>
      <c r="V850" s="50"/>
      <c r="W850" s="50"/>
      <c r="X850" s="50"/>
      <c r="Y850" s="50"/>
      <c r="Z850" s="50"/>
      <c r="AA850" s="50"/>
      <c r="AB850" s="50"/>
    </row>
    <row r="851" customFormat="false" ht="15.75" hidden="false" customHeight="false" outlineLevel="0" collapsed="false">
      <c r="A851" s="50"/>
      <c r="B851" s="50"/>
      <c r="C851" s="5"/>
      <c r="D851" s="48"/>
      <c r="E851" s="50"/>
      <c r="F851" s="5"/>
      <c r="G851" s="5"/>
      <c r="H851" s="5"/>
      <c r="I851" s="5"/>
      <c r="J851" s="5"/>
      <c r="K851" s="50"/>
      <c r="L851" s="50"/>
      <c r="M851" s="50"/>
      <c r="N851" s="50"/>
      <c r="O851" s="50"/>
      <c r="P851" s="50"/>
      <c r="Q851" s="50"/>
      <c r="R851" s="50"/>
      <c r="S851" s="50"/>
      <c r="T851" s="50"/>
      <c r="U851" s="50"/>
      <c r="V851" s="50"/>
      <c r="W851" s="50"/>
      <c r="X851" s="50"/>
      <c r="Y851" s="50"/>
      <c r="Z851" s="50"/>
      <c r="AA851" s="50"/>
      <c r="AB851" s="50"/>
    </row>
    <row r="852" customFormat="false" ht="15.75" hidden="false" customHeight="false" outlineLevel="0" collapsed="false">
      <c r="A852" s="50"/>
      <c r="B852" s="50"/>
      <c r="C852" s="5"/>
      <c r="D852" s="48"/>
      <c r="E852" s="50"/>
      <c r="F852" s="5"/>
      <c r="G852" s="5"/>
      <c r="H852" s="5"/>
      <c r="I852" s="5"/>
      <c r="J852" s="5"/>
      <c r="K852" s="50"/>
      <c r="L852" s="50"/>
      <c r="M852" s="50"/>
      <c r="N852" s="50"/>
      <c r="O852" s="50"/>
      <c r="P852" s="50"/>
      <c r="Q852" s="50"/>
      <c r="R852" s="50"/>
      <c r="S852" s="50"/>
      <c r="T852" s="50"/>
      <c r="U852" s="50"/>
      <c r="V852" s="50"/>
      <c r="W852" s="50"/>
      <c r="X852" s="50"/>
      <c r="Y852" s="50"/>
      <c r="Z852" s="50"/>
      <c r="AA852" s="50"/>
      <c r="AB852" s="50"/>
    </row>
    <row r="853" customFormat="false" ht="15.75" hidden="false" customHeight="false" outlineLevel="0" collapsed="false">
      <c r="A853" s="50"/>
      <c r="B853" s="50"/>
      <c r="C853" s="5"/>
      <c r="D853" s="48"/>
      <c r="E853" s="50"/>
      <c r="F853" s="5"/>
      <c r="G853" s="5"/>
      <c r="H853" s="5"/>
      <c r="I853" s="5"/>
      <c r="J853" s="5"/>
      <c r="K853" s="50"/>
      <c r="L853" s="50"/>
      <c r="M853" s="50"/>
      <c r="N853" s="50"/>
      <c r="O853" s="50"/>
      <c r="P853" s="50"/>
      <c r="Q853" s="50"/>
      <c r="R853" s="50"/>
      <c r="S853" s="50"/>
      <c r="T853" s="50"/>
      <c r="U853" s="50"/>
      <c r="V853" s="50"/>
      <c r="W853" s="50"/>
      <c r="X853" s="50"/>
      <c r="Y853" s="50"/>
      <c r="Z853" s="50"/>
      <c r="AA853" s="50"/>
      <c r="AB853" s="50"/>
    </row>
    <row r="854" customFormat="false" ht="15.75" hidden="false" customHeight="false" outlineLevel="0" collapsed="false">
      <c r="A854" s="50"/>
      <c r="B854" s="50"/>
      <c r="C854" s="5"/>
      <c r="D854" s="48"/>
      <c r="E854" s="50"/>
      <c r="F854" s="5"/>
      <c r="G854" s="5"/>
      <c r="H854" s="5"/>
      <c r="I854" s="5"/>
      <c r="J854" s="5"/>
      <c r="K854" s="50"/>
      <c r="L854" s="50"/>
      <c r="M854" s="50"/>
      <c r="N854" s="50"/>
      <c r="O854" s="50"/>
      <c r="P854" s="50"/>
      <c r="Q854" s="50"/>
      <c r="R854" s="50"/>
      <c r="S854" s="50"/>
      <c r="T854" s="50"/>
      <c r="U854" s="50"/>
      <c r="V854" s="50"/>
      <c r="W854" s="50"/>
      <c r="X854" s="50"/>
      <c r="Y854" s="50"/>
      <c r="Z854" s="50"/>
      <c r="AA854" s="50"/>
      <c r="AB854" s="50"/>
    </row>
    <row r="855" customFormat="false" ht="15.75" hidden="false" customHeight="false" outlineLevel="0" collapsed="false">
      <c r="A855" s="50"/>
      <c r="B855" s="50"/>
      <c r="C855" s="5"/>
      <c r="D855" s="48"/>
      <c r="E855" s="50"/>
      <c r="F855" s="5"/>
      <c r="G855" s="5"/>
      <c r="H855" s="5"/>
      <c r="I855" s="5"/>
      <c r="J855" s="5"/>
      <c r="K855" s="50"/>
      <c r="L855" s="50"/>
      <c r="M855" s="50"/>
      <c r="N855" s="50"/>
      <c r="O855" s="50"/>
      <c r="P855" s="50"/>
      <c r="Q855" s="50"/>
      <c r="R855" s="50"/>
      <c r="S855" s="50"/>
      <c r="T855" s="50"/>
      <c r="U855" s="50"/>
      <c r="V855" s="50"/>
      <c r="W855" s="50"/>
      <c r="X855" s="50"/>
      <c r="Y855" s="50"/>
      <c r="Z855" s="50"/>
      <c r="AA855" s="50"/>
      <c r="AB855" s="50"/>
    </row>
    <row r="856" customFormat="false" ht="15.75" hidden="false" customHeight="false" outlineLevel="0" collapsed="false">
      <c r="A856" s="50"/>
      <c r="B856" s="50"/>
      <c r="C856" s="5"/>
      <c r="D856" s="48"/>
      <c r="E856" s="50"/>
      <c r="F856" s="5"/>
      <c r="G856" s="5"/>
      <c r="H856" s="5"/>
      <c r="I856" s="5"/>
      <c r="J856" s="5"/>
      <c r="K856" s="50"/>
      <c r="L856" s="50"/>
      <c r="M856" s="50"/>
      <c r="N856" s="50"/>
      <c r="O856" s="50"/>
      <c r="P856" s="50"/>
      <c r="Q856" s="50"/>
      <c r="R856" s="50"/>
      <c r="S856" s="50"/>
      <c r="T856" s="50"/>
      <c r="U856" s="50"/>
      <c r="V856" s="50"/>
      <c r="W856" s="50"/>
      <c r="X856" s="50"/>
      <c r="Y856" s="50"/>
      <c r="Z856" s="50"/>
      <c r="AA856" s="50"/>
      <c r="AB856" s="50"/>
    </row>
    <row r="857" customFormat="false" ht="15.75" hidden="false" customHeight="false" outlineLevel="0" collapsed="false">
      <c r="A857" s="50"/>
      <c r="B857" s="50"/>
      <c r="C857" s="5"/>
      <c r="D857" s="48"/>
      <c r="E857" s="50"/>
      <c r="F857" s="5"/>
      <c r="G857" s="5"/>
      <c r="H857" s="5"/>
      <c r="I857" s="5"/>
      <c r="J857" s="5"/>
      <c r="K857" s="50"/>
      <c r="L857" s="50"/>
      <c r="M857" s="50"/>
      <c r="N857" s="50"/>
      <c r="O857" s="50"/>
      <c r="P857" s="50"/>
      <c r="Q857" s="50"/>
      <c r="R857" s="50"/>
      <c r="S857" s="50"/>
      <c r="T857" s="50"/>
      <c r="U857" s="50"/>
      <c r="V857" s="50"/>
      <c r="W857" s="50"/>
      <c r="X857" s="50"/>
      <c r="Y857" s="50"/>
      <c r="Z857" s="50"/>
      <c r="AA857" s="50"/>
      <c r="AB857" s="50"/>
    </row>
    <row r="858" customFormat="false" ht="15.75" hidden="false" customHeight="false" outlineLevel="0" collapsed="false">
      <c r="A858" s="50"/>
      <c r="B858" s="50"/>
      <c r="C858" s="5"/>
      <c r="D858" s="48"/>
      <c r="E858" s="50"/>
      <c r="F858" s="5"/>
      <c r="G858" s="5"/>
      <c r="H858" s="5"/>
      <c r="I858" s="5"/>
      <c r="J858" s="5"/>
      <c r="K858" s="50"/>
      <c r="L858" s="50"/>
      <c r="M858" s="50"/>
      <c r="N858" s="50"/>
      <c r="O858" s="50"/>
      <c r="P858" s="50"/>
      <c r="Q858" s="50"/>
      <c r="R858" s="50"/>
      <c r="S858" s="50"/>
      <c r="T858" s="50"/>
      <c r="U858" s="50"/>
      <c r="V858" s="50"/>
      <c r="W858" s="50"/>
      <c r="X858" s="50"/>
      <c r="Y858" s="50"/>
      <c r="Z858" s="50"/>
      <c r="AA858" s="50"/>
      <c r="AB858" s="50"/>
    </row>
    <row r="859" customFormat="false" ht="15.75" hidden="false" customHeight="false" outlineLevel="0" collapsed="false">
      <c r="A859" s="50"/>
      <c r="B859" s="50"/>
      <c r="C859" s="5"/>
      <c r="D859" s="48"/>
      <c r="E859" s="50"/>
      <c r="F859" s="5"/>
      <c r="G859" s="5"/>
      <c r="H859" s="5"/>
      <c r="I859" s="5"/>
      <c r="J859" s="5"/>
      <c r="K859" s="50"/>
      <c r="L859" s="50"/>
      <c r="M859" s="50"/>
      <c r="N859" s="50"/>
      <c r="O859" s="50"/>
      <c r="P859" s="50"/>
      <c r="Q859" s="50"/>
      <c r="R859" s="50"/>
      <c r="S859" s="50"/>
      <c r="T859" s="50"/>
      <c r="U859" s="50"/>
      <c r="V859" s="50"/>
      <c r="W859" s="50"/>
      <c r="X859" s="50"/>
      <c r="Y859" s="50"/>
      <c r="Z859" s="50"/>
      <c r="AA859" s="50"/>
      <c r="AB859" s="50"/>
    </row>
    <row r="860" customFormat="false" ht="15.75" hidden="false" customHeight="false" outlineLevel="0" collapsed="false">
      <c r="A860" s="50"/>
      <c r="B860" s="50"/>
      <c r="C860" s="5"/>
      <c r="D860" s="48"/>
      <c r="E860" s="50"/>
      <c r="F860" s="5"/>
      <c r="G860" s="5"/>
      <c r="H860" s="5"/>
      <c r="I860" s="5"/>
      <c r="J860" s="5"/>
      <c r="K860" s="50"/>
      <c r="L860" s="50"/>
      <c r="M860" s="50"/>
      <c r="N860" s="50"/>
      <c r="O860" s="50"/>
      <c r="P860" s="50"/>
      <c r="Q860" s="50"/>
      <c r="R860" s="50"/>
      <c r="S860" s="50"/>
      <c r="T860" s="50"/>
      <c r="U860" s="50"/>
      <c r="V860" s="50"/>
      <c r="W860" s="50"/>
      <c r="X860" s="50"/>
      <c r="Y860" s="50"/>
      <c r="Z860" s="50"/>
      <c r="AA860" s="50"/>
      <c r="AB860" s="50"/>
    </row>
    <row r="861" customFormat="false" ht="15.75" hidden="false" customHeight="false" outlineLevel="0" collapsed="false">
      <c r="A861" s="50"/>
      <c r="B861" s="50"/>
      <c r="C861" s="5"/>
      <c r="D861" s="48"/>
      <c r="E861" s="50"/>
      <c r="F861" s="5"/>
      <c r="G861" s="5"/>
      <c r="H861" s="5"/>
      <c r="I861" s="5"/>
      <c r="J861" s="5"/>
      <c r="K861" s="50"/>
      <c r="L861" s="50"/>
      <c r="M861" s="50"/>
      <c r="N861" s="50"/>
      <c r="O861" s="50"/>
      <c r="P861" s="50"/>
      <c r="Q861" s="50"/>
      <c r="R861" s="50"/>
      <c r="S861" s="50"/>
      <c r="T861" s="50"/>
      <c r="U861" s="50"/>
      <c r="V861" s="50"/>
      <c r="W861" s="50"/>
      <c r="X861" s="50"/>
      <c r="Y861" s="50"/>
      <c r="Z861" s="50"/>
      <c r="AA861" s="50"/>
      <c r="AB861" s="50"/>
    </row>
    <row r="862" customFormat="false" ht="15.75" hidden="false" customHeight="false" outlineLevel="0" collapsed="false">
      <c r="A862" s="50"/>
      <c r="B862" s="50"/>
      <c r="C862" s="5"/>
      <c r="D862" s="48"/>
      <c r="E862" s="50"/>
      <c r="F862" s="5"/>
      <c r="G862" s="5"/>
      <c r="H862" s="5"/>
      <c r="I862" s="5"/>
      <c r="J862" s="5"/>
      <c r="K862" s="50"/>
      <c r="L862" s="50"/>
      <c r="M862" s="50"/>
      <c r="N862" s="50"/>
      <c r="O862" s="50"/>
      <c r="P862" s="50"/>
      <c r="Q862" s="50"/>
      <c r="R862" s="50"/>
      <c r="S862" s="50"/>
      <c r="T862" s="50"/>
      <c r="U862" s="50"/>
      <c r="V862" s="50"/>
      <c r="W862" s="50"/>
      <c r="X862" s="50"/>
      <c r="Y862" s="50"/>
      <c r="Z862" s="50"/>
      <c r="AA862" s="50"/>
      <c r="AB862" s="50"/>
    </row>
    <row r="863" customFormat="false" ht="15.75" hidden="false" customHeight="false" outlineLevel="0" collapsed="false">
      <c r="A863" s="50"/>
      <c r="B863" s="50"/>
      <c r="C863" s="5"/>
      <c r="D863" s="48"/>
      <c r="E863" s="50"/>
      <c r="F863" s="5"/>
      <c r="G863" s="5"/>
      <c r="H863" s="5"/>
      <c r="I863" s="5"/>
      <c r="J863" s="5"/>
      <c r="K863" s="50"/>
      <c r="L863" s="50"/>
      <c r="M863" s="50"/>
      <c r="N863" s="50"/>
      <c r="O863" s="50"/>
      <c r="P863" s="50"/>
      <c r="Q863" s="50"/>
      <c r="R863" s="50"/>
      <c r="S863" s="50"/>
      <c r="T863" s="50"/>
      <c r="U863" s="50"/>
      <c r="V863" s="50"/>
      <c r="W863" s="50"/>
      <c r="X863" s="50"/>
      <c r="Y863" s="50"/>
      <c r="Z863" s="50"/>
      <c r="AA863" s="50"/>
      <c r="AB863" s="50"/>
    </row>
    <row r="864" customFormat="false" ht="15.75" hidden="false" customHeight="false" outlineLevel="0" collapsed="false">
      <c r="A864" s="50"/>
      <c r="B864" s="50"/>
      <c r="C864" s="5"/>
      <c r="D864" s="48"/>
      <c r="E864" s="50"/>
      <c r="F864" s="5"/>
      <c r="G864" s="5"/>
      <c r="H864" s="5"/>
      <c r="I864" s="5"/>
      <c r="J864" s="5"/>
      <c r="K864" s="50"/>
      <c r="L864" s="50"/>
      <c r="M864" s="50"/>
      <c r="N864" s="50"/>
      <c r="O864" s="50"/>
      <c r="P864" s="50"/>
      <c r="Q864" s="50"/>
      <c r="R864" s="50"/>
      <c r="S864" s="50"/>
      <c r="T864" s="50"/>
      <c r="U864" s="50"/>
      <c r="V864" s="50"/>
      <c r="W864" s="50"/>
      <c r="X864" s="50"/>
      <c r="Y864" s="50"/>
      <c r="Z864" s="50"/>
      <c r="AA864" s="50"/>
      <c r="AB864" s="50"/>
    </row>
    <row r="865" customFormat="false" ht="15.75" hidden="false" customHeight="false" outlineLevel="0" collapsed="false">
      <c r="A865" s="50"/>
      <c r="B865" s="50"/>
      <c r="C865" s="5"/>
      <c r="D865" s="48"/>
      <c r="E865" s="50"/>
      <c r="F865" s="5"/>
      <c r="G865" s="5"/>
      <c r="H865" s="5"/>
      <c r="I865" s="5"/>
      <c r="J865" s="5"/>
      <c r="K865" s="50"/>
      <c r="L865" s="50"/>
      <c r="M865" s="50"/>
      <c r="N865" s="50"/>
      <c r="O865" s="50"/>
      <c r="P865" s="50"/>
      <c r="Q865" s="50"/>
      <c r="R865" s="50"/>
      <c r="S865" s="50"/>
      <c r="T865" s="50"/>
      <c r="U865" s="50"/>
      <c r="V865" s="50"/>
      <c r="W865" s="50"/>
      <c r="X865" s="50"/>
      <c r="Y865" s="50"/>
      <c r="Z865" s="50"/>
      <c r="AA865" s="50"/>
      <c r="AB865" s="50"/>
    </row>
    <row r="866" customFormat="false" ht="15.75" hidden="false" customHeight="false" outlineLevel="0" collapsed="false">
      <c r="A866" s="50"/>
      <c r="B866" s="50"/>
      <c r="C866" s="5"/>
      <c r="D866" s="48"/>
      <c r="E866" s="50"/>
      <c r="F866" s="5"/>
      <c r="G866" s="5"/>
      <c r="H866" s="5"/>
      <c r="I866" s="5"/>
      <c r="J866" s="5"/>
      <c r="K866" s="50"/>
      <c r="L866" s="50"/>
      <c r="M866" s="50"/>
      <c r="N866" s="50"/>
      <c r="O866" s="50"/>
      <c r="P866" s="50"/>
      <c r="Q866" s="50"/>
      <c r="R866" s="50"/>
      <c r="S866" s="50"/>
      <c r="T866" s="50"/>
      <c r="U866" s="50"/>
      <c r="V866" s="50"/>
      <c r="W866" s="50"/>
      <c r="X866" s="50"/>
      <c r="Y866" s="50"/>
      <c r="Z866" s="50"/>
      <c r="AA866" s="50"/>
      <c r="AB866" s="50"/>
    </row>
    <row r="867" customFormat="false" ht="15.75" hidden="false" customHeight="false" outlineLevel="0" collapsed="false">
      <c r="A867" s="50"/>
      <c r="B867" s="50"/>
      <c r="C867" s="5"/>
      <c r="D867" s="48"/>
      <c r="E867" s="50"/>
      <c r="F867" s="5"/>
      <c r="G867" s="5"/>
      <c r="H867" s="5"/>
      <c r="I867" s="5"/>
      <c r="J867" s="5"/>
      <c r="K867" s="50"/>
      <c r="L867" s="50"/>
      <c r="M867" s="50"/>
      <c r="N867" s="50"/>
      <c r="O867" s="50"/>
      <c r="P867" s="50"/>
      <c r="Q867" s="50"/>
      <c r="R867" s="50"/>
      <c r="S867" s="50"/>
      <c r="T867" s="50"/>
      <c r="U867" s="50"/>
      <c r="V867" s="50"/>
      <c r="W867" s="50"/>
      <c r="X867" s="50"/>
      <c r="Y867" s="50"/>
      <c r="Z867" s="50"/>
      <c r="AA867" s="50"/>
      <c r="AB867" s="50"/>
    </row>
    <row r="868" customFormat="false" ht="15.75" hidden="false" customHeight="false" outlineLevel="0" collapsed="false">
      <c r="A868" s="50"/>
      <c r="B868" s="50"/>
      <c r="C868" s="5"/>
      <c r="D868" s="48"/>
      <c r="E868" s="50"/>
      <c r="F868" s="5"/>
      <c r="G868" s="5"/>
      <c r="H868" s="5"/>
      <c r="I868" s="5"/>
      <c r="J868" s="5"/>
      <c r="K868" s="50"/>
      <c r="L868" s="50"/>
      <c r="M868" s="50"/>
      <c r="N868" s="50"/>
      <c r="O868" s="50"/>
      <c r="P868" s="50"/>
      <c r="Q868" s="50"/>
      <c r="R868" s="50"/>
      <c r="S868" s="50"/>
      <c r="T868" s="50"/>
      <c r="U868" s="50"/>
      <c r="V868" s="50"/>
      <c r="W868" s="50"/>
      <c r="X868" s="50"/>
      <c r="Y868" s="50"/>
      <c r="Z868" s="50"/>
      <c r="AA868" s="50"/>
      <c r="AB868" s="50"/>
    </row>
    <row r="869" customFormat="false" ht="15.75" hidden="false" customHeight="false" outlineLevel="0" collapsed="false">
      <c r="A869" s="50"/>
      <c r="B869" s="50"/>
      <c r="C869" s="5"/>
      <c r="D869" s="48"/>
      <c r="E869" s="50"/>
      <c r="F869" s="5"/>
      <c r="G869" s="5"/>
      <c r="H869" s="5"/>
      <c r="I869" s="5"/>
      <c r="J869" s="5"/>
      <c r="K869" s="50"/>
      <c r="L869" s="50"/>
      <c r="M869" s="50"/>
      <c r="N869" s="50"/>
      <c r="O869" s="50"/>
      <c r="P869" s="50"/>
      <c r="Q869" s="50"/>
      <c r="R869" s="50"/>
      <c r="S869" s="50"/>
      <c r="T869" s="50"/>
      <c r="U869" s="50"/>
      <c r="V869" s="50"/>
      <c r="W869" s="50"/>
      <c r="X869" s="50"/>
      <c r="Y869" s="50"/>
      <c r="Z869" s="50"/>
      <c r="AA869" s="50"/>
      <c r="AB869" s="50"/>
    </row>
    <row r="870" customFormat="false" ht="15.75" hidden="false" customHeight="false" outlineLevel="0" collapsed="false">
      <c r="A870" s="50"/>
      <c r="B870" s="50"/>
      <c r="C870" s="5"/>
      <c r="D870" s="48"/>
      <c r="E870" s="50"/>
      <c r="F870" s="5"/>
      <c r="G870" s="5"/>
      <c r="H870" s="5"/>
      <c r="I870" s="5"/>
      <c r="J870" s="5"/>
      <c r="K870" s="50"/>
      <c r="L870" s="50"/>
      <c r="M870" s="50"/>
      <c r="N870" s="50"/>
      <c r="O870" s="50"/>
      <c r="P870" s="50"/>
      <c r="Q870" s="50"/>
      <c r="R870" s="50"/>
      <c r="S870" s="50"/>
      <c r="T870" s="50"/>
      <c r="U870" s="50"/>
      <c r="V870" s="50"/>
      <c r="W870" s="50"/>
      <c r="X870" s="50"/>
      <c r="Y870" s="50"/>
      <c r="Z870" s="50"/>
      <c r="AA870" s="50"/>
      <c r="AB870" s="50"/>
    </row>
    <row r="871" customFormat="false" ht="15.75" hidden="false" customHeight="false" outlineLevel="0" collapsed="false">
      <c r="A871" s="50"/>
      <c r="B871" s="50"/>
      <c r="C871" s="5"/>
      <c r="D871" s="48"/>
      <c r="E871" s="50"/>
      <c r="F871" s="5"/>
      <c r="G871" s="5"/>
      <c r="H871" s="5"/>
      <c r="I871" s="5"/>
      <c r="J871" s="5"/>
      <c r="K871" s="50"/>
      <c r="L871" s="50"/>
      <c r="M871" s="50"/>
      <c r="N871" s="50"/>
      <c r="O871" s="50"/>
      <c r="P871" s="50"/>
      <c r="Q871" s="50"/>
      <c r="R871" s="50"/>
      <c r="S871" s="50"/>
      <c r="T871" s="50"/>
      <c r="U871" s="50"/>
      <c r="V871" s="50"/>
      <c r="W871" s="50"/>
      <c r="X871" s="50"/>
      <c r="Y871" s="50"/>
      <c r="Z871" s="50"/>
      <c r="AA871" s="50"/>
      <c r="AB871" s="50"/>
    </row>
    <row r="872" customFormat="false" ht="15.75" hidden="false" customHeight="false" outlineLevel="0" collapsed="false">
      <c r="A872" s="50"/>
      <c r="B872" s="50"/>
      <c r="C872" s="5"/>
      <c r="D872" s="48"/>
      <c r="E872" s="50"/>
      <c r="F872" s="5"/>
      <c r="G872" s="5"/>
      <c r="H872" s="5"/>
      <c r="I872" s="5"/>
      <c r="J872" s="5"/>
      <c r="K872" s="50"/>
      <c r="L872" s="50"/>
      <c r="M872" s="50"/>
      <c r="N872" s="50"/>
      <c r="O872" s="50"/>
      <c r="P872" s="50"/>
      <c r="Q872" s="50"/>
      <c r="R872" s="50"/>
      <c r="S872" s="50"/>
      <c r="T872" s="50"/>
      <c r="U872" s="50"/>
      <c r="V872" s="50"/>
      <c r="W872" s="50"/>
      <c r="X872" s="50"/>
      <c r="Y872" s="50"/>
      <c r="Z872" s="50"/>
      <c r="AA872" s="50"/>
      <c r="AB872" s="50"/>
    </row>
    <row r="873" customFormat="false" ht="15.75" hidden="false" customHeight="false" outlineLevel="0" collapsed="false">
      <c r="A873" s="50"/>
      <c r="B873" s="50"/>
      <c r="C873" s="5"/>
      <c r="D873" s="48"/>
      <c r="E873" s="50"/>
      <c r="F873" s="5"/>
      <c r="G873" s="5"/>
      <c r="H873" s="5"/>
      <c r="I873" s="5"/>
      <c r="J873" s="5"/>
      <c r="K873" s="50"/>
      <c r="L873" s="50"/>
      <c r="M873" s="50"/>
      <c r="N873" s="50"/>
      <c r="O873" s="50"/>
      <c r="P873" s="50"/>
      <c r="Q873" s="50"/>
      <c r="R873" s="50"/>
      <c r="S873" s="50"/>
      <c r="T873" s="50"/>
      <c r="U873" s="50"/>
      <c r="V873" s="50"/>
      <c r="W873" s="50"/>
      <c r="X873" s="50"/>
      <c r="Y873" s="50"/>
      <c r="Z873" s="50"/>
      <c r="AA873" s="50"/>
      <c r="AB873" s="50"/>
    </row>
    <row r="874" customFormat="false" ht="15.75" hidden="false" customHeight="false" outlineLevel="0" collapsed="false">
      <c r="A874" s="50"/>
      <c r="B874" s="50"/>
      <c r="C874" s="5"/>
      <c r="D874" s="48"/>
      <c r="E874" s="50"/>
      <c r="F874" s="5"/>
      <c r="G874" s="5"/>
      <c r="H874" s="5"/>
      <c r="I874" s="5"/>
      <c r="J874" s="5"/>
      <c r="K874" s="50"/>
      <c r="L874" s="50"/>
      <c r="M874" s="50"/>
      <c r="N874" s="50"/>
      <c r="O874" s="50"/>
      <c r="P874" s="50"/>
      <c r="Q874" s="50"/>
      <c r="R874" s="50"/>
      <c r="S874" s="50"/>
      <c r="T874" s="50"/>
      <c r="U874" s="50"/>
      <c r="V874" s="50"/>
      <c r="W874" s="50"/>
      <c r="X874" s="50"/>
      <c r="Y874" s="50"/>
      <c r="Z874" s="50"/>
      <c r="AA874" s="50"/>
      <c r="AB874" s="50"/>
    </row>
    <row r="875" customFormat="false" ht="15.75" hidden="false" customHeight="false" outlineLevel="0" collapsed="false">
      <c r="A875" s="50"/>
      <c r="B875" s="50"/>
      <c r="C875" s="5"/>
      <c r="D875" s="48"/>
      <c r="E875" s="50"/>
      <c r="F875" s="5"/>
      <c r="G875" s="5"/>
      <c r="H875" s="5"/>
      <c r="I875" s="5"/>
      <c r="J875" s="5"/>
      <c r="K875" s="50"/>
      <c r="L875" s="50"/>
      <c r="M875" s="50"/>
      <c r="N875" s="50"/>
      <c r="O875" s="50"/>
      <c r="P875" s="50"/>
      <c r="Q875" s="50"/>
      <c r="R875" s="50"/>
      <c r="S875" s="50"/>
      <c r="T875" s="50"/>
      <c r="U875" s="50"/>
      <c r="V875" s="50"/>
      <c r="W875" s="50"/>
      <c r="X875" s="50"/>
      <c r="Y875" s="50"/>
      <c r="Z875" s="50"/>
      <c r="AA875" s="50"/>
      <c r="AB875" s="50"/>
    </row>
    <row r="876" customFormat="false" ht="15.75" hidden="false" customHeight="false" outlineLevel="0" collapsed="false">
      <c r="A876" s="50"/>
      <c r="B876" s="50"/>
      <c r="C876" s="5"/>
      <c r="D876" s="48"/>
      <c r="E876" s="50"/>
      <c r="F876" s="5"/>
      <c r="G876" s="5"/>
      <c r="H876" s="5"/>
      <c r="I876" s="5"/>
      <c r="J876" s="5"/>
      <c r="K876" s="50"/>
      <c r="L876" s="50"/>
      <c r="M876" s="50"/>
      <c r="N876" s="50"/>
      <c r="O876" s="50"/>
      <c r="P876" s="50"/>
      <c r="Q876" s="50"/>
      <c r="R876" s="50"/>
      <c r="S876" s="50"/>
      <c r="T876" s="50"/>
      <c r="U876" s="50"/>
      <c r="V876" s="50"/>
      <c r="W876" s="50"/>
      <c r="X876" s="50"/>
      <c r="Y876" s="50"/>
      <c r="Z876" s="50"/>
      <c r="AA876" s="50"/>
      <c r="AB876" s="50"/>
    </row>
    <row r="877" customFormat="false" ht="15.75" hidden="false" customHeight="false" outlineLevel="0" collapsed="false">
      <c r="A877" s="50"/>
      <c r="B877" s="50"/>
      <c r="C877" s="5"/>
      <c r="D877" s="48"/>
      <c r="E877" s="50"/>
      <c r="F877" s="5"/>
      <c r="G877" s="5"/>
      <c r="H877" s="5"/>
      <c r="I877" s="5"/>
      <c r="J877" s="5"/>
      <c r="K877" s="50"/>
      <c r="L877" s="50"/>
      <c r="M877" s="50"/>
      <c r="N877" s="50"/>
      <c r="O877" s="50"/>
      <c r="P877" s="50"/>
      <c r="Q877" s="50"/>
      <c r="R877" s="50"/>
      <c r="S877" s="50"/>
      <c r="T877" s="50"/>
      <c r="U877" s="50"/>
      <c r="V877" s="50"/>
      <c r="W877" s="50"/>
      <c r="X877" s="50"/>
      <c r="Y877" s="50"/>
      <c r="Z877" s="50"/>
      <c r="AA877" s="50"/>
      <c r="AB877" s="50"/>
    </row>
    <row r="878" customFormat="false" ht="15.75" hidden="false" customHeight="false" outlineLevel="0" collapsed="false">
      <c r="A878" s="50"/>
      <c r="B878" s="50"/>
      <c r="C878" s="5"/>
      <c r="D878" s="48"/>
      <c r="E878" s="50"/>
      <c r="F878" s="5"/>
      <c r="G878" s="5"/>
      <c r="H878" s="5"/>
      <c r="I878" s="5"/>
      <c r="J878" s="5"/>
      <c r="K878" s="50"/>
      <c r="L878" s="50"/>
      <c r="M878" s="50"/>
      <c r="N878" s="50"/>
      <c r="O878" s="50"/>
      <c r="P878" s="50"/>
      <c r="Q878" s="50"/>
      <c r="R878" s="50"/>
      <c r="S878" s="50"/>
      <c r="T878" s="50"/>
      <c r="U878" s="50"/>
      <c r="V878" s="50"/>
      <c r="W878" s="50"/>
      <c r="X878" s="50"/>
      <c r="Y878" s="50"/>
      <c r="Z878" s="50"/>
      <c r="AA878" s="50"/>
      <c r="AB878" s="50"/>
    </row>
    <row r="879" customFormat="false" ht="15.75" hidden="false" customHeight="false" outlineLevel="0" collapsed="false">
      <c r="A879" s="50"/>
      <c r="B879" s="50"/>
      <c r="C879" s="5"/>
      <c r="D879" s="48"/>
      <c r="E879" s="50"/>
      <c r="F879" s="5"/>
      <c r="G879" s="5"/>
      <c r="H879" s="5"/>
      <c r="I879" s="5"/>
      <c r="J879" s="5"/>
      <c r="K879" s="50"/>
      <c r="L879" s="50"/>
      <c r="M879" s="50"/>
      <c r="N879" s="50"/>
      <c r="O879" s="50"/>
      <c r="P879" s="50"/>
      <c r="Q879" s="50"/>
      <c r="R879" s="50"/>
      <c r="S879" s="50"/>
      <c r="T879" s="50"/>
      <c r="U879" s="50"/>
      <c r="V879" s="50"/>
      <c r="W879" s="50"/>
      <c r="X879" s="50"/>
      <c r="Y879" s="50"/>
      <c r="Z879" s="50"/>
      <c r="AA879" s="50"/>
      <c r="AB879" s="50"/>
    </row>
    <row r="880" customFormat="false" ht="15.75" hidden="false" customHeight="false" outlineLevel="0" collapsed="false">
      <c r="A880" s="50"/>
      <c r="B880" s="50"/>
      <c r="C880" s="5"/>
      <c r="D880" s="48"/>
      <c r="E880" s="50"/>
      <c r="F880" s="5"/>
      <c r="G880" s="5"/>
      <c r="H880" s="5"/>
      <c r="I880" s="5"/>
      <c r="J880" s="5"/>
      <c r="K880" s="50"/>
      <c r="L880" s="50"/>
      <c r="M880" s="50"/>
      <c r="N880" s="50"/>
      <c r="O880" s="50"/>
      <c r="P880" s="50"/>
      <c r="Q880" s="50"/>
      <c r="R880" s="50"/>
      <c r="S880" s="50"/>
      <c r="T880" s="50"/>
      <c r="U880" s="50"/>
      <c r="V880" s="50"/>
      <c r="W880" s="50"/>
      <c r="X880" s="50"/>
      <c r="Y880" s="50"/>
      <c r="Z880" s="50"/>
      <c r="AA880" s="50"/>
      <c r="AB880" s="50"/>
    </row>
    <row r="881" customFormat="false" ht="15.75" hidden="false" customHeight="false" outlineLevel="0" collapsed="false">
      <c r="A881" s="50"/>
      <c r="B881" s="50"/>
      <c r="C881" s="5"/>
      <c r="D881" s="48"/>
      <c r="E881" s="50"/>
      <c r="F881" s="5"/>
      <c r="G881" s="5"/>
      <c r="H881" s="5"/>
      <c r="I881" s="5"/>
      <c r="J881" s="5"/>
      <c r="K881" s="50"/>
      <c r="L881" s="50"/>
      <c r="M881" s="50"/>
      <c r="N881" s="50"/>
      <c r="O881" s="50"/>
      <c r="P881" s="50"/>
      <c r="Q881" s="50"/>
      <c r="R881" s="50"/>
      <c r="S881" s="50"/>
      <c r="T881" s="50"/>
      <c r="U881" s="50"/>
      <c r="V881" s="50"/>
      <c r="W881" s="50"/>
      <c r="X881" s="50"/>
      <c r="Y881" s="50"/>
      <c r="Z881" s="50"/>
      <c r="AA881" s="50"/>
      <c r="AB881" s="50"/>
    </row>
    <row r="882" customFormat="false" ht="15.75" hidden="false" customHeight="false" outlineLevel="0" collapsed="false">
      <c r="A882" s="50"/>
      <c r="B882" s="50"/>
      <c r="C882" s="5"/>
      <c r="D882" s="48"/>
      <c r="E882" s="50"/>
      <c r="F882" s="5"/>
      <c r="G882" s="5"/>
      <c r="H882" s="5"/>
      <c r="I882" s="5"/>
      <c r="J882" s="5"/>
      <c r="K882" s="50"/>
      <c r="L882" s="50"/>
      <c r="M882" s="50"/>
      <c r="N882" s="50"/>
      <c r="O882" s="50"/>
      <c r="P882" s="50"/>
      <c r="Q882" s="50"/>
      <c r="R882" s="50"/>
      <c r="S882" s="50"/>
      <c r="T882" s="50"/>
      <c r="U882" s="50"/>
      <c r="V882" s="50"/>
      <c r="W882" s="50"/>
      <c r="X882" s="50"/>
      <c r="Y882" s="50"/>
      <c r="Z882" s="50"/>
      <c r="AA882" s="50"/>
      <c r="AB882" s="50"/>
    </row>
    <row r="883" customFormat="false" ht="15.75" hidden="false" customHeight="false" outlineLevel="0" collapsed="false">
      <c r="A883" s="50"/>
      <c r="B883" s="50"/>
      <c r="C883" s="5"/>
      <c r="D883" s="48"/>
      <c r="E883" s="50"/>
      <c r="F883" s="5"/>
      <c r="G883" s="5"/>
      <c r="H883" s="5"/>
      <c r="I883" s="5"/>
      <c r="J883" s="5"/>
      <c r="K883" s="50"/>
      <c r="L883" s="50"/>
      <c r="M883" s="50"/>
      <c r="N883" s="50"/>
      <c r="O883" s="50"/>
      <c r="P883" s="50"/>
      <c r="Q883" s="50"/>
      <c r="R883" s="50"/>
      <c r="S883" s="50"/>
      <c r="T883" s="50"/>
      <c r="U883" s="50"/>
      <c r="V883" s="50"/>
      <c r="W883" s="50"/>
      <c r="X883" s="50"/>
      <c r="Y883" s="50"/>
      <c r="Z883" s="50"/>
      <c r="AA883" s="50"/>
      <c r="AB883" s="50"/>
    </row>
    <row r="884" customFormat="false" ht="15.75" hidden="false" customHeight="false" outlineLevel="0" collapsed="false">
      <c r="A884" s="50"/>
      <c r="B884" s="50"/>
      <c r="C884" s="5"/>
      <c r="D884" s="48"/>
      <c r="E884" s="50"/>
      <c r="F884" s="5"/>
      <c r="G884" s="5"/>
      <c r="H884" s="5"/>
      <c r="I884" s="5"/>
      <c r="J884" s="5"/>
      <c r="K884" s="50"/>
      <c r="L884" s="50"/>
      <c r="M884" s="50"/>
      <c r="N884" s="50"/>
      <c r="O884" s="50"/>
      <c r="P884" s="50"/>
      <c r="Q884" s="50"/>
      <c r="R884" s="50"/>
      <c r="S884" s="50"/>
      <c r="T884" s="50"/>
      <c r="U884" s="50"/>
      <c r="V884" s="50"/>
      <c r="W884" s="50"/>
      <c r="X884" s="50"/>
      <c r="Y884" s="50"/>
      <c r="Z884" s="50"/>
      <c r="AA884" s="50"/>
      <c r="AB884" s="50"/>
    </row>
    <row r="885" customFormat="false" ht="15.75" hidden="false" customHeight="false" outlineLevel="0" collapsed="false">
      <c r="A885" s="50"/>
      <c r="B885" s="50"/>
      <c r="C885" s="5"/>
      <c r="D885" s="48"/>
      <c r="E885" s="50"/>
      <c r="F885" s="5"/>
      <c r="G885" s="5"/>
      <c r="H885" s="5"/>
      <c r="I885" s="5"/>
      <c r="J885" s="5"/>
      <c r="K885" s="50"/>
      <c r="L885" s="50"/>
      <c r="M885" s="50"/>
      <c r="N885" s="50"/>
      <c r="O885" s="50"/>
      <c r="P885" s="50"/>
      <c r="Q885" s="50"/>
      <c r="R885" s="50"/>
      <c r="S885" s="50"/>
      <c r="T885" s="50"/>
      <c r="U885" s="50"/>
      <c r="V885" s="50"/>
      <c r="W885" s="50"/>
      <c r="X885" s="50"/>
      <c r="Y885" s="50"/>
      <c r="Z885" s="50"/>
      <c r="AA885" s="50"/>
      <c r="AB885" s="50"/>
    </row>
    <row r="886" customFormat="false" ht="15.75" hidden="false" customHeight="false" outlineLevel="0" collapsed="false">
      <c r="A886" s="50"/>
      <c r="B886" s="50"/>
      <c r="C886" s="5"/>
      <c r="D886" s="48"/>
      <c r="E886" s="50"/>
      <c r="F886" s="5"/>
      <c r="G886" s="5"/>
      <c r="H886" s="5"/>
      <c r="I886" s="5"/>
      <c r="J886" s="5"/>
      <c r="K886" s="50"/>
      <c r="L886" s="50"/>
      <c r="M886" s="50"/>
      <c r="N886" s="50"/>
      <c r="O886" s="50"/>
      <c r="P886" s="50"/>
      <c r="Q886" s="50"/>
      <c r="R886" s="50"/>
      <c r="S886" s="50"/>
      <c r="T886" s="50"/>
      <c r="U886" s="50"/>
      <c r="V886" s="50"/>
      <c r="W886" s="50"/>
      <c r="X886" s="50"/>
      <c r="Y886" s="50"/>
      <c r="Z886" s="50"/>
      <c r="AA886" s="50"/>
      <c r="AB886" s="50"/>
    </row>
    <row r="887" customFormat="false" ht="15.75" hidden="false" customHeight="false" outlineLevel="0" collapsed="false">
      <c r="A887" s="50"/>
      <c r="B887" s="50"/>
      <c r="C887" s="5"/>
      <c r="D887" s="48"/>
      <c r="E887" s="50"/>
      <c r="F887" s="5"/>
      <c r="G887" s="5"/>
      <c r="H887" s="5"/>
      <c r="I887" s="5"/>
      <c r="J887" s="5"/>
      <c r="K887" s="50"/>
      <c r="L887" s="50"/>
      <c r="M887" s="50"/>
      <c r="N887" s="50"/>
      <c r="O887" s="50"/>
      <c r="P887" s="50"/>
      <c r="Q887" s="50"/>
      <c r="R887" s="50"/>
      <c r="S887" s="50"/>
      <c r="T887" s="50"/>
      <c r="U887" s="50"/>
      <c r="V887" s="50"/>
      <c r="W887" s="50"/>
      <c r="X887" s="50"/>
      <c r="Y887" s="50"/>
      <c r="Z887" s="50"/>
      <c r="AA887" s="50"/>
      <c r="AB887" s="50"/>
    </row>
    <row r="888" customFormat="false" ht="15.75" hidden="false" customHeight="false" outlineLevel="0" collapsed="false">
      <c r="A888" s="50"/>
      <c r="B888" s="50"/>
      <c r="C888" s="5"/>
      <c r="D888" s="48"/>
      <c r="E888" s="50"/>
      <c r="F888" s="5"/>
      <c r="G888" s="5"/>
      <c r="H888" s="5"/>
      <c r="I888" s="5"/>
      <c r="J888" s="5"/>
      <c r="K888" s="50"/>
      <c r="L888" s="50"/>
      <c r="M888" s="50"/>
      <c r="N888" s="50"/>
      <c r="O888" s="50"/>
      <c r="P888" s="50"/>
      <c r="Q888" s="50"/>
      <c r="R888" s="50"/>
      <c r="S888" s="50"/>
      <c r="T888" s="50"/>
      <c r="U888" s="50"/>
      <c r="V888" s="50"/>
      <c r="W888" s="50"/>
      <c r="X888" s="50"/>
      <c r="Y888" s="50"/>
      <c r="Z888" s="50"/>
      <c r="AA888" s="50"/>
      <c r="AB888" s="50"/>
    </row>
    <row r="889" customFormat="false" ht="15.75" hidden="false" customHeight="false" outlineLevel="0" collapsed="false">
      <c r="A889" s="50"/>
      <c r="B889" s="50"/>
      <c r="C889" s="5"/>
      <c r="D889" s="48"/>
      <c r="E889" s="50"/>
      <c r="F889" s="5"/>
      <c r="G889" s="5"/>
      <c r="H889" s="5"/>
      <c r="I889" s="5"/>
      <c r="J889" s="5"/>
      <c r="K889" s="50"/>
      <c r="L889" s="50"/>
      <c r="M889" s="50"/>
      <c r="N889" s="50"/>
      <c r="O889" s="50"/>
      <c r="P889" s="50"/>
      <c r="Q889" s="50"/>
      <c r="R889" s="50"/>
      <c r="S889" s="50"/>
      <c r="T889" s="50"/>
      <c r="U889" s="50"/>
      <c r="V889" s="50"/>
      <c r="W889" s="50"/>
      <c r="X889" s="50"/>
      <c r="Y889" s="50"/>
      <c r="Z889" s="50"/>
      <c r="AA889" s="50"/>
      <c r="AB889" s="50"/>
    </row>
    <row r="890" customFormat="false" ht="15.75" hidden="false" customHeight="false" outlineLevel="0" collapsed="false">
      <c r="A890" s="50"/>
      <c r="B890" s="50"/>
      <c r="C890" s="5"/>
      <c r="D890" s="48"/>
      <c r="E890" s="50"/>
      <c r="F890" s="5"/>
      <c r="G890" s="5"/>
      <c r="H890" s="5"/>
      <c r="I890" s="5"/>
      <c r="J890" s="5"/>
      <c r="K890" s="50"/>
      <c r="L890" s="50"/>
      <c r="M890" s="50"/>
      <c r="N890" s="50"/>
      <c r="O890" s="50"/>
      <c r="P890" s="50"/>
      <c r="Q890" s="50"/>
      <c r="R890" s="50"/>
      <c r="S890" s="50"/>
      <c r="T890" s="50"/>
      <c r="U890" s="50"/>
      <c r="V890" s="50"/>
      <c r="W890" s="50"/>
      <c r="X890" s="50"/>
      <c r="Y890" s="50"/>
      <c r="Z890" s="50"/>
      <c r="AA890" s="50"/>
      <c r="AB890" s="50"/>
    </row>
    <row r="891" customFormat="false" ht="15.75" hidden="false" customHeight="false" outlineLevel="0" collapsed="false">
      <c r="A891" s="50"/>
      <c r="B891" s="50"/>
      <c r="C891" s="5"/>
      <c r="D891" s="48"/>
      <c r="E891" s="50"/>
      <c r="F891" s="5"/>
      <c r="G891" s="5"/>
      <c r="H891" s="5"/>
      <c r="I891" s="5"/>
      <c r="J891" s="5"/>
      <c r="K891" s="50"/>
      <c r="L891" s="50"/>
      <c r="M891" s="50"/>
      <c r="N891" s="50"/>
      <c r="O891" s="50"/>
      <c r="P891" s="50"/>
      <c r="Q891" s="50"/>
      <c r="R891" s="50"/>
      <c r="S891" s="50"/>
      <c r="T891" s="50"/>
      <c r="U891" s="50"/>
      <c r="V891" s="50"/>
      <c r="W891" s="50"/>
      <c r="X891" s="50"/>
      <c r="Y891" s="50"/>
      <c r="Z891" s="50"/>
      <c r="AA891" s="50"/>
      <c r="AB891" s="50"/>
    </row>
    <row r="892" customFormat="false" ht="15.75" hidden="false" customHeight="false" outlineLevel="0" collapsed="false">
      <c r="A892" s="50"/>
      <c r="B892" s="50"/>
      <c r="C892" s="5"/>
      <c r="D892" s="48"/>
      <c r="E892" s="50"/>
      <c r="F892" s="5"/>
      <c r="G892" s="5"/>
      <c r="H892" s="5"/>
      <c r="I892" s="5"/>
      <c r="J892" s="5"/>
      <c r="K892" s="50"/>
      <c r="L892" s="50"/>
      <c r="M892" s="50"/>
      <c r="N892" s="50"/>
      <c r="O892" s="50"/>
      <c r="P892" s="50"/>
      <c r="Q892" s="50"/>
      <c r="R892" s="50"/>
      <c r="S892" s="50"/>
      <c r="T892" s="50"/>
      <c r="U892" s="50"/>
      <c r="V892" s="50"/>
      <c r="W892" s="50"/>
      <c r="X892" s="50"/>
      <c r="Y892" s="50"/>
      <c r="Z892" s="50"/>
      <c r="AA892" s="50"/>
      <c r="AB892" s="50"/>
    </row>
    <row r="893" customFormat="false" ht="15.75" hidden="false" customHeight="false" outlineLevel="0" collapsed="false">
      <c r="A893" s="50"/>
      <c r="B893" s="50"/>
      <c r="C893" s="5"/>
      <c r="D893" s="48"/>
      <c r="E893" s="50"/>
      <c r="F893" s="5"/>
      <c r="G893" s="5"/>
      <c r="H893" s="5"/>
      <c r="I893" s="5"/>
      <c r="J893" s="5"/>
      <c r="K893" s="50"/>
      <c r="L893" s="50"/>
      <c r="M893" s="50"/>
      <c r="N893" s="50"/>
      <c r="O893" s="50"/>
      <c r="P893" s="50"/>
      <c r="Q893" s="50"/>
      <c r="R893" s="50"/>
      <c r="S893" s="50"/>
      <c r="T893" s="50"/>
      <c r="U893" s="50"/>
      <c r="V893" s="50"/>
      <c r="W893" s="50"/>
      <c r="X893" s="50"/>
      <c r="Y893" s="50"/>
      <c r="Z893" s="50"/>
      <c r="AA893" s="50"/>
      <c r="AB893" s="50"/>
    </row>
    <row r="894" customFormat="false" ht="15.75" hidden="false" customHeight="false" outlineLevel="0" collapsed="false">
      <c r="A894" s="50"/>
      <c r="B894" s="50"/>
      <c r="C894" s="5"/>
      <c r="D894" s="48"/>
      <c r="E894" s="50"/>
      <c r="F894" s="5"/>
      <c r="G894" s="5"/>
      <c r="H894" s="5"/>
      <c r="I894" s="5"/>
      <c r="J894" s="5"/>
      <c r="K894" s="50"/>
      <c r="L894" s="50"/>
      <c r="M894" s="50"/>
      <c r="N894" s="50"/>
      <c r="O894" s="50"/>
      <c r="P894" s="50"/>
      <c r="Q894" s="50"/>
      <c r="R894" s="50"/>
      <c r="S894" s="50"/>
      <c r="T894" s="50"/>
      <c r="U894" s="50"/>
      <c r="V894" s="50"/>
      <c r="W894" s="50"/>
      <c r="X894" s="50"/>
      <c r="Y894" s="50"/>
      <c r="Z894" s="50"/>
      <c r="AA894" s="50"/>
      <c r="AB894" s="50"/>
    </row>
    <row r="895" customFormat="false" ht="15.75" hidden="false" customHeight="false" outlineLevel="0" collapsed="false">
      <c r="A895" s="50"/>
      <c r="B895" s="50"/>
      <c r="C895" s="5"/>
      <c r="D895" s="48"/>
      <c r="E895" s="50"/>
      <c r="F895" s="5"/>
      <c r="G895" s="5"/>
      <c r="H895" s="5"/>
      <c r="I895" s="5"/>
      <c r="J895" s="5"/>
      <c r="K895" s="50"/>
      <c r="L895" s="50"/>
      <c r="M895" s="50"/>
      <c r="N895" s="50"/>
      <c r="O895" s="50"/>
      <c r="P895" s="50"/>
      <c r="Q895" s="50"/>
      <c r="R895" s="50"/>
      <c r="S895" s="50"/>
      <c r="T895" s="50"/>
      <c r="U895" s="50"/>
      <c r="V895" s="50"/>
      <c r="W895" s="50"/>
      <c r="X895" s="50"/>
      <c r="Y895" s="50"/>
      <c r="Z895" s="50"/>
      <c r="AA895" s="50"/>
      <c r="AB895" s="50"/>
    </row>
    <row r="896" customFormat="false" ht="15.75" hidden="false" customHeight="false" outlineLevel="0" collapsed="false">
      <c r="A896" s="50"/>
      <c r="B896" s="50"/>
      <c r="C896" s="5"/>
      <c r="D896" s="48"/>
      <c r="E896" s="50"/>
      <c r="F896" s="5"/>
      <c r="G896" s="5"/>
      <c r="H896" s="5"/>
      <c r="I896" s="5"/>
      <c r="J896" s="5"/>
      <c r="K896" s="50"/>
      <c r="L896" s="50"/>
      <c r="M896" s="50"/>
      <c r="N896" s="50"/>
      <c r="O896" s="50"/>
      <c r="P896" s="50"/>
      <c r="Q896" s="50"/>
      <c r="R896" s="50"/>
      <c r="S896" s="50"/>
      <c r="T896" s="50"/>
      <c r="U896" s="50"/>
      <c r="V896" s="50"/>
      <c r="W896" s="50"/>
      <c r="X896" s="50"/>
      <c r="Y896" s="50"/>
      <c r="Z896" s="50"/>
      <c r="AA896" s="50"/>
      <c r="AB896" s="50"/>
    </row>
    <row r="897" customFormat="false" ht="15.75" hidden="false" customHeight="false" outlineLevel="0" collapsed="false">
      <c r="A897" s="50"/>
      <c r="B897" s="50"/>
      <c r="C897" s="5"/>
      <c r="D897" s="48"/>
      <c r="E897" s="50"/>
      <c r="F897" s="5"/>
      <c r="G897" s="5"/>
      <c r="H897" s="5"/>
      <c r="I897" s="5"/>
      <c r="J897" s="5"/>
      <c r="K897" s="50"/>
      <c r="L897" s="50"/>
      <c r="M897" s="50"/>
      <c r="N897" s="50"/>
      <c r="O897" s="50"/>
      <c r="P897" s="50"/>
      <c r="Q897" s="50"/>
      <c r="R897" s="50"/>
      <c r="S897" s="50"/>
      <c r="T897" s="50"/>
      <c r="U897" s="50"/>
      <c r="V897" s="50"/>
      <c r="W897" s="50"/>
      <c r="X897" s="50"/>
      <c r="Y897" s="50"/>
      <c r="Z897" s="50"/>
      <c r="AA897" s="50"/>
      <c r="AB897" s="50"/>
    </row>
    <row r="898" customFormat="false" ht="15.75" hidden="false" customHeight="false" outlineLevel="0" collapsed="false">
      <c r="A898" s="50"/>
      <c r="B898" s="50"/>
      <c r="C898" s="5"/>
      <c r="D898" s="48"/>
      <c r="E898" s="50"/>
      <c r="F898" s="5"/>
      <c r="G898" s="5"/>
      <c r="H898" s="5"/>
      <c r="I898" s="5"/>
      <c r="J898" s="5"/>
      <c r="K898" s="50"/>
      <c r="L898" s="50"/>
      <c r="M898" s="50"/>
      <c r="N898" s="50"/>
      <c r="O898" s="50"/>
      <c r="P898" s="50"/>
      <c r="Q898" s="50"/>
      <c r="R898" s="50"/>
      <c r="S898" s="50"/>
      <c r="T898" s="50"/>
      <c r="U898" s="50"/>
      <c r="V898" s="50"/>
      <c r="W898" s="50"/>
      <c r="X898" s="50"/>
      <c r="Y898" s="50"/>
      <c r="Z898" s="50"/>
      <c r="AA898" s="50"/>
      <c r="AB898" s="50"/>
    </row>
    <row r="899" customFormat="false" ht="15.75" hidden="false" customHeight="false" outlineLevel="0" collapsed="false">
      <c r="A899" s="50"/>
      <c r="B899" s="50"/>
      <c r="C899" s="5"/>
      <c r="D899" s="48"/>
      <c r="E899" s="50"/>
      <c r="F899" s="5"/>
      <c r="G899" s="5"/>
      <c r="H899" s="5"/>
      <c r="I899" s="5"/>
      <c r="J899" s="5"/>
      <c r="K899" s="50"/>
      <c r="L899" s="50"/>
      <c r="M899" s="50"/>
      <c r="N899" s="50"/>
      <c r="O899" s="50"/>
      <c r="P899" s="50"/>
      <c r="Q899" s="50"/>
      <c r="R899" s="50"/>
      <c r="S899" s="50"/>
      <c r="T899" s="50"/>
      <c r="U899" s="50"/>
      <c r="V899" s="50"/>
      <c r="W899" s="50"/>
      <c r="X899" s="50"/>
      <c r="Y899" s="50"/>
      <c r="Z899" s="50"/>
      <c r="AA899" s="50"/>
      <c r="AB899" s="50"/>
    </row>
    <row r="900" customFormat="false" ht="15.75" hidden="false" customHeight="false" outlineLevel="0" collapsed="false">
      <c r="A900" s="50"/>
      <c r="B900" s="50"/>
      <c r="C900" s="5"/>
      <c r="D900" s="48"/>
      <c r="E900" s="50"/>
      <c r="F900" s="5"/>
      <c r="G900" s="5"/>
      <c r="H900" s="5"/>
      <c r="I900" s="5"/>
      <c r="J900" s="5"/>
      <c r="K900" s="50"/>
      <c r="L900" s="50"/>
      <c r="M900" s="50"/>
      <c r="N900" s="50"/>
      <c r="O900" s="50"/>
      <c r="P900" s="50"/>
      <c r="Q900" s="50"/>
      <c r="R900" s="50"/>
      <c r="S900" s="50"/>
      <c r="T900" s="50"/>
      <c r="U900" s="50"/>
      <c r="V900" s="50"/>
      <c r="W900" s="50"/>
      <c r="X900" s="50"/>
      <c r="Y900" s="50"/>
      <c r="Z900" s="50"/>
      <c r="AA900" s="50"/>
      <c r="AB900" s="50"/>
    </row>
    <row r="901" customFormat="false" ht="15.75" hidden="false" customHeight="false" outlineLevel="0" collapsed="false">
      <c r="A901" s="50"/>
      <c r="B901" s="50"/>
      <c r="C901" s="5"/>
      <c r="D901" s="48"/>
      <c r="E901" s="50"/>
      <c r="F901" s="5"/>
      <c r="G901" s="5"/>
      <c r="H901" s="5"/>
      <c r="I901" s="5"/>
      <c r="J901" s="5"/>
      <c r="K901" s="50"/>
      <c r="L901" s="50"/>
      <c r="M901" s="50"/>
      <c r="N901" s="50"/>
      <c r="O901" s="50"/>
      <c r="P901" s="50"/>
      <c r="Q901" s="50"/>
      <c r="R901" s="50"/>
      <c r="S901" s="50"/>
      <c r="T901" s="50"/>
      <c r="U901" s="50"/>
      <c r="V901" s="50"/>
      <c r="W901" s="50"/>
      <c r="X901" s="50"/>
      <c r="Y901" s="50"/>
      <c r="Z901" s="50"/>
      <c r="AA901" s="50"/>
      <c r="AB901" s="50"/>
    </row>
    <row r="902" customFormat="false" ht="15.75" hidden="false" customHeight="false" outlineLevel="0" collapsed="false">
      <c r="A902" s="50"/>
      <c r="B902" s="50"/>
      <c r="C902" s="5"/>
      <c r="D902" s="48"/>
      <c r="E902" s="50"/>
      <c r="F902" s="5"/>
      <c r="G902" s="5"/>
      <c r="H902" s="5"/>
      <c r="I902" s="5"/>
      <c r="J902" s="5"/>
      <c r="K902" s="50"/>
      <c r="L902" s="50"/>
      <c r="M902" s="50"/>
      <c r="N902" s="50"/>
      <c r="O902" s="50"/>
      <c r="P902" s="50"/>
      <c r="Q902" s="50"/>
      <c r="R902" s="50"/>
      <c r="S902" s="50"/>
      <c r="T902" s="50"/>
      <c r="U902" s="50"/>
      <c r="V902" s="50"/>
      <c r="W902" s="50"/>
      <c r="X902" s="50"/>
      <c r="Y902" s="50"/>
      <c r="Z902" s="50"/>
      <c r="AA902" s="50"/>
      <c r="AB902" s="50"/>
    </row>
    <row r="903" customFormat="false" ht="15.75" hidden="false" customHeight="false" outlineLevel="0" collapsed="false">
      <c r="A903" s="50"/>
      <c r="B903" s="50"/>
      <c r="C903" s="5"/>
      <c r="D903" s="48"/>
      <c r="E903" s="50"/>
      <c r="F903" s="5"/>
      <c r="G903" s="5"/>
      <c r="H903" s="5"/>
      <c r="I903" s="5"/>
      <c r="J903" s="5"/>
      <c r="K903" s="50"/>
      <c r="L903" s="50"/>
      <c r="M903" s="50"/>
      <c r="N903" s="50"/>
      <c r="O903" s="50"/>
      <c r="P903" s="50"/>
      <c r="Q903" s="50"/>
      <c r="R903" s="50"/>
      <c r="S903" s="50"/>
      <c r="T903" s="50"/>
      <c r="U903" s="50"/>
      <c r="V903" s="50"/>
      <c r="W903" s="50"/>
      <c r="X903" s="50"/>
      <c r="Y903" s="50"/>
      <c r="Z903" s="50"/>
      <c r="AA903" s="50"/>
      <c r="AB903" s="50"/>
    </row>
    <row r="904" customFormat="false" ht="15.75" hidden="false" customHeight="false" outlineLevel="0" collapsed="false">
      <c r="A904" s="50"/>
      <c r="B904" s="50"/>
      <c r="C904" s="5"/>
      <c r="D904" s="48"/>
      <c r="E904" s="50"/>
      <c r="F904" s="5"/>
      <c r="G904" s="5"/>
      <c r="H904" s="5"/>
      <c r="I904" s="5"/>
      <c r="J904" s="5"/>
      <c r="K904" s="50"/>
      <c r="L904" s="50"/>
      <c r="M904" s="50"/>
      <c r="N904" s="50"/>
      <c r="O904" s="50"/>
      <c r="P904" s="50"/>
      <c r="Q904" s="50"/>
      <c r="R904" s="50"/>
      <c r="S904" s="50"/>
      <c r="T904" s="50"/>
      <c r="U904" s="50"/>
      <c r="V904" s="50"/>
      <c r="W904" s="50"/>
      <c r="X904" s="50"/>
      <c r="Y904" s="50"/>
      <c r="Z904" s="50"/>
      <c r="AA904" s="50"/>
      <c r="AB904" s="50"/>
    </row>
    <row r="905" customFormat="false" ht="15.75" hidden="false" customHeight="false" outlineLevel="0" collapsed="false">
      <c r="A905" s="50"/>
      <c r="B905" s="50"/>
      <c r="C905" s="5"/>
      <c r="D905" s="48"/>
      <c r="E905" s="50"/>
      <c r="F905" s="5"/>
      <c r="G905" s="5"/>
      <c r="H905" s="5"/>
      <c r="I905" s="5"/>
      <c r="J905" s="5"/>
      <c r="K905" s="50"/>
      <c r="L905" s="50"/>
      <c r="M905" s="50"/>
      <c r="N905" s="50"/>
      <c r="O905" s="50"/>
      <c r="P905" s="50"/>
      <c r="Q905" s="50"/>
      <c r="R905" s="50"/>
      <c r="S905" s="50"/>
      <c r="T905" s="50"/>
      <c r="U905" s="50"/>
      <c r="V905" s="50"/>
      <c r="W905" s="50"/>
      <c r="X905" s="50"/>
      <c r="Y905" s="50"/>
      <c r="Z905" s="50"/>
      <c r="AA905" s="50"/>
      <c r="AB905" s="50"/>
    </row>
    <row r="906" customFormat="false" ht="15.75" hidden="false" customHeight="false" outlineLevel="0" collapsed="false">
      <c r="A906" s="50"/>
      <c r="B906" s="50"/>
      <c r="C906" s="5"/>
      <c r="D906" s="48"/>
      <c r="E906" s="50"/>
      <c r="F906" s="5"/>
      <c r="G906" s="5"/>
      <c r="H906" s="5"/>
      <c r="I906" s="5"/>
      <c r="J906" s="5"/>
      <c r="K906" s="50"/>
      <c r="L906" s="50"/>
      <c r="M906" s="50"/>
      <c r="N906" s="50"/>
      <c r="O906" s="50"/>
      <c r="P906" s="50"/>
      <c r="Q906" s="50"/>
      <c r="R906" s="50"/>
      <c r="S906" s="50"/>
      <c r="T906" s="50"/>
      <c r="U906" s="50"/>
      <c r="V906" s="50"/>
      <c r="W906" s="50"/>
      <c r="X906" s="50"/>
      <c r="Y906" s="50"/>
      <c r="Z906" s="50"/>
      <c r="AA906" s="50"/>
      <c r="AB906" s="50"/>
    </row>
    <row r="907" customFormat="false" ht="15.75" hidden="false" customHeight="false" outlineLevel="0" collapsed="false">
      <c r="A907" s="50"/>
      <c r="B907" s="50"/>
      <c r="C907" s="5"/>
      <c r="D907" s="48"/>
      <c r="E907" s="50"/>
      <c r="F907" s="5"/>
      <c r="G907" s="5"/>
      <c r="H907" s="5"/>
      <c r="I907" s="5"/>
      <c r="J907" s="5"/>
      <c r="K907" s="50"/>
      <c r="L907" s="50"/>
      <c r="M907" s="50"/>
      <c r="N907" s="50"/>
      <c r="O907" s="50"/>
      <c r="P907" s="50"/>
      <c r="Q907" s="50"/>
      <c r="R907" s="50"/>
      <c r="S907" s="50"/>
      <c r="T907" s="50"/>
      <c r="U907" s="50"/>
      <c r="V907" s="50"/>
      <c r="W907" s="50"/>
      <c r="X907" s="50"/>
      <c r="Y907" s="50"/>
      <c r="Z907" s="50"/>
      <c r="AA907" s="50"/>
      <c r="AB907" s="50"/>
    </row>
    <row r="908" customFormat="false" ht="15.75" hidden="false" customHeight="false" outlineLevel="0" collapsed="false">
      <c r="A908" s="50"/>
      <c r="B908" s="50"/>
      <c r="C908" s="5"/>
      <c r="D908" s="48"/>
      <c r="E908" s="50"/>
      <c r="F908" s="5"/>
      <c r="G908" s="5"/>
      <c r="H908" s="5"/>
      <c r="I908" s="5"/>
      <c r="J908" s="5"/>
      <c r="K908" s="50"/>
      <c r="L908" s="50"/>
      <c r="M908" s="50"/>
      <c r="N908" s="50"/>
      <c r="O908" s="50"/>
      <c r="P908" s="50"/>
      <c r="Q908" s="50"/>
      <c r="R908" s="50"/>
      <c r="S908" s="50"/>
      <c r="T908" s="50"/>
      <c r="U908" s="50"/>
      <c r="V908" s="50"/>
      <c r="W908" s="50"/>
      <c r="X908" s="50"/>
      <c r="Y908" s="50"/>
      <c r="Z908" s="50"/>
      <c r="AA908" s="50"/>
      <c r="AB908" s="50"/>
    </row>
    <row r="909" customFormat="false" ht="15.75" hidden="false" customHeight="false" outlineLevel="0" collapsed="false">
      <c r="A909" s="50"/>
      <c r="B909" s="50"/>
      <c r="C909" s="5"/>
      <c r="D909" s="48"/>
      <c r="E909" s="50"/>
      <c r="F909" s="5"/>
      <c r="G909" s="5"/>
      <c r="H909" s="5"/>
      <c r="I909" s="5"/>
      <c r="J909" s="5"/>
      <c r="K909" s="50"/>
      <c r="L909" s="50"/>
      <c r="M909" s="50"/>
      <c r="N909" s="50"/>
      <c r="O909" s="50"/>
      <c r="P909" s="50"/>
      <c r="Q909" s="50"/>
      <c r="R909" s="50"/>
      <c r="S909" s="50"/>
      <c r="T909" s="50"/>
      <c r="U909" s="50"/>
      <c r="V909" s="50"/>
      <c r="W909" s="50"/>
      <c r="X909" s="50"/>
      <c r="Y909" s="50"/>
      <c r="Z909" s="50"/>
      <c r="AA909" s="50"/>
      <c r="AB909" s="50"/>
    </row>
    <row r="910" customFormat="false" ht="15.75" hidden="false" customHeight="false" outlineLevel="0" collapsed="false">
      <c r="A910" s="50"/>
      <c r="B910" s="50"/>
      <c r="C910" s="5"/>
      <c r="D910" s="48"/>
      <c r="E910" s="50"/>
      <c r="F910" s="5"/>
      <c r="G910" s="5"/>
      <c r="H910" s="5"/>
      <c r="I910" s="5"/>
      <c r="J910" s="5"/>
      <c r="K910" s="50"/>
      <c r="L910" s="50"/>
      <c r="M910" s="50"/>
      <c r="N910" s="50"/>
      <c r="O910" s="50"/>
      <c r="P910" s="50"/>
      <c r="Q910" s="50"/>
      <c r="R910" s="50"/>
      <c r="S910" s="50"/>
      <c r="T910" s="50"/>
      <c r="U910" s="50"/>
      <c r="V910" s="50"/>
      <c r="W910" s="50"/>
      <c r="X910" s="50"/>
      <c r="Y910" s="50"/>
      <c r="Z910" s="50"/>
      <c r="AA910" s="50"/>
      <c r="AB910" s="50"/>
    </row>
    <row r="911" customFormat="false" ht="15.75" hidden="false" customHeight="false" outlineLevel="0" collapsed="false">
      <c r="A911" s="50"/>
      <c r="B911" s="50"/>
      <c r="C911" s="5"/>
      <c r="D911" s="48"/>
      <c r="E911" s="50"/>
      <c r="F911" s="5"/>
      <c r="G911" s="5"/>
      <c r="H911" s="5"/>
      <c r="I911" s="5"/>
      <c r="J911" s="5"/>
      <c r="K911" s="50"/>
      <c r="L911" s="50"/>
      <c r="M911" s="50"/>
      <c r="N911" s="50"/>
      <c r="O911" s="50"/>
      <c r="P911" s="50"/>
      <c r="Q911" s="50"/>
      <c r="R911" s="50"/>
      <c r="S911" s="50"/>
      <c r="T911" s="50"/>
      <c r="U911" s="50"/>
      <c r="V911" s="50"/>
      <c r="W911" s="50"/>
      <c r="X911" s="50"/>
      <c r="Y911" s="50"/>
      <c r="Z911" s="50"/>
      <c r="AA911" s="50"/>
      <c r="AB911" s="50"/>
    </row>
    <row r="912" customFormat="false" ht="15.75" hidden="false" customHeight="false" outlineLevel="0" collapsed="false">
      <c r="A912" s="50"/>
      <c r="B912" s="50"/>
      <c r="C912" s="5"/>
      <c r="D912" s="48"/>
      <c r="E912" s="50"/>
      <c r="F912" s="5"/>
      <c r="G912" s="5"/>
      <c r="H912" s="5"/>
      <c r="I912" s="5"/>
      <c r="J912" s="5"/>
      <c r="K912" s="50"/>
      <c r="L912" s="50"/>
      <c r="M912" s="50"/>
      <c r="N912" s="50"/>
      <c r="O912" s="50"/>
      <c r="P912" s="50"/>
      <c r="Q912" s="50"/>
      <c r="R912" s="50"/>
      <c r="S912" s="50"/>
      <c r="T912" s="50"/>
      <c r="U912" s="50"/>
      <c r="V912" s="50"/>
      <c r="W912" s="50"/>
      <c r="X912" s="50"/>
      <c r="Y912" s="50"/>
      <c r="Z912" s="50"/>
      <c r="AA912" s="50"/>
      <c r="AB912" s="50"/>
    </row>
    <row r="913" customFormat="false" ht="15.75" hidden="false" customHeight="false" outlineLevel="0" collapsed="false">
      <c r="A913" s="50"/>
      <c r="B913" s="50"/>
      <c r="C913" s="5"/>
      <c r="D913" s="48"/>
      <c r="E913" s="50"/>
      <c r="F913" s="5"/>
      <c r="G913" s="5"/>
      <c r="H913" s="5"/>
      <c r="I913" s="5"/>
      <c r="J913" s="5"/>
      <c r="K913" s="50"/>
      <c r="L913" s="50"/>
      <c r="M913" s="50"/>
      <c r="N913" s="50"/>
      <c r="O913" s="50"/>
      <c r="P913" s="50"/>
      <c r="Q913" s="50"/>
      <c r="R913" s="50"/>
      <c r="S913" s="50"/>
      <c r="T913" s="50"/>
      <c r="U913" s="50"/>
      <c r="V913" s="50"/>
      <c r="W913" s="50"/>
      <c r="X913" s="50"/>
      <c r="Y913" s="50"/>
      <c r="Z913" s="50"/>
      <c r="AA913" s="50"/>
      <c r="AB913" s="50"/>
    </row>
    <row r="914" customFormat="false" ht="15.75" hidden="false" customHeight="false" outlineLevel="0" collapsed="false">
      <c r="A914" s="50"/>
      <c r="B914" s="50"/>
      <c r="C914" s="5"/>
      <c r="D914" s="48"/>
      <c r="E914" s="50"/>
      <c r="F914" s="5"/>
      <c r="G914" s="5"/>
      <c r="H914" s="5"/>
      <c r="I914" s="5"/>
      <c r="J914" s="5"/>
      <c r="K914" s="50"/>
      <c r="L914" s="50"/>
      <c r="M914" s="50"/>
      <c r="N914" s="50"/>
      <c r="O914" s="50"/>
      <c r="P914" s="50"/>
      <c r="Q914" s="50"/>
      <c r="R914" s="50"/>
      <c r="S914" s="50"/>
      <c r="T914" s="50"/>
      <c r="U914" s="50"/>
      <c r="V914" s="50"/>
      <c r="W914" s="50"/>
      <c r="X914" s="50"/>
      <c r="Y914" s="50"/>
      <c r="Z914" s="50"/>
      <c r="AA914" s="50"/>
      <c r="AB914" s="50"/>
    </row>
    <row r="915" customFormat="false" ht="15.75" hidden="false" customHeight="false" outlineLevel="0" collapsed="false">
      <c r="A915" s="50"/>
      <c r="B915" s="50"/>
      <c r="C915" s="5"/>
      <c r="D915" s="48"/>
      <c r="E915" s="50"/>
      <c r="F915" s="5"/>
      <c r="G915" s="5"/>
      <c r="H915" s="5"/>
      <c r="I915" s="5"/>
      <c r="J915" s="5"/>
      <c r="K915" s="50"/>
      <c r="L915" s="50"/>
      <c r="M915" s="50"/>
      <c r="N915" s="50"/>
      <c r="O915" s="50"/>
      <c r="P915" s="50"/>
      <c r="Q915" s="50"/>
      <c r="R915" s="50"/>
      <c r="S915" s="50"/>
      <c r="T915" s="50"/>
      <c r="U915" s="50"/>
      <c r="V915" s="50"/>
      <c r="W915" s="50"/>
      <c r="X915" s="50"/>
      <c r="Y915" s="50"/>
      <c r="Z915" s="50"/>
      <c r="AA915" s="50"/>
      <c r="AB915" s="50"/>
    </row>
    <row r="916" customFormat="false" ht="15.75" hidden="false" customHeight="false" outlineLevel="0" collapsed="false">
      <c r="A916" s="50"/>
      <c r="B916" s="50"/>
      <c r="C916" s="5"/>
      <c r="D916" s="48"/>
      <c r="E916" s="50"/>
      <c r="F916" s="5"/>
      <c r="G916" s="5"/>
      <c r="H916" s="5"/>
      <c r="I916" s="5"/>
      <c r="J916" s="5"/>
      <c r="K916" s="50"/>
      <c r="L916" s="50"/>
      <c r="M916" s="50"/>
      <c r="N916" s="50"/>
      <c r="O916" s="50"/>
      <c r="P916" s="50"/>
      <c r="Q916" s="50"/>
      <c r="R916" s="50"/>
      <c r="S916" s="50"/>
      <c r="T916" s="50"/>
      <c r="U916" s="50"/>
      <c r="V916" s="50"/>
      <c r="W916" s="50"/>
      <c r="X916" s="50"/>
      <c r="Y916" s="50"/>
      <c r="Z916" s="50"/>
      <c r="AA916" s="50"/>
      <c r="AB916" s="50"/>
    </row>
    <row r="917" customFormat="false" ht="15.75" hidden="false" customHeight="false" outlineLevel="0" collapsed="false">
      <c r="A917" s="50"/>
      <c r="B917" s="50"/>
      <c r="C917" s="5"/>
      <c r="D917" s="48"/>
      <c r="E917" s="50"/>
      <c r="F917" s="5"/>
      <c r="G917" s="5"/>
      <c r="H917" s="5"/>
      <c r="I917" s="5"/>
      <c r="J917" s="5"/>
      <c r="K917" s="50"/>
      <c r="L917" s="50"/>
      <c r="M917" s="50"/>
      <c r="N917" s="50"/>
      <c r="O917" s="50"/>
      <c r="P917" s="50"/>
      <c r="Q917" s="50"/>
      <c r="R917" s="50"/>
      <c r="S917" s="50"/>
      <c r="T917" s="50"/>
      <c r="U917" s="50"/>
      <c r="V917" s="50"/>
      <c r="W917" s="50"/>
      <c r="X917" s="50"/>
      <c r="Y917" s="50"/>
      <c r="Z917" s="50"/>
      <c r="AA917" s="50"/>
      <c r="AB917" s="50"/>
    </row>
    <row r="918" customFormat="false" ht="15.75" hidden="false" customHeight="false" outlineLevel="0" collapsed="false">
      <c r="A918" s="50"/>
      <c r="B918" s="50"/>
      <c r="C918" s="5"/>
      <c r="D918" s="48"/>
      <c r="E918" s="50"/>
      <c r="F918" s="5"/>
      <c r="G918" s="5"/>
      <c r="H918" s="5"/>
      <c r="I918" s="5"/>
      <c r="J918" s="5"/>
      <c r="K918" s="50"/>
      <c r="L918" s="50"/>
      <c r="M918" s="50"/>
      <c r="N918" s="50"/>
      <c r="O918" s="50"/>
      <c r="P918" s="50"/>
      <c r="Q918" s="50"/>
      <c r="R918" s="50"/>
      <c r="S918" s="50"/>
      <c r="T918" s="50"/>
      <c r="U918" s="50"/>
      <c r="V918" s="50"/>
      <c r="W918" s="50"/>
      <c r="X918" s="50"/>
      <c r="Y918" s="50"/>
      <c r="Z918" s="50"/>
      <c r="AA918" s="50"/>
      <c r="AB918" s="50"/>
    </row>
    <row r="919" customFormat="false" ht="15.75" hidden="false" customHeight="false" outlineLevel="0" collapsed="false">
      <c r="A919" s="50"/>
      <c r="B919" s="50"/>
      <c r="C919" s="5"/>
      <c r="D919" s="48"/>
      <c r="E919" s="50"/>
      <c r="F919" s="5"/>
      <c r="G919" s="5"/>
      <c r="H919" s="5"/>
      <c r="I919" s="5"/>
      <c r="J919" s="5"/>
      <c r="K919" s="50"/>
      <c r="L919" s="50"/>
      <c r="M919" s="50"/>
      <c r="N919" s="50"/>
      <c r="O919" s="50"/>
      <c r="P919" s="50"/>
      <c r="Q919" s="50"/>
      <c r="R919" s="50"/>
      <c r="S919" s="50"/>
      <c r="T919" s="50"/>
      <c r="U919" s="50"/>
      <c r="V919" s="50"/>
      <c r="W919" s="50"/>
      <c r="X919" s="50"/>
      <c r="Y919" s="50"/>
      <c r="Z919" s="50"/>
      <c r="AA919" s="50"/>
      <c r="AB919" s="50"/>
    </row>
    <row r="920" customFormat="false" ht="15.75" hidden="false" customHeight="false" outlineLevel="0" collapsed="false">
      <c r="A920" s="50"/>
      <c r="B920" s="50"/>
      <c r="C920" s="5"/>
      <c r="D920" s="48"/>
      <c r="E920" s="50"/>
      <c r="F920" s="5"/>
      <c r="G920" s="5"/>
      <c r="H920" s="5"/>
      <c r="I920" s="5"/>
      <c r="J920" s="5"/>
      <c r="K920" s="50"/>
      <c r="L920" s="50"/>
      <c r="M920" s="50"/>
      <c r="N920" s="50"/>
      <c r="O920" s="50"/>
      <c r="P920" s="50"/>
      <c r="Q920" s="50"/>
      <c r="R920" s="50"/>
      <c r="S920" s="50"/>
      <c r="T920" s="50"/>
      <c r="U920" s="50"/>
      <c r="V920" s="50"/>
      <c r="W920" s="50"/>
      <c r="X920" s="50"/>
      <c r="Y920" s="50"/>
      <c r="Z920" s="50"/>
      <c r="AA920" s="50"/>
      <c r="AB920" s="50"/>
    </row>
    <row r="921" customFormat="false" ht="15.75" hidden="false" customHeight="false" outlineLevel="0" collapsed="false">
      <c r="A921" s="50"/>
      <c r="B921" s="50"/>
      <c r="C921" s="5"/>
      <c r="D921" s="48"/>
      <c r="E921" s="50"/>
      <c r="F921" s="5"/>
      <c r="G921" s="5"/>
      <c r="H921" s="5"/>
      <c r="I921" s="5"/>
      <c r="J921" s="5"/>
      <c r="K921" s="50"/>
      <c r="L921" s="50"/>
      <c r="M921" s="50"/>
      <c r="N921" s="50"/>
      <c r="O921" s="50"/>
      <c r="P921" s="50"/>
      <c r="Q921" s="50"/>
      <c r="R921" s="50"/>
      <c r="S921" s="50"/>
      <c r="T921" s="50"/>
      <c r="U921" s="50"/>
      <c r="V921" s="50"/>
      <c r="W921" s="50"/>
      <c r="X921" s="50"/>
      <c r="Y921" s="50"/>
      <c r="Z921" s="50"/>
      <c r="AA921" s="50"/>
      <c r="AB921" s="50"/>
    </row>
    <row r="922" customFormat="false" ht="15.75" hidden="false" customHeight="false" outlineLevel="0" collapsed="false">
      <c r="A922" s="50"/>
      <c r="B922" s="50"/>
      <c r="C922" s="5"/>
      <c r="D922" s="48"/>
      <c r="E922" s="50"/>
      <c r="F922" s="5"/>
      <c r="G922" s="5"/>
      <c r="H922" s="5"/>
      <c r="I922" s="5"/>
      <c r="J922" s="5"/>
      <c r="K922" s="50"/>
      <c r="L922" s="50"/>
      <c r="M922" s="50"/>
      <c r="N922" s="50"/>
      <c r="O922" s="50"/>
      <c r="P922" s="50"/>
      <c r="Q922" s="50"/>
      <c r="R922" s="50"/>
      <c r="S922" s="50"/>
      <c r="T922" s="50"/>
      <c r="U922" s="50"/>
      <c r="V922" s="50"/>
      <c r="W922" s="50"/>
      <c r="X922" s="50"/>
      <c r="Y922" s="50"/>
      <c r="Z922" s="50"/>
      <c r="AA922" s="50"/>
      <c r="AB922" s="50"/>
    </row>
    <row r="923" customFormat="false" ht="15.75" hidden="false" customHeight="false" outlineLevel="0" collapsed="false">
      <c r="A923" s="50"/>
      <c r="B923" s="50"/>
      <c r="C923" s="5"/>
      <c r="D923" s="48"/>
      <c r="E923" s="50"/>
      <c r="F923" s="5"/>
      <c r="G923" s="5"/>
      <c r="H923" s="5"/>
      <c r="I923" s="5"/>
      <c r="J923" s="5"/>
      <c r="K923" s="50"/>
      <c r="L923" s="50"/>
      <c r="M923" s="50"/>
      <c r="N923" s="50"/>
      <c r="O923" s="50"/>
      <c r="P923" s="50"/>
      <c r="Q923" s="50"/>
      <c r="R923" s="50"/>
      <c r="S923" s="50"/>
      <c r="T923" s="50"/>
      <c r="U923" s="50"/>
      <c r="V923" s="50"/>
      <c r="W923" s="50"/>
      <c r="X923" s="50"/>
      <c r="Y923" s="50"/>
      <c r="Z923" s="50"/>
      <c r="AA923" s="50"/>
      <c r="AB923" s="50"/>
    </row>
    <row r="924" customFormat="false" ht="15.75" hidden="false" customHeight="false" outlineLevel="0" collapsed="false">
      <c r="A924" s="50"/>
      <c r="B924" s="50"/>
      <c r="C924" s="5"/>
      <c r="D924" s="48"/>
      <c r="E924" s="50"/>
      <c r="F924" s="5"/>
      <c r="G924" s="5"/>
      <c r="H924" s="5"/>
      <c r="I924" s="5"/>
      <c r="J924" s="5"/>
      <c r="K924" s="50"/>
      <c r="L924" s="50"/>
      <c r="M924" s="50"/>
      <c r="N924" s="50"/>
      <c r="O924" s="50"/>
      <c r="P924" s="50"/>
      <c r="Q924" s="50"/>
      <c r="R924" s="50"/>
      <c r="S924" s="50"/>
      <c r="T924" s="50"/>
      <c r="U924" s="50"/>
      <c r="V924" s="50"/>
      <c r="W924" s="50"/>
      <c r="X924" s="50"/>
      <c r="Y924" s="50"/>
      <c r="Z924" s="50"/>
      <c r="AA924" s="50"/>
      <c r="AB924" s="50"/>
    </row>
    <row r="925" customFormat="false" ht="15.75" hidden="false" customHeight="false" outlineLevel="0" collapsed="false">
      <c r="A925" s="50"/>
      <c r="B925" s="50"/>
      <c r="C925" s="5"/>
      <c r="D925" s="48"/>
      <c r="E925" s="50"/>
      <c r="F925" s="5"/>
      <c r="G925" s="5"/>
      <c r="H925" s="5"/>
      <c r="I925" s="5"/>
      <c r="J925" s="5"/>
      <c r="K925" s="50"/>
      <c r="L925" s="50"/>
      <c r="M925" s="50"/>
      <c r="N925" s="50"/>
      <c r="O925" s="50"/>
      <c r="P925" s="50"/>
      <c r="Q925" s="50"/>
      <c r="R925" s="50"/>
      <c r="S925" s="50"/>
      <c r="T925" s="50"/>
      <c r="U925" s="50"/>
      <c r="V925" s="50"/>
      <c r="W925" s="50"/>
      <c r="X925" s="50"/>
      <c r="Y925" s="50"/>
      <c r="Z925" s="50"/>
      <c r="AA925" s="50"/>
      <c r="AB925" s="50"/>
    </row>
    <row r="926" customFormat="false" ht="15.75" hidden="false" customHeight="false" outlineLevel="0" collapsed="false">
      <c r="A926" s="50"/>
      <c r="B926" s="50"/>
      <c r="C926" s="5"/>
      <c r="D926" s="48"/>
      <c r="E926" s="50"/>
      <c r="F926" s="5"/>
      <c r="G926" s="5"/>
      <c r="H926" s="5"/>
      <c r="I926" s="5"/>
      <c r="J926" s="5"/>
      <c r="K926" s="50"/>
      <c r="L926" s="50"/>
      <c r="M926" s="50"/>
      <c r="N926" s="50"/>
      <c r="O926" s="50"/>
      <c r="P926" s="50"/>
      <c r="Q926" s="50"/>
      <c r="R926" s="50"/>
      <c r="S926" s="50"/>
      <c r="T926" s="50"/>
      <c r="U926" s="50"/>
      <c r="V926" s="50"/>
      <c r="W926" s="50"/>
      <c r="X926" s="50"/>
      <c r="Y926" s="50"/>
      <c r="Z926" s="50"/>
      <c r="AA926" s="50"/>
      <c r="AB926" s="50"/>
    </row>
    <row r="927" customFormat="false" ht="15.75" hidden="false" customHeight="false" outlineLevel="0" collapsed="false">
      <c r="A927" s="50"/>
      <c r="B927" s="50"/>
      <c r="C927" s="5"/>
      <c r="D927" s="48"/>
      <c r="E927" s="50"/>
      <c r="F927" s="5"/>
      <c r="G927" s="5"/>
      <c r="H927" s="5"/>
      <c r="I927" s="5"/>
      <c r="J927" s="5"/>
      <c r="K927" s="50"/>
      <c r="L927" s="50"/>
      <c r="M927" s="50"/>
      <c r="N927" s="50"/>
      <c r="O927" s="50"/>
      <c r="P927" s="50"/>
      <c r="Q927" s="50"/>
      <c r="R927" s="50"/>
      <c r="S927" s="50"/>
      <c r="T927" s="50"/>
      <c r="U927" s="50"/>
      <c r="V927" s="50"/>
      <c r="W927" s="50"/>
      <c r="X927" s="50"/>
      <c r="Y927" s="50"/>
      <c r="Z927" s="50"/>
      <c r="AA927" s="50"/>
      <c r="AB927" s="50"/>
    </row>
    <row r="928" customFormat="false" ht="15.75" hidden="false" customHeight="false" outlineLevel="0" collapsed="false">
      <c r="A928" s="50"/>
      <c r="B928" s="50"/>
      <c r="C928" s="5"/>
      <c r="D928" s="48"/>
      <c r="E928" s="50"/>
      <c r="F928" s="5"/>
      <c r="G928" s="5"/>
      <c r="H928" s="5"/>
      <c r="I928" s="5"/>
      <c r="J928" s="5"/>
      <c r="K928" s="50"/>
      <c r="L928" s="50"/>
      <c r="M928" s="50"/>
      <c r="N928" s="50"/>
      <c r="O928" s="50"/>
      <c r="P928" s="50"/>
      <c r="Q928" s="50"/>
      <c r="R928" s="50"/>
      <c r="S928" s="50"/>
      <c r="T928" s="50"/>
      <c r="U928" s="50"/>
      <c r="V928" s="50"/>
      <c r="W928" s="50"/>
      <c r="X928" s="50"/>
      <c r="Y928" s="50"/>
      <c r="Z928" s="50"/>
      <c r="AA928" s="50"/>
      <c r="AB928" s="50"/>
    </row>
    <row r="929" customFormat="false" ht="15.75" hidden="false" customHeight="false" outlineLevel="0" collapsed="false">
      <c r="A929" s="50"/>
      <c r="B929" s="50"/>
      <c r="C929" s="5"/>
      <c r="D929" s="48"/>
      <c r="E929" s="50"/>
      <c r="F929" s="5"/>
      <c r="G929" s="5"/>
      <c r="H929" s="5"/>
      <c r="I929" s="5"/>
      <c r="J929" s="5"/>
      <c r="K929" s="50"/>
      <c r="L929" s="50"/>
      <c r="M929" s="50"/>
      <c r="N929" s="50"/>
      <c r="O929" s="50"/>
      <c r="P929" s="50"/>
      <c r="Q929" s="50"/>
      <c r="R929" s="50"/>
      <c r="S929" s="50"/>
      <c r="T929" s="50"/>
      <c r="U929" s="50"/>
      <c r="V929" s="50"/>
      <c r="W929" s="50"/>
      <c r="X929" s="50"/>
      <c r="Y929" s="50"/>
      <c r="Z929" s="50"/>
      <c r="AA929" s="50"/>
      <c r="AB929" s="50"/>
    </row>
    <row r="930" customFormat="false" ht="15.75" hidden="false" customHeight="false" outlineLevel="0" collapsed="false">
      <c r="A930" s="50"/>
      <c r="B930" s="50"/>
      <c r="C930" s="5"/>
      <c r="D930" s="48"/>
      <c r="E930" s="50"/>
      <c r="F930" s="5"/>
      <c r="G930" s="5"/>
      <c r="H930" s="5"/>
      <c r="I930" s="5"/>
      <c r="J930" s="5"/>
      <c r="K930" s="50"/>
      <c r="L930" s="50"/>
      <c r="M930" s="50"/>
      <c r="N930" s="50"/>
      <c r="O930" s="50"/>
      <c r="P930" s="50"/>
      <c r="Q930" s="50"/>
      <c r="R930" s="50"/>
      <c r="S930" s="50"/>
      <c r="T930" s="50"/>
      <c r="U930" s="50"/>
      <c r="V930" s="50"/>
      <c r="W930" s="50"/>
      <c r="X930" s="50"/>
      <c r="Y930" s="50"/>
      <c r="Z930" s="50"/>
      <c r="AA930" s="50"/>
      <c r="AB930" s="50"/>
    </row>
    <row r="931" customFormat="false" ht="15.75" hidden="false" customHeight="false" outlineLevel="0" collapsed="false">
      <c r="A931" s="50"/>
      <c r="B931" s="50"/>
      <c r="C931" s="5"/>
      <c r="D931" s="48"/>
      <c r="E931" s="50"/>
      <c r="F931" s="5"/>
      <c r="G931" s="5"/>
      <c r="H931" s="5"/>
      <c r="I931" s="5"/>
      <c r="J931" s="5"/>
      <c r="K931" s="50"/>
      <c r="L931" s="50"/>
      <c r="M931" s="50"/>
      <c r="N931" s="50"/>
      <c r="O931" s="50"/>
      <c r="P931" s="50"/>
      <c r="Q931" s="50"/>
      <c r="R931" s="50"/>
      <c r="S931" s="50"/>
      <c r="T931" s="50"/>
      <c r="U931" s="50"/>
      <c r="V931" s="50"/>
      <c r="W931" s="50"/>
      <c r="X931" s="50"/>
      <c r="Y931" s="50"/>
      <c r="Z931" s="50"/>
      <c r="AA931" s="50"/>
      <c r="AB931" s="50"/>
    </row>
    <row r="932" customFormat="false" ht="15.75" hidden="false" customHeight="false" outlineLevel="0" collapsed="false">
      <c r="A932" s="50"/>
      <c r="B932" s="50"/>
      <c r="C932" s="5"/>
      <c r="D932" s="48"/>
      <c r="E932" s="50"/>
      <c r="F932" s="5"/>
      <c r="G932" s="5"/>
      <c r="H932" s="5"/>
      <c r="I932" s="5"/>
      <c r="J932" s="5"/>
      <c r="K932" s="50"/>
      <c r="L932" s="50"/>
      <c r="M932" s="50"/>
      <c r="N932" s="50"/>
      <c r="O932" s="50"/>
      <c r="P932" s="50"/>
      <c r="Q932" s="50"/>
      <c r="R932" s="50"/>
      <c r="S932" s="50"/>
      <c r="T932" s="50"/>
      <c r="U932" s="50"/>
      <c r="V932" s="50"/>
      <c r="W932" s="50"/>
      <c r="X932" s="50"/>
      <c r="Y932" s="50"/>
      <c r="Z932" s="50"/>
      <c r="AA932" s="50"/>
      <c r="AB932" s="50"/>
    </row>
    <row r="933" customFormat="false" ht="15.75" hidden="false" customHeight="false" outlineLevel="0" collapsed="false">
      <c r="A933" s="50"/>
      <c r="B933" s="50"/>
      <c r="C933" s="5"/>
      <c r="D933" s="48"/>
      <c r="E933" s="50"/>
      <c r="F933" s="5"/>
      <c r="G933" s="5"/>
      <c r="H933" s="5"/>
      <c r="I933" s="5"/>
      <c r="J933" s="5"/>
      <c r="K933" s="50"/>
      <c r="L933" s="50"/>
      <c r="M933" s="50"/>
      <c r="N933" s="50"/>
      <c r="O933" s="50"/>
      <c r="P933" s="50"/>
      <c r="Q933" s="50"/>
      <c r="R933" s="50"/>
      <c r="S933" s="50"/>
      <c r="T933" s="50"/>
      <c r="U933" s="50"/>
      <c r="V933" s="50"/>
      <c r="W933" s="50"/>
      <c r="X933" s="50"/>
      <c r="Y933" s="50"/>
      <c r="Z933" s="50"/>
      <c r="AA933" s="50"/>
      <c r="AB933" s="50"/>
    </row>
    <row r="934" customFormat="false" ht="15.75" hidden="false" customHeight="false" outlineLevel="0" collapsed="false">
      <c r="A934" s="50"/>
      <c r="B934" s="50"/>
      <c r="C934" s="5"/>
      <c r="D934" s="48"/>
      <c r="E934" s="50"/>
      <c r="F934" s="5"/>
      <c r="G934" s="5"/>
      <c r="H934" s="5"/>
      <c r="I934" s="5"/>
      <c r="J934" s="5"/>
      <c r="K934" s="50"/>
      <c r="L934" s="50"/>
      <c r="M934" s="50"/>
      <c r="N934" s="50"/>
      <c r="O934" s="50"/>
      <c r="P934" s="50"/>
      <c r="Q934" s="50"/>
      <c r="R934" s="50"/>
      <c r="S934" s="50"/>
      <c r="T934" s="50"/>
      <c r="U934" s="50"/>
      <c r="V934" s="50"/>
      <c r="W934" s="50"/>
      <c r="X934" s="50"/>
      <c r="Y934" s="50"/>
      <c r="Z934" s="50"/>
      <c r="AA934" s="50"/>
      <c r="AB934" s="50"/>
    </row>
    <row r="935" customFormat="false" ht="15.75" hidden="false" customHeight="false" outlineLevel="0" collapsed="false">
      <c r="A935" s="50"/>
      <c r="B935" s="50"/>
      <c r="C935" s="5"/>
      <c r="D935" s="48"/>
      <c r="E935" s="50"/>
      <c r="F935" s="5"/>
      <c r="G935" s="5"/>
      <c r="H935" s="5"/>
      <c r="I935" s="5"/>
      <c r="J935" s="5"/>
      <c r="K935" s="50"/>
      <c r="L935" s="50"/>
      <c r="M935" s="50"/>
      <c r="N935" s="50"/>
      <c r="O935" s="50"/>
      <c r="P935" s="50"/>
      <c r="Q935" s="50"/>
      <c r="R935" s="50"/>
      <c r="S935" s="50"/>
      <c r="T935" s="50"/>
      <c r="U935" s="50"/>
      <c r="V935" s="50"/>
      <c r="W935" s="50"/>
      <c r="X935" s="50"/>
      <c r="Y935" s="50"/>
      <c r="Z935" s="50"/>
      <c r="AA935" s="50"/>
      <c r="AB935" s="50"/>
    </row>
    <row r="936" customFormat="false" ht="15.75" hidden="false" customHeight="false" outlineLevel="0" collapsed="false">
      <c r="A936" s="50"/>
      <c r="B936" s="50"/>
      <c r="C936" s="5"/>
      <c r="D936" s="48"/>
      <c r="E936" s="50"/>
      <c r="F936" s="5"/>
      <c r="G936" s="5"/>
      <c r="H936" s="5"/>
      <c r="I936" s="5"/>
      <c r="J936" s="5"/>
      <c r="K936" s="50"/>
      <c r="L936" s="50"/>
      <c r="M936" s="50"/>
      <c r="N936" s="50"/>
      <c r="O936" s="50"/>
      <c r="P936" s="50"/>
      <c r="Q936" s="50"/>
      <c r="R936" s="50"/>
      <c r="S936" s="50"/>
      <c r="T936" s="50"/>
      <c r="U936" s="50"/>
      <c r="V936" s="50"/>
      <c r="W936" s="50"/>
      <c r="X936" s="50"/>
      <c r="Y936" s="50"/>
      <c r="Z936" s="50"/>
      <c r="AA936" s="50"/>
      <c r="AB936" s="50"/>
    </row>
    <row r="937" customFormat="false" ht="15.75" hidden="false" customHeight="false" outlineLevel="0" collapsed="false">
      <c r="A937" s="50"/>
      <c r="B937" s="50"/>
      <c r="C937" s="5"/>
      <c r="D937" s="48"/>
      <c r="E937" s="50"/>
      <c r="F937" s="5"/>
      <c r="G937" s="5"/>
      <c r="H937" s="5"/>
      <c r="I937" s="5"/>
      <c r="J937" s="5"/>
      <c r="K937" s="50"/>
      <c r="L937" s="50"/>
      <c r="M937" s="50"/>
      <c r="N937" s="50"/>
      <c r="O937" s="50"/>
      <c r="P937" s="50"/>
      <c r="Q937" s="50"/>
      <c r="R937" s="50"/>
      <c r="S937" s="50"/>
      <c r="T937" s="50"/>
      <c r="U937" s="50"/>
      <c r="V937" s="50"/>
      <c r="W937" s="50"/>
      <c r="X937" s="50"/>
      <c r="Y937" s="50"/>
      <c r="Z937" s="50"/>
      <c r="AA937" s="50"/>
      <c r="AB937" s="50"/>
    </row>
    <row r="938" customFormat="false" ht="15.75" hidden="false" customHeight="false" outlineLevel="0" collapsed="false">
      <c r="A938" s="50"/>
      <c r="B938" s="50"/>
      <c r="C938" s="5"/>
      <c r="D938" s="48"/>
      <c r="E938" s="50"/>
      <c r="F938" s="5"/>
      <c r="G938" s="5"/>
      <c r="H938" s="5"/>
      <c r="I938" s="5"/>
      <c r="J938" s="5"/>
      <c r="K938" s="50"/>
      <c r="L938" s="50"/>
      <c r="M938" s="50"/>
      <c r="N938" s="50"/>
      <c r="O938" s="50"/>
      <c r="P938" s="50"/>
      <c r="Q938" s="50"/>
      <c r="R938" s="50"/>
      <c r="S938" s="50"/>
      <c r="T938" s="50"/>
      <c r="U938" s="50"/>
      <c r="V938" s="50"/>
      <c r="W938" s="50"/>
      <c r="X938" s="50"/>
      <c r="Y938" s="50"/>
      <c r="Z938" s="50"/>
      <c r="AA938" s="50"/>
      <c r="AB938" s="50"/>
    </row>
    <row r="939" customFormat="false" ht="15.75" hidden="false" customHeight="false" outlineLevel="0" collapsed="false">
      <c r="A939" s="50"/>
      <c r="B939" s="50"/>
      <c r="C939" s="5"/>
      <c r="D939" s="48"/>
      <c r="E939" s="50"/>
      <c r="F939" s="5"/>
      <c r="G939" s="5"/>
      <c r="H939" s="5"/>
      <c r="I939" s="5"/>
      <c r="J939" s="5"/>
      <c r="K939" s="50"/>
      <c r="L939" s="50"/>
      <c r="M939" s="50"/>
      <c r="N939" s="50"/>
      <c r="O939" s="50"/>
      <c r="P939" s="50"/>
      <c r="Q939" s="50"/>
      <c r="R939" s="50"/>
      <c r="S939" s="50"/>
      <c r="T939" s="50"/>
      <c r="U939" s="50"/>
      <c r="V939" s="50"/>
      <c r="W939" s="50"/>
      <c r="X939" s="50"/>
      <c r="Y939" s="50"/>
      <c r="Z939" s="50"/>
      <c r="AA939" s="50"/>
      <c r="AB939" s="50"/>
    </row>
    <row r="940" customFormat="false" ht="15.75" hidden="false" customHeight="false" outlineLevel="0" collapsed="false">
      <c r="A940" s="50"/>
      <c r="B940" s="50"/>
      <c r="C940" s="5"/>
      <c r="D940" s="48"/>
      <c r="E940" s="50"/>
      <c r="F940" s="5"/>
      <c r="G940" s="5"/>
      <c r="H940" s="5"/>
      <c r="I940" s="5"/>
      <c r="J940" s="5"/>
      <c r="K940" s="50"/>
      <c r="L940" s="50"/>
      <c r="M940" s="50"/>
      <c r="N940" s="50"/>
      <c r="O940" s="50"/>
      <c r="P940" s="50"/>
      <c r="Q940" s="50"/>
      <c r="R940" s="50"/>
      <c r="S940" s="50"/>
      <c r="T940" s="50"/>
      <c r="U940" s="50"/>
      <c r="V940" s="50"/>
      <c r="W940" s="50"/>
      <c r="X940" s="50"/>
      <c r="Y940" s="50"/>
      <c r="Z940" s="50"/>
      <c r="AA940" s="50"/>
      <c r="AB940" s="50"/>
    </row>
    <row r="941" customFormat="false" ht="15.75" hidden="false" customHeight="false" outlineLevel="0" collapsed="false">
      <c r="A941" s="50"/>
      <c r="B941" s="50"/>
      <c r="C941" s="5"/>
      <c r="D941" s="48"/>
      <c r="E941" s="50"/>
      <c r="F941" s="5"/>
      <c r="G941" s="5"/>
      <c r="H941" s="5"/>
      <c r="I941" s="5"/>
      <c r="J941" s="5"/>
      <c r="K941" s="50"/>
      <c r="L941" s="50"/>
      <c r="M941" s="50"/>
      <c r="N941" s="50"/>
      <c r="O941" s="50"/>
      <c r="P941" s="50"/>
      <c r="Q941" s="50"/>
      <c r="R941" s="50"/>
      <c r="S941" s="50"/>
      <c r="T941" s="50"/>
      <c r="U941" s="50"/>
      <c r="V941" s="50"/>
      <c r="W941" s="50"/>
      <c r="X941" s="50"/>
      <c r="Y941" s="50"/>
      <c r="Z941" s="50"/>
      <c r="AA941" s="50"/>
      <c r="AB941" s="50"/>
    </row>
    <row r="942" customFormat="false" ht="15.75" hidden="false" customHeight="false" outlineLevel="0" collapsed="false">
      <c r="A942" s="50"/>
      <c r="B942" s="50"/>
      <c r="C942" s="5"/>
      <c r="D942" s="48"/>
      <c r="E942" s="50"/>
      <c r="F942" s="5"/>
      <c r="G942" s="5"/>
      <c r="H942" s="5"/>
      <c r="I942" s="5"/>
      <c r="J942" s="5"/>
      <c r="K942" s="50"/>
      <c r="L942" s="50"/>
      <c r="M942" s="50"/>
      <c r="N942" s="50"/>
      <c r="O942" s="50"/>
      <c r="P942" s="50"/>
      <c r="Q942" s="50"/>
      <c r="R942" s="50"/>
      <c r="S942" s="50"/>
      <c r="T942" s="50"/>
      <c r="U942" s="50"/>
      <c r="V942" s="50"/>
      <c r="W942" s="50"/>
      <c r="X942" s="50"/>
      <c r="Y942" s="50"/>
      <c r="Z942" s="50"/>
      <c r="AA942" s="50"/>
      <c r="AB942" s="50"/>
    </row>
    <row r="943" customFormat="false" ht="15.75" hidden="false" customHeight="false" outlineLevel="0" collapsed="false">
      <c r="A943" s="50"/>
      <c r="B943" s="50"/>
      <c r="C943" s="5"/>
      <c r="D943" s="48"/>
      <c r="E943" s="50"/>
      <c r="F943" s="5"/>
      <c r="G943" s="5"/>
      <c r="H943" s="5"/>
      <c r="I943" s="5"/>
      <c r="J943" s="5"/>
      <c r="K943" s="50"/>
      <c r="L943" s="50"/>
      <c r="M943" s="50"/>
      <c r="N943" s="50"/>
      <c r="O943" s="50"/>
      <c r="P943" s="50"/>
      <c r="Q943" s="50"/>
      <c r="R943" s="50"/>
      <c r="S943" s="50"/>
      <c r="T943" s="50"/>
      <c r="U943" s="50"/>
      <c r="V943" s="50"/>
      <c r="W943" s="50"/>
      <c r="X943" s="50"/>
      <c r="Y943" s="50"/>
      <c r="Z943" s="50"/>
      <c r="AA943" s="50"/>
      <c r="AB943" s="50"/>
    </row>
    <row r="944" customFormat="false" ht="15.75" hidden="false" customHeight="false" outlineLevel="0" collapsed="false">
      <c r="A944" s="50"/>
      <c r="B944" s="50"/>
      <c r="C944" s="5"/>
      <c r="D944" s="48"/>
      <c r="E944" s="50"/>
      <c r="F944" s="5"/>
      <c r="G944" s="5"/>
      <c r="H944" s="5"/>
      <c r="I944" s="5"/>
      <c r="J944" s="5"/>
      <c r="K944" s="50"/>
      <c r="L944" s="50"/>
      <c r="M944" s="50"/>
      <c r="N944" s="50"/>
      <c r="O944" s="50"/>
      <c r="P944" s="50"/>
      <c r="Q944" s="50"/>
      <c r="R944" s="50"/>
      <c r="S944" s="50"/>
      <c r="T944" s="50"/>
      <c r="U944" s="50"/>
      <c r="V944" s="50"/>
      <c r="W944" s="50"/>
      <c r="X944" s="50"/>
      <c r="Y944" s="50"/>
      <c r="Z944" s="50"/>
      <c r="AA944" s="50"/>
      <c r="AB944" s="50"/>
    </row>
    <row r="945" customFormat="false" ht="15.75" hidden="false" customHeight="false" outlineLevel="0" collapsed="false">
      <c r="A945" s="50"/>
      <c r="B945" s="50"/>
      <c r="C945" s="5"/>
      <c r="D945" s="48"/>
      <c r="E945" s="50"/>
      <c r="F945" s="5"/>
      <c r="G945" s="5"/>
      <c r="H945" s="5"/>
      <c r="I945" s="5"/>
      <c r="J945" s="5"/>
      <c r="K945" s="50"/>
      <c r="L945" s="50"/>
      <c r="M945" s="50"/>
      <c r="N945" s="50"/>
      <c r="O945" s="50"/>
      <c r="P945" s="50"/>
      <c r="Q945" s="50"/>
      <c r="R945" s="50"/>
      <c r="S945" s="50"/>
      <c r="T945" s="50"/>
      <c r="U945" s="50"/>
      <c r="V945" s="50"/>
      <c r="W945" s="50"/>
      <c r="X945" s="50"/>
      <c r="Y945" s="50"/>
      <c r="Z945" s="50"/>
      <c r="AA945" s="50"/>
      <c r="AB945" s="50"/>
    </row>
    <row r="946" customFormat="false" ht="15.75" hidden="false" customHeight="false" outlineLevel="0" collapsed="false">
      <c r="A946" s="50"/>
      <c r="B946" s="50"/>
      <c r="C946" s="5"/>
      <c r="D946" s="48"/>
      <c r="E946" s="50"/>
      <c r="F946" s="5"/>
      <c r="G946" s="5"/>
      <c r="H946" s="5"/>
      <c r="I946" s="5"/>
      <c r="J946" s="5"/>
      <c r="K946" s="50"/>
      <c r="L946" s="50"/>
      <c r="M946" s="50"/>
      <c r="N946" s="50"/>
      <c r="O946" s="50"/>
      <c r="P946" s="50"/>
      <c r="Q946" s="50"/>
      <c r="R946" s="50"/>
      <c r="S946" s="50"/>
      <c r="T946" s="50"/>
      <c r="U946" s="50"/>
      <c r="V946" s="50"/>
      <c r="W946" s="50"/>
      <c r="X946" s="50"/>
      <c r="Y946" s="50"/>
      <c r="Z946" s="50"/>
      <c r="AA946" s="50"/>
      <c r="AB946" s="50"/>
    </row>
    <row r="947" customFormat="false" ht="15.75" hidden="false" customHeight="false" outlineLevel="0" collapsed="false">
      <c r="A947" s="50"/>
      <c r="B947" s="50"/>
      <c r="C947" s="5"/>
      <c r="D947" s="48"/>
      <c r="E947" s="50"/>
      <c r="F947" s="5"/>
      <c r="G947" s="5"/>
      <c r="H947" s="5"/>
      <c r="I947" s="5"/>
      <c r="J947" s="5"/>
      <c r="K947" s="50"/>
      <c r="L947" s="50"/>
      <c r="M947" s="50"/>
      <c r="N947" s="50"/>
      <c r="O947" s="50"/>
      <c r="P947" s="50"/>
      <c r="Q947" s="50"/>
      <c r="R947" s="50"/>
      <c r="S947" s="50"/>
      <c r="T947" s="50"/>
      <c r="U947" s="50"/>
      <c r="V947" s="50"/>
      <c r="W947" s="50"/>
      <c r="X947" s="50"/>
      <c r="Y947" s="50"/>
      <c r="Z947" s="50"/>
      <c r="AA947" s="50"/>
      <c r="AB947" s="50"/>
    </row>
    <row r="948" customFormat="false" ht="15.75" hidden="false" customHeight="false" outlineLevel="0" collapsed="false">
      <c r="A948" s="50"/>
      <c r="B948" s="50"/>
      <c r="C948" s="5"/>
      <c r="D948" s="48"/>
      <c r="E948" s="50"/>
      <c r="F948" s="5"/>
      <c r="G948" s="5"/>
      <c r="H948" s="5"/>
      <c r="I948" s="5"/>
      <c r="J948" s="5"/>
      <c r="K948" s="50"/>
      <c r="L948" s="50"/>
      <c r="M948" s="50"/>
      <c r="N948" s="50"/>
      <c r="O948" s="50"/>
      <c r="P948" s="50"/>
      <c r="Q948" s="50"/>
      <c r="R948" s="50"/>
      <c r="S948" s="50"/>
      <c r="T948" s="50"/>
      <c r="U948" s="50"/>
      <c r="V948" s="50"/>
      <c r="W948" s="50"/>
      <c r="X948" s="50"/>
      <c r="Y948" s="50"/>
      <c r="Z948" s="50"/>
      <c r="AA948" s="50"/>
      <c r="AB948" s="50"/>
    </row>
    <row r="949" customFormat="false" ht="15.75" hidden="false" customHeight="false" outlineLevel="0" collapsed="false">
      <c r="A949" s="50"/>
      <c r="B949" s="50"/>
      <c r="C949" s="5"/>
      <c r="D949" s="48"/>
      <c r="E949" s="50"/>
      <c r="F949" s="5"/>
      <c r="G949" s="5"/>
      <c r="H949" s="5"/>
      <c r="I949" s="5"/>
      <c r="J949" s="5"/>
      <c r="K949" s="50"/>
      <c r="L949" s="50"/>
      <c r="M949" s="50"/>
      <c r="N949" s="50"/>
      <c r="O949" s="50"/>
      <c r="P949" s="50"/>
      <c r="Q949" s="50"/>
      <c r="R949" s="50"/>
      <c r="S949" s="50"/>
      <c r="T949" s="50"/>
      <c r="U949" s="50"/>
      <c r="V949" s="50"/>
      <c r="W949" s="50"/>
      <c r="X949" s="50"/>
      <c r="Y949" s="50"/>
      <c r="Z949" s="50"/>
      <c r="AA949" s="50"/>
      <c r="AB949" s="50"/>
    </row>
    <row r="950" customFormat="false" ht="15.75" hidden="false" customHeight="false" outlineLevel="0" collapsed="false">
      <c r="A950" s="50"/>
      <c r="B950" s="50"/>
      <c r="C950" s="5"/>
      <c r="D950" s="48"/>
      <c r="E950" s="50"/>
      <c r="F950" s="5"/>
      <c r="G950" s="5"/>
      <c r="H950" s="5"/>
      <c r="I950" s="5"/>
      <c r="J950" s="5"/>
      <c r="K950" s="50"/>
      <c r="L950" s="50"/>
      <c r="M950" s="50"/>
      <c r="N950" s="50"/>
      <c r="O950" s="50"/>
      <c r="P950" s="50"/>
      <c r="Q950" s="50"/>
      <c r="R950" s="50"/>
      <c r="S950" s="50"/>
      <c r="T950" s="50"/>
      <c r="U950" s="50"/>
      <c r="V950" s="50"/>
      <c r="W950" s="50"/>
      <c r="X950" s="50"/>
      <c r="Y950" s="50"/>
      <c r="Z950" s="50"/>
      <c r="AA950" s="50"/>
      <c r="AB950" s="50"/>
    </row>
    <row r="951" customFormat="false" ht="15.75" hidden="false" customHeight="false" outlineLevel="0" collapsed="false">
      <c r="A951" s="50"/>
      <c r="B951" s="50"/>
      <c r="C951" s="5"/>
      <c r="D951" s="48"/>
      <c r="E951" s="50"/>
      <c r="F951" s="5"/>
      <c r="G951" s="5"/>
      <c r="H951" s="5"/>
      <c r="I951" s="5"/>
      <c r="J951" s="5"/>
      <c r="K951" s="50"/>
      <c r="L951" s="50"/>
      <c r="M951" s="50"/>
      <c r="N951" s="50"/>
      <c r="O951" s="50"/>
      <c r="P951" s="50"/>
      <c r="Q951" s="50"/>
      <c r="R951" s="50"/>
      <c r="S951" s="50"/>
      <c r="T951" s="50"/>
      <c r="U951" s="50"/>
      <c r="V951" s="50"/>
      <c r="W951" s="50"/>
      <c r="X951" s="50"/>
      <c r="Y951" s="50"/>
      <c r="Z951" s="50"/>
      <c r="AA951" s="50"/>
      <c r="AB951" s="50"/>
    </row>
    <row r="952" customFormat="false" ht="15.75" hidden="false" customHeight="false" outlineLevel="0" collapsed="false">
      <c r="A952" s="50"/>
      <c r="B952" s="50"/>
      <c r="C952" s="5"/>
      <c r="D952" s="48"/>
      <c r="E952" s="50"/>
      <c r="F952" s="5"/>
      <c r="G952" s="5"/>
      <c r="H952" s="5"/>
      <c r="I952" s="5"/>
      <c r="J952" s="5"/>
      <c r="K952" s="50"/>
      <c r="L952" s="50"/>
      <c r="M952" s="50"/>
      <c r="N952" s="50"/>
      <c r="O952" s="50"/>
      <c r="P952" s="50"/>
      <c r="Q952" s="50"/>
      <c r="R952" s="50"/>
      <c r="S952" s="50"/>
      <c r="T952" s="50"/>
      <c r="U952" s="50"/>
      <c r="V952" s="50"/>
      <c r="W952" s="50"/>
      <c r="X952" s="50"/>
      <c r="Y952" s="50"/>
      <c r="Z952" s="50"/>
      <c r="AA952" s="50"/>
      <c r="AB952" s="50"/>
    </row>
    <row r="953" customFormat="false" ht="15.75" hidden="false" customHeight="false" outlineLevel="0" collapsed="false">
      <c r="A953" s="50"/>
      <c r="B953" s="50"/>
      <c r="C953" s="5"/>
      <c r="D953" s="48"/>
      <c r="E953" s="50"/>
      <c r="F953" s="5"/>
      <c r="G953" s="5"/>
      <c r="H953" s="5"/>
      <c r="I953" s="5"/>
      <c r="J953" s="5"/>
      <c r="K953" s="50"/>
      <c r="L953" s="50"/>
      <c r="M953" s="50"/>
      <c r="N953" s="50"/>
      <c r="O953" s="50"/>
      <c r="P953" s="50"/>
      <c r="Q953" s="50"/>
      <c r="R953" s="50"/>
      <c r="S953" s="50"/>
      <c r="T953" s="50"/>
      <c r="U953" s="50"/>
      <c r="V953" s="50"/>
      <c r="W953" s="50"/>
      <c r="X953" s="50"/>
      <c r="Y953" s="50"/>
      <c r="Z953" s="50"/>
      <c r="AA953" s="50"/>
      <c r="AB953" s="50"/>
    </row>
    <row r="954" customFormat="false" ht="15.75" hidden="false" customHeight="false" outlineLevel="0" collapsed="false">
      <c r="A954" s="50"/>
      <c r="B954" s="50"/>
      <c r="C954" s="5"/>
      <c r="D954" s="48"/>
      <c r="E954" s="50"/>
      <c r="F954" s="5"/>
      <c r="G954" s="5"/>
      <c r="H954" s="5"/>
      <c r="I954" s="5"/>
      <c r="J954" s="5"/>
      <c r="K954" s="50"/>
      <c r="L954" s="50"/>
      <c r="M954" s="50"/>
      <c r="N954" s="50"/>
      <c r="O954" s="50"/>
      <c r="P954" s="50"/>
      <c r="Q954" s="50"/>
      <c r="R954" s="50"/>
      <c r="S954" s="50"/>
      <c r="T954" s="50"/>
      <c r="U954" s="50"/>
      <c r="V954" s="50"/>
      <c r="W954" s="50"/>
      <c r="X954" s="50"/>
      <c r="Y954" s="50"/>
      <c r="Z954" s="50"/>
      <c r="AA954" s="50"/>
      <c r="AB954" s="50"/>
    </row>
    <row r="955" customFormat="false" ht="15.75" hidden="false" customHeight="false" outlineLevel="0" collapsed="false">
      <c r="A955" s="50"/>
      <c r="B955" s="50"/>
      <c r="C955" s="5"/>
      <c r="D955" s="48"/>
      <c r="E955" s="50"/>
      <c r="F955" s="5"/>
      <c r="G955" s="5"/>
      <c r="H955" s="5"/>
      <c r="I955" s="5"/>
      <c r="J955" s="5"/>
      <c r="K955" s="50"/>
      <c r="L955" s="50"/>
      <c r="M955" s="50"/>
      <c r="N955" s="50"/>
      <c r="O955" s="50"/>
      <c r="P955" s="50"/>
      <c r="Q955" s="50"/>
      <c r="R955" s="50"/>
      <c r="S955" s="50"/>
      <c r="T955" s="50"/>
      <c r="U955" s="50"/>
      <c r="V955" s="50"/>
      <c r="W955" s="50"/>
      <c r="X955" s="50"/>
      <c r="Y955" s="50"/>
      <c r="Z955" s="50"/>
      <c r="AA955" s="50"/>
      <c r="AB955" s="50"/>
    </row>
    <row r="956" customFormat="false" ht="15.75" hidden="false" customHeight="false" outlineLevel="0" collapsed="false">
      <c r="A956" s="50"/>
      <c r="B956" s="50"/>
      <c r="C956" s="5"/>
      <c r="D956" s="48"/>
      <c r="E956" s="50"/>
      <c r="F956" s="5"/>
      <c r="G956" s="5"/>
      <c r="H956" s="5"/>
      <c r="I956" s="5"/>
      <c r="J956" s="5"/>
      <c r="K956" s="50"/>
      <c r="L956" s="50"/>
      <c r="M956" s="50"/>
      <c r="N956" s="50"/>
      <c r="O956" s="50"/>
      <c r="P956" s="50"/>
      <c r="Q956" s="50"/>
      <c r="R956" s="50"/>
      <c r="S956" s="50"/>
      <c r="T956" s="50"/>
      <c r="U956" s="50"/>
      <c r="V956" s="50"/>
      <c r="W956" s="50"/>
      <c r="X956" s="50"/>
      <c r="Y956" s="50"/>
      <c r="Z956" s="50"/>
      <c r="AA956" s="50"/>
      <c r="AB956" s="50"/>
    </row>
    <row r="957" customFormat="false" ht="15.75" hidden="false" customHeight="false" outlineLevel="0" collapsed="false">
      <c r="A957" s="50"/>
      <c r="B957" s="50"/>
      <c r="C957" s="5"/>
      <c r="D957" s="48"/>
      <c r="E957" s="50"/>
      <c r="F957" s="5"/>
      <c r="G957" s="5"/>
      <c r="H957" s="5"/>
      <c r="I957" s="5"/>
      <c r="J957" s="5"/>
      <c r="K957" s="50"/>
      <c r="L957" s="50"/>
      <c r="M957" s="50"/>
      <c r="N957" s="50"/>
      <c r="O957" s="50"/>
      <c r="P957" s="50"/>
      <c r="Q957" s="50"/>
      <c r="R957" s="50"/>
      <c r="S957" s="50"/>
      <c r="T957" s="50"/>
      <c r="U957" s="50"/>
      <c r="V957" s="50"/>
      <c r="W957" s="50"/>
      <c r="X957" s="50"/>
      <c r="Y957" s="50"/>
      <c r="Z957" s="50"/>
      <c r="AA957" s="50"/>
      <c r="AB957" s="50"/>
    </row>
    <row r="958" customFormat="false" ht="15.75" hidden="false" customHeight="false" outlineLevel="0" collapsed="false">
      <c r="A958" s="50"/>
      <c r="B958" s="50"/>
      <c r="C958" s="5"/>
      <c r="D958" s="48"/>
      <c r="E958" s="50"/>
      <c r="F958" s="5"/>
      <c r="G958" s="5"/>
      <c r="H958" s="5"/>
      <c r="I958" s="5"/>
      <c r="J958" s="5"/>
      <c r="K958" s="50"/>
      <c r="L958" s="50"/>
      <c r="M958" s="50"/>
      <c r="N958" s="50"/>
      <c r="O958" s="50"/>
      <c r="P958" s="50"/>
      <c r="Q958" s="50"/>
      <c r="R958" s="50"/>
      <c r="S958" s="50"/>
      <c r="T958" s="50"/>
      <c r="U958" s="50"/>
      <c r="V958" s="50"/>
      <c r="W958" s="50"/>
      <c r="X958" s="50"/>
      <c r="Y958" s="50"/>
      <c r="Z958" s="50"/>
      <c r="AA958" s="50"/>
      <c r="AB958" s="50"/>
    </row>
    <row r="959" customFormat="false" ht="15.75" hidden="false" customHeight="false" outlineLevel="0" collapsed="false">
      <c r="A959" s="50"/>
      <c r="B959" s="50"/>
      <c r="C959" s="5"/>
      <c r="D959" s="48"/>
      <c r="E959" s="50"/>
      <c r="F959" s="5"/>
      <c r="G959" s="5"/>
      <c r="H959" s="5"/>
      <c r="I959" s="5"/>
      <c r="J959" s="5"/>
      <c r="K959" s="50"/>
      <c r="L959" s="50"/>
      <c r="M959" s="50"/>
      <c r="N959" s="50"/>
      <c r="O959" s="50"/>
      <c r="P959" s="50"/>
      <c r="Q959" s="50"/>
      <c r="R959" s="50"/>
      <c r="S959" s="50"/>
      <c r="T959" s="50"/>
      <c r="U959" s="50"/>
      <c r="V959" s="50"/>
      <c r="W959" s="50"/>
      <c r="X959" s="50"/>
      <c r="Y959" s="50"/>
      <c r="Z959" s="50"/>
      <c r="AA959" s="50"/>
      <c r="AB959" s="50"/>
    </row>
    <row r="960" customFormat="false" ht="15.75" hidden="false" customHeight="false" outlineLevel="0" collapsed="false">
      <c r="A960" s="50"/>
      <c r="B960" s="50"/>
      <c r="C960" s="5"/>
      <c r="D960" s="48"/>
      <c r="E960" s="50"/>
      <c r="F960" s="5"/>
      <c r="G960" s="5"/>
      <c r="H960" s="5"/>
      <c r="I960" s="5"/>
      <c r="J960" s="5"/>
      <c r="K960" s="50"/>
      <c r="L960" s="50"/>
      <c r="M960" s="50"/>
      <c r="N960" s="50"/>
      <c r="O960" s="50"/>
      <c r="P960" s="50"/>
      <c r="Q960" s="50"/>
      <c r="R960" s="50"/>
      <c r="S960" s="50"/>
      <c r="T960" s="50"/>
      <c r="U960" s="50"/>
      <c r="V960" s="50"/>
      <c r="W960" s="50"/>
      <c r="X960" s="50"/>
      <c r="Y960" s="50"/>
      <c r="Z960" s="50"/>
      <c r="AA960" s="50"/>
      <c r="AB960" s="50"/>
    </row>
    <row r="961" customFormat="false" ht="15.75" hidden="false" customHeight="false" outlineLevel="0" collapsed="false">
      <c r="A961" s="50"/>
      <c r="B961" s="50"/>
      <c r="C961" s="5"/>
      <c r="D961" s="48"/>
      <c r="E961" s="50"/>
      <c r="F961" s="5"/>
      <c r="G961" s="5"/>
      <c r="H961" s="5"/>
      <c r="I961" s="5"/>
      <c r="J961" s="5"/>
      <c r="K961" s="50"/>
      <c r="L961" s="50"/>
      <c r="M961" s="50"/>
      <c r="N961" s="50"/>
      <c r="O961" s="50"/>
      <c r="P961" s="50"/>
      <c r="Q961" s="50"/>
      <c r="R961" s="50"/>
      <c r="S961" s="50"/>
      <c r="T961" s="50"/>
      <c r="U961" s="50"/>
      <c r="V961" s="50"/>
      <c r="W961" s="50"/>
      <c r="X961" s="50"/>
      <c r="Y961" s="50"/>
      <c r="Z961" s="50"/>
      <c r="AA961" s="50"/>
      <c r="AB961" s="50"/>
    </row>
    <row r="962" customFormat="false" ht="15.75" hidden="false" customHeight="false" outlineLevel="0" collapsed="false">
      <c r="A962" s="50"/>
      <c r="B962" s="50"/>
      <c r="C962" s="5"/>
      <c r="D962" s="48"/>
      <c r="E962" s="50"/>
      <c r="F962" s="5"/>
      <c r="G962" s="5"/>
      <c r="H962" s="5"/>
      <c r="I962" s="5"/>
      <c r="J962" s="5"/>
      <c r="K962" s="50"/>
      <c r="L962" s="50"/>
      <c r="M962" s="50"/>
      <c r="N962" s="50"/>
      <c r="O962" s="50"/>
      <c r="P962" s="50"/>
      <c r="Q962" s="50"/>
      <c r="R962" s="50"/>
      <c r="S962" s="50"/>
      <c r="T962" s="50"/>
      <c r="U962" s="50"/>
      <c r="V962" s="50"/>
      <c r="W962" s="50"/>
      <c r="X962" s="50"/>
      <c r="Y962" s="50"/>
      <c r="Z962" s="50"/>
      <c r="AA962" s="50"/>
      <c r="AB962" s="50"/>
    </row>
    <row r="963" customFormat="false" ht="15.75" hidden="false" customHeight="false" outlineLevel="0" collapsed="false">
      <c r="A963" s="50"/>
      <c r="B963" s="50"/>
      <c r="C963" s="5"/>
      <c r="D963" s="48"/>
      <c r="E963" s="50"/>
      <c r="F963" s="5"/>
      <c r="G963" s="5"/>
      <c r="H963" s="5"/>
      <c r="I963" s="5"/>
      <c r="J963" s="5"/>
      <c r="K963" s="50"/>
      <c r="L963" s="50"/>
      <c r="M963" s="50"/>
      <c r="N963" s="50"/>
      <c r="O963" s="50"/>
      <c r="P963" s="50"/>
      <c r="Q963" s="50"/>
      <c r="R963" s="50"/>
      <c r="S963" s="50"/>
      <c r="T963" s="50"/>
      <c r="U963" s="50"/>
      <c r="V963" s="50"/>
      <c r="W963" s="50"/>
      <c r="X963" s="50"/>
      <c r="Y963" s="50"/>
      <c r="Z963" s="50"/>
      <c r="AA963" s="50"/>
      <c r="AB963" s="50"/>
    </row>
    <row r="964" customFormat="false" ht="15.75" hidden="false" customHeight="false" outlineLevel="0" collapsed="false">
      <c r="A964" s="50"/>
      <c r="B964" s="50"/>
      <c r="C964" s="5"/>
      <c r="D964" s="48"/>
      <c r="E964" s="50"/>
      <c r="F964" s="5"/>
      <c r="G964" s="5"/>
      <c r="H964" s="5"/>
      <c r="I964" s="5"/>
      <c r="J964" s="5"/>
      <c r="K964" s="50"/>
      <c r="L964" s="50"/>
      <c r="M964" s="50"/>
      <c r="N964" s="50"/>
      <c r="O964" s="50"/>
      <c r="P964" s="50"/>
      <c r="Q964" s="50"/>
      <c r="R964" s="50"/>
      <c r="S964" s="50"/>
      <c r="T964" s="50"/>
      <c r="U964" s="50"/>
      <c r="V964" s="50"/>
      <c r="W964" s="50"/>
      <c r="X964" s="50"/>
      <c r="Y964" s="50"/>
      <c r="Z964" s="50"/>
      <c r="AA964" s="50"/>
      <c r="AB964" s="50"/>
    </row>
    <row r="965" customFormat="false" ht="15.75" hidden="false" customHeight="false" outlineLevel="0" collapsed="false">
      <c r="A965" s="50"/>
      <c r="B965" s="50"/>
      <c r="C965" s="5"/>
      <c r="D965" s="48"/>
      <c r="E965" s="50"/>
      <c r="F965" s="5"/>
      <c r="G965" s="5"/>
      <c r="H965" s="5"/>
      <c r="I965" s="5"/>
      <c r="J965" s="5"/>
      <c r="K965" s="50"/>
      <c r="L965" s="50"/>
      <c r="M965" s="50"/>
      <c r="N965" s="50"/>
      <c r="O965" s="50"/>
      <c r="P965" s="50"/>
      <c r="Q965" s="50"/>
      <c r="R965" s="50"/>
      <c r="S965" s="50"/>
      <c r="T965" s="50"/>
      <c r="U965" s="50"/>
      <c r="V965" s="50"/>
      <c r="W965" s="50"/>
      <c r="X965" s="50"/>
      <c r="Y965" s="50"/>
      <c r="Z965" s="50"/>
      <c r="AA965" s="50"/>
      <c r="AB965" s="50"/>
    </row>
    <row r="966" customFormat="false" ht="15.75" hidden="false" customHeight="false" outlineLevel="0" collapsed="false">
      <c r="A966" s="50"/>
      <c r="B966" s="50"/>
      <c r="C966" s="5"/>
      <c r="D966" s="48"/>
      <c r="E966" s="50"/>
      <c r="F966" s="5"/>
      <c r="G966" s="5"/>
      <c r="H966" s="5"/>
      <c r="I966" s="5"/>
      <c r="J966" s="5"/>
      <c r="K966" s="50"/>
      <c r="L966" s="50"/>
      <c r="M966" s="50"/>
      <c r="N966" s="50"/>
      <c r="O966" s="50"/>
      <c r="P966" s="50"/>
      <c r="Q966" s="50"/>
      <c r="R966" s="50"/>
      <c r="S966" s="50"/>
      <c r="T966" s="50"/>
      <c r="U966" s="50"/>
      <c r="V966" s="50"/>
      <c r="W966" s="50"/>
      <c r="X966" s="50"/>
      <c r="Y966" s="50"/>
      <c r="Z966" s="50"/>
      <c r="AA966" s="50"/>
      <c r="AB966" s="50"/>
    </row>
    <row r="967" customFormat="false" ht="15.75" hidden="false" customHeight="false" outlineLevel="0" collapsed="false">
      <c r="A967" s="50"/>
      <c r="B967" s="50"/>
      <c r="C967" s="5"/>
      <c r="D967" s="48"/>
      <c r="E967" s="50"/>
      <c r="F967" s="5"/>
      <c r="G967" s="5"/>
      <c r="H967" s="5"/>
      <c r="I967" s="5"/>
      <c r="J967" s="5"/>
      <c r="K967" s="50"/>
      <c r="L967" s="50"/>
      <c r="M967" s="50"/>
      <c r="N967" s="50"/>
      <c r="O967" s="50"/>
      <c r="P967" s="50"/>
      <c r="Q967" s="50"/>
      <c r="R967" s="50"/>
      <c r="S967" s="50"/>
      <c r="T967" s="50"/>
      <c r="U967" s="50"/>
      <c r="V967" s="50"/>
      <c r="W967" s="50"/>
      <c r="X967" s="50"/>
      <c r="Y967" s="50"/>
      <c r="Z967" s="50"/>
      <c r="AA967" s="50"/>
      <c r="AB967" s="50"/>
    </row>
    <row r="968" customFormat="false" ht="15.75" hidden="false" customHeight="false" outlineLevel="0" collapsed="false">
      <c r="A968" s="50"/>
      <c r="B968" s="50"/>
      <c r="C968" s="5"/>
      <c r="D968" s="48"/>
      <c r="E968" s="50"/>
      <c r="F968" s="5"/>
      <c r="G968" s="5"/>
      <c r="H968" s="5"/>
      <c r="I968" s="5"/>
      <c r="J968" s="5"/>
      <c r="K968" s="50"/>
      <c r="L968" s="50"/>
      <c r="M968" s="50"/>
      <c r="N968" s="50"/>
      <c r="O968" s="50"/>
      <c r="P968" s="50"/>
      <c r="Q968" s="50"/>
      <c r="R968" s="50"/>
      <c r="S968" s="50"/>
      <c r="T968" s="50"/>
      <c r="U968" s="50"/>
      <c r="V968" s="50"/>
      <c r="W968" s="50"/>
      <c r="X968" s="50"/>
      <c r="Y968" s="50"/>
      <c r="Z968" s="50"/>
      <c r="AA968" s="50"/>
      <c r="AB968" s="50"/>
    </row>
    <row r="969" customFormat="false" ht="15.75" hidden="false" customHeight="false" outlineLevel="0" collapsed="false">
      <c r="A969" s="50"/>
      <c r="B969" s="50"/>
      <c r="C969" s="5"/>
      <c r="D969" s="48"/>
      <c r="E969" s="50"/>
      <c r="F969" s="5"/>
      <c r="G969" s="5"/>
      <c r="H969" s="5"/>
      <c r="I969" s="5"/>
      <c r="J969" s="5"/>
      <c r="K969" s="50"/>
      <c r="L969" s="50"/>
      <c r="M969" s="50"/>
      <c r="N969" s="50"/>
      <c r="O969" s="50"/>
      <c r="P969" s="50"/>
      <c r="Q969" s="50"/>
      <c r="R969" s="50"/>
      <c r="S969" s="50"/>
      <c r="T969" s="50"/>
      <c r="U969" s="50"/>
      <c r="V969" s="50"/>
      <c r="W969" s="50"/>
      <c r="X969" s="50"/>
      <c r="Y969" s="50"/>
      <c r="Z969" s="50"/>
      <c r="AA969" s="50"/>
      <c r="AB969" s="50"/>
    </row>
    <row r="970" customFormat="false" ht="15.75" hidden="false" customHeight="false" outlineLevel="0" collapsed="false">
      <c r="A970" s="50"/>
      <c r="B970" s="50"/>
      <c r="C970" s="5"/>
      <c r="D970" s="48"/>
      <c r="E970" s="50"/>
      <c r="F970" s="5"/>
      <c r="G970" s="5"/>
      <c r="H970" s="5"/>
      <c r="I970" s="5"/>
      <c r="J970" s="5"/>
      <c r="K970" s="50"/>
      <c r="L970" s="50"/>
      <c r="M970" s="50"/>
      <c r="N970" s="50"/>
      <c r="O970" s="50"/>
      <c r="P970" s="50"/>
      <c r="Q970" s="50"/>
      <c r="R970" s="50"/>
      <c r="S970" s="50"/>
      <c r="T970" s="50"/>
      <c r="U970" s="50"/>
      <c r="V970" s="50"/>
      <c r="W970" s="50"/>
      <c r="X970" s="50"/>
      <c r="Y970" s="50"/>
      <c r="Z970" s="50"/>
      <c r="AA970" s="50"/>
      <c r="AB970" s="50"/>
    </row>
    <row r="971" customFormat="false" ht="15.75" hidden="false" customHeight="false" outlineLevel="0" collapsed="false">
      <c r="A971" s="50"/>
      <c r="B971" s="50"/>
      <c r="C971" s="5"/>
      <c r="D971" s="48"/>
      <c r="E971" s="50"/>
      <c r="F971" s="5"/>
      <c r="G971" s="5"/>
      <c r="H971" s="5"/>
      <c r="I971" s="5"/>
      <c r="J971" s="5"/>
      <c r="K971" s="50"/>
      <c r="L971" s="50"/>
      <c r="M971" s="50"/>
      <c r="N971" s="50"/>
      <c r="O971" s="50"/>
      <c r="P971" s="50"/>
      <c r="Q971" s="50"/>
      <c r="R971" s="50"/>
      <c r="S971" s="50"/>
      <c r="T971" s="50"/>
      <c r="U971" s="50"/>
      <c r="V971" s="50"/>
      <c r="W971" s="50"/>
      <c r="X971" s="50"/>
      <c r="Y971" s="50"/>
      <c r="Z971" s="50"/>
      <c r="AA971" s="50"/>
      <c r="AB971" s="50"/>
    </row>
    <row r="972" customFormat="false" ht="15.75" hidden="false" customHeight="false" outlineLevel="0" collapsed="false">
      <c r="A972" s="50"/>
      <c r="B972" s="50"/>
      <c r="C972" s="5"/>
      <c r="D972" s="48"/>
      <c r="E972" s="50"/>
      <c r="F972" s="5"/>
      <c r="G972" s="5"/>
      <c r="H972" s="5"/>
      <c r="I972" s="5"/>
      <c r="J972" s="5"/>
      <c r="K972" s="50"/>
      <c r="L972" s="50"/>
      <c r="M972" s="50"/>
      <c r="N972" s="50"/>
      <c r="O972" s="50"/>
      <c r="P972" s="50"/>
      <c r="Q972" s="50"/>
      <c r="R972" s="50"/>
      <c r="S972" s="50"/>
      <c r="T972" s="50"/>
      <c r="U972" s="50"/>
      <c r="V972" s="50"/>
      <c r="W972" s="50"/>
      <c r="X972" s="50"/>
      <c r="Y972" s="50"/>
      <c r="Z972" s="50"/>
      <c r="AA972" s="50"/>
      <c r="AB972" s="50"/>
    </row>
    <row r="973" customFormat="false" ht="15.75" hidden="false" customHeight="false" outlineLevel="0" collapsed="false">
      <c r="A973" s="50"/>
      <c r="B973" s="50"/>
      <c r="C973" s="5"/>
      <c r="D973" s="48"/>
      <c r="E973" s="50"/>
      <c r="F973" s="5"/>
      <c r="G973" s="5"/>
      <c r="H973" s="5"/>
      <c r="I973" s="5"/>
      <c r="J973" s="5"/>
      <c r="K973" s="50"/>
      <c r="L973" s="50"/>
      <c r="M973" s="50"/>
      <c r="N973" s="50"/>
      <c r="O973" s="50"/>
      <c r="P973" s="50"/>
      <c r="Q973" s="50"/>
      <c r="R973" s="50"/>
      <c r="S973" s="50"/>
      <c r="T973" s="50"/>
      <c r="U973" s="50"/>
      <c r="V973" s="50"/>
      <c r="W973" s="50"/>
      <c r="X973" s="50"/>
      <c r="Y973" s="50"/>
      <c r="Z973" s="50"/>
      <c r="AA973" s="50"/>
      <c r="AB973" s="50"/>
    </row>
    <row r="974" customFormat="false" ht="15.75" hidden="false" customHeight="false" outlineLevel="0" collapsed="false">
      <c r="A974" s="50"/>
      <c r="B974" s="50"/>
      <c r="C974" s="5"/>
      <c r="D974" s="48"/>
      <c r="E974" s="50"/>
      <c r="F974" s="5"/>
      <c r="G974" s="5"/>
      <c r="H974" s="5"/>
      <c r="I974" s="5"/>
      <c r="J974" s="5"/>
      <c r="K974" s="50"/>
      <c r="L974" s="50"/>
      <c r="M974" s="50"/>
      <c r="N974" s="50"/>
      <c r="O974" s="50"/>
      <c r="P974" s="50"/>
      <c r="Q974" s="50"/>
      <c r="R974" s="50"/>
      <c r="S974" s="50"/>
      <c r="T974" s="50"/>
      <c r="U974" s="50"/>
      <c r="V974" s="50"/>
      <c r="W974" s="50"/>
      <c r="X974" s="50"/>
      <c r="Y974" s="50"/>
      <c r="Z974" s="50"/>
      <c r="AA974" s="50"/>
      <c r="AB974" s="50"/>
    </row>
    <row r="975" customFormat="false" ht="15.75" hidden="false" customHeight="false" outlineLevel="0" collapsed="false">
      <c r="A975" s="50"/>
      <c r="B975" s="50"/>
      <c r="C975" s="5"/>
      <c r="D975" s="48"/>
      <c r="E975" s="50"/>
      <c r="F975" s="5"/>
      <c r="G975" s="5"/>
      <c r="H975" s="5"/>
      <c r="I975" s="5"/>
      <c r="J975" s="5"/>
      <c r="K975" s="50"/>
      <c r="L975" s="50"/>
      <c r="M975" s="50"/>
      <c r="N975" s="50"/>
      <c r="O975" s="50"/>
      <c r="P975" s="50"/>
      <c r="Q975" s="50"/>
      <c r="R975" s="50"/>
      <c r="S975" s="50"/>
      <c r="T975" s="50"/>
      <c r="U975" s="50"/>
      <c r="V975" s="50"/>
      <c r="W975" s="50"/>
      <c r="X975" s="50"/>
      <c r="Y975" s="50"/>
      <c r="Z975" s="50"/>
      <c r="AA975" s="50"/>
      <c r="AB975" s="50"/>
    </row>
    <row r="976" customFormat="false" ht="15.75" hidden="false" customHeight="false" outlineLevel="0" collapsed="false">
      <c r="A976" s="50"/>
      <c r="B976" s="50"/>
      <c r="C976" s="5"/>
      <c r="D976" s="48"/>
      <c r="E976" s="50"/>
      <c r="F976" s="5"/>
      <c r="G976" s="5"/>
      <c r="H976" s="5"/>
      <c r="I976" s="5"/>
      <c r="J976" s="5"/>
      <c r="K976" s="50"/>
      <c r="L976" s="50"/>
      <c r="M976" s="50"/>
      <c r="N976" s="50"/>
      <c r="O976" s="50"/>
      <c r="P976" s="50"/>
      <c r="Q976" s="50"/>
      <c r="R976" s="50"/>
      <c r="S976" s="50"/>
      <c r="T976" s="50"/>
      <c r="U976" s="50"/>
      <c r="V976" s="50"/>
      <c r="W976" s="50"/>
      <c r="X976" s="50"/>
      <c r="Y976" s="50"/>
      <c r="Z976" s="50"/>
      <c r="AA976" s="50"/>
      <c r="AB976" s="50"/>
    </row>
    <row r="977" customFormat="false" ht="15.75" hidden="false" customHeight="false" outlineLevel="0" collapsed="false">
      <c r="A977" s="50"/>
      <c r="B977" s="50"/>
      <c r="C977" s="5"/>
      <c r="D977" s="48"/>
      <c r="E977" s="50"/>
      <c r="F977" s="5"/>
      <c r="G977" s="5"/>
      <c r="H977" s="5"/>
      <c r="I977" s="5"/>
      <c r="J977" s="5"/>
      <c r="K977" s="50"/>
      <c r="L977" s="50"/>
      <c r="M977" s="50"/>
      <c r="N977" s="50"/>
      <c r="O977" s="50"/>
      <c r="P977" s="50"/>
      <c r="Q977" s="50"/>
      <c r="R977" s="50"/>
      <c r="S977" s="50"/>
      <c r="T977" s="50"/>
      <c r="U977" s="50"/>
      <c r="V977" s="50"/>
      <c r="W977" s="50"/>
      <c r="X977" s="50"/>
      <c r="Y977" s="50"/>
      <c r="Z977" s="50"/>
      <c r="AA977" s="50"/>
      <c r="AB977" s="50"/>
    </row>
    <row r="978" customFormat="false" ht="15.75" hidden="false" customHeight="false" outlineLevel="0" collapsed="false">
      <c r="A978" s="50"/>
      <c r="B978" s="50"/>
      <c r="C978" s="5"/>
      <c r="D978" s="48"/>
      <c r="E978" s="50"/>
      <c r="F978" s="5"/>
      <c r="G978" s="5"/>
      <c r="H978" s="5"/>
      <c r="I978" s="5"/>
      <c r="J978" s="5"/>
      <c r="K978" s="50"/>
      <c r="L978" s="50"/>
      <c r="M978" s="50"/>
      <c r="N978" s="50"/>
      <c r="O978" s="50"/>
      <c r="P978" s="50"/>
      <c r="Q978" s="50"/>
      <c r="R978" s="50"/>
      <c r="S978" s="50"/>
      <c r="T978" s="50"/>
      <c r="U978" s="50"/>
      <c r="V978" s="50"/>
      <c r="W978" s="50"/>
      <c r="X978" s="50"/>
      <c r="Y978" s="50"/>
      <c r="Z978" s="50"/>
      <c r="AA978" s="50"/>
      <c r="AB978" s="50"/>
    </row>
    <row r="979" customFormat="false" ht="15.75" hidden="false" customHeight="false" outlineLevel="0" collapsed="false">
      <c r="A979" s="50"/>
      <c r="B979" s="50"/>
      <c r="C979" s="5"/>
      <c r="D979" s="48"/>
      <c r="E979" s="50"/>
      <c r="F979" s="5"/>
      <c r="G979" s="5"/>
      <c r="H979" s="5"/>
      <c r="I979" s="5"/>
      <c r="J979" s="5"/>
      <c r="K979" s="50"/>
      <c r="L979" s="50"/>
      <c r="M979" s="50"/>
      <c r="N979" s="50"/>
      <c r="O979" s="50"/>
      <c r="P979" s="50"/>
      <c r="Q979" s="50"/>
      <c r="R979" s="50"/>
      <c r="S979" s="50"/>
      <c r="T979" s="50"/>
      <c r="U979" s="50"/>
      <c r="V979" s="50"/>
      <c r="W979" s="50"/>
      <c r="X979" s="50"/>
      <c r="Y979" s="50"/>
      <c r="Z979" s="50"/>
      <c r="AA979" s="50"/>
      <c r="AB979" s="50"/>
    </row>
    <row r="980" customFormat="false" ht="15.75" hidden="false" customHeight="false" outlineLevel="0" collapsed="false">
      <c r="A980" s="50"/>
      <c r="B980" s="50"/>
      <c r="C980" s="5"/>
      <c r="D980" s="48"/>
      <c r="E980" s="50"/>
      <c r="F980" s="5"/>
      <c r="G980" s="5"/>
      <c r="H980" s="5"/>
      <c r="I980" s="5"/>
      <c r="J980" s="5"/>
      <c r="K980" s="50"/>
      <c r="L980" s="50"/>
      <c r="M980" s="50"/>
      <c r="N980" s="50"/>
      <c r="O980" s="50"/>
      <c r="P980" s="50"/>
      <c r="Q980" s="50"/>
      <c r="R980" s="50"/>
      <c r="S980" s="50"/>
      <c r="T980" s="50"/>
      <c r="U980" s="50"/>
      <c r="V980" s="50"/>
      <c r="W980" s="50"/>
      <c r="X980" s="50"/>
      <c r="Y980" s="50"/>
      <c r="Z980" s="50"/>
      <c r="AA980" s="50"/>
      <c r="AB980" s="50"/>
    </row>
    <row r="981" customFormat="false" ht="15.75" hidden="false" customHeight="false" outlineLevel="0" collapsed="false">
      <c r="A981" s="50"/>
      <c r="B981" s="50"/>
      <c r="C981" s="5"/>
      <c r="D981" s="48"/>
      <c r="E981" s="50"/>
      <c r="F981" s="5"/>
      <c r="G981" s="5"/>
      <c r="H981" s="5"/>
      <c r="I981" s="5"/>
      <c r="J981" s="5"/>
      <c r="K981" s="50"/>
      <c r="L981" s="50"/>
      <c r="M981" s="50"/>
      <c r="N981" s="50"/>
      <c r="O981" s="50"/>
      <c r="P981" s="50"/>
      <c r="Q981" s="50"/>
      <c r="R981" s="50"/>
      <c r="S981" s="50"/>
      <c r="T981" s="50"/>
      <c r="U981" s="50"/>
      <c r="V981" s="50"/>
      <c r="W981" s="50"/>
      <c r="X981" s="50"/>
      <c r="Y981" s="50"/>
      <c r="Z981" s="50"/>
      <c r="AA981" s="50"/>
      <c r="AB981" s="50"/>
    </row>
    <row r="982" customFormat="false" ht="15.75" hidden="false" customHeight="false" outlineLevel="0" collapsed="false">
      <c r="A982" s="50"/>
      <c r="B982" s="50"/>
      <c r="C982" s="5"/>
      <c r="D982" s="48"/>
      <c r="E982" s="50"/>
      <c r="F982" s="5"/>
      <c r="G982" s="5"/>
      <c r="H982" s="5"/>
      <c r="I982" s="5"/>
      <c r="J982" s="5"/>
      <c r="K982" s="50"/>
      <c r="L982" s="50"/>
      <c r="M982" s="50"/>
      <c r="N982" s="50"/>
      <c r="O982" s="50"/>
      <c r="P982" s="50"/>
      <c r="Q982" s="50"/>
      <c r="R982" s="50"/>
      <c r="S982" s="50"/>
      <c r="T982" s="50"/>
      <c r="U982" s="50"/>
      <c r="V982" s="50"/>
      <c r="W982" s="50"/>
      <c r="X982" s="50"/>
      <c r="Y982" s="50"/>
      <c r="Z982" s="50"/>
      <c r="AA982" s="50"/>
      <c r="AB982" s="50"/>
    </row>
    <row r="983" customFormat="false" ht="15.75" hidden="false" customHeight="false" outlineLevel="0" collapsed="false">
      <c r="A983" s="50"/>
      <c r="B983" s="50"/>
      <c r="C983" s="5"/>
      <c r="D983" s="48"/>
      <c r="E983" s="50"/>
      <c r="F983" s="5"/>
      <c r="G983" s="5"/>
      <c r="H983" s="5"/>
      <c r="I983" s="5"/>
      <c r="J983" s="5"/>
      <c r="K983" s="50"/>
      <c r="L983" s="50"/>
      <c r="M983" s="50"/>
      <c r="N983" s="50"/>
      <c r="O983" s="50"/>
      <c r="P983" s="50"/>
      <c r="Q983" s="50"/>
      <c r="R983" s="50"/>
      <c r="S983" s="50"/>
      <c r="T983" s="50"/>
      <c r="U983" s="50"/>
      <c r="V983" s="50"/>
      <c r="W983" s="50"/>
      <c r="X983" s="50"/>
      <c r="Y983" s="50"/>
      <c r="Z983" s="50"/>
      <c r="AA983" s="50"/>
      <c r="AB983" s="50"/>
    </row>
    <row r="984" customFormat="false" ht="15.75" hidden="false" customHeight="false" outlineLevel="0" collapsed="false">
      <c r="A984" s="50"/>
      <c r="B984" s="50"/>
      <c r="C984" s="5"/>
      <c r="D984" s="48"/>
      <c r="E984" s="50"/>
      <c r="F984" s="5"/>
      <c r="G984" s="5"/>
      <c r="H984" s="5"/>
      <c r="I984" s="5"/>
      <c r="J984" s="5"/>
      <c r="K984" s="50"/>
      <c r="L984" s="50"/>
      <c r="M984" s="50"/>
      <c r="N984" s="50"/>
      <c r="O984" s="50"/>
      <c r="P984" s="50"/>
      <c r="Q984" s="50"/>
      <c r="R984" s="50"/>
      <c r="S984" s="50"/>
      <c r="T984" s="50"/>
      <c r="U984" s="50"/>
      <c r="V984" s="50"/>
      <c r="W984" s="50"/>
      <c r="X984" s="50"/>
      <c r="Y984" s="50"/>
      <c r="Z984" s="50"/>
      <c r="AA984" s="50"/>
      <c r="AB984" s="50"/>
    </row>
    <row r="985" customFormat="false" ht="15.75" hidden="false" customHeight="false" outlineLevel="0" collapsed="false">
      <c r="A985" s="50"/>
      <c r="B985" s="50"/>
      <c r="C985" s="5"/>
      <c r="D985" s="48"/>
      <c r="E985" s="50"/>
      <c r="F985" s="5"/>
      <c r="G985" s="5"/>
      <c r="H985" s="5"/>
      <c r="I985" s="5"/>
      <c r="J985" s="5"/>
      <c r="K985" s="50"/>
      <c r="L985" s="50"/>
      <c r="M985" s="50"/>
      <c r="N985" s="50"/>
      <c r="O985" s="50"/>
      <c r="P985" s="50"/>
      <c r="Q985" s="50"/>
      <c r="R985" s="50"/>
      <c r="S985" s="50"/>
      <c r="T985" s="50"/>
      <c r="U985" s="50"/>
      <c r="V985" s="50"/>
      <c r="W985" s="50"/>
      <c r="X985" s="50"/>
      <c r="Y985" s="50"/>
      <c r="Z985" s="50"/>
      <c r="AA985" s="50"/>
      <c r="AB985" s="50"/>
    </row>
    <row r="986" customFormat="false" ht="15.75" hidden="false" customHeight="false" outlineLevel="0" collapsed="false">
      <c r="A986" s="50"/>
      <c r="B986" s="50"/>
      <c r="C986" s="5"/>
      <c r="D986" s="48"/>
      <c r="E986" s="50"/>
      <c r="F986" s="5"/>
      <c r="G986" s="5"/>
      <c r="H986" s="5"/>
      <c r="I986" s="5"/>
      <c r="J986" s="5"/>
      <c r="K986" s="50"/>
      <c r="L986" s="50"/>
      <c r="M986" s="50"/>
      <c r="N986" s="50"/>
      <c r="O986" s="50"/>
      <c r="P986" s="50"/>
      <c r="Q986" s="50"/>
      <c r="R986" s="50"/>
      <c r="S986" s="50"/>
      <c r="T986" s="50"/>
      <c r="U986" s="50"/>
      <c r="V986" s="50"/>
      <c r="W986" s="50"/>
      <c r="X986" s="50"/>
      <c r="Y986" s="50"/>
      <c r="Z986" s="50"/>
      <c r="AA986" s="50"/>
      <c r="AB986" s="50"/>
    </row>
    <row r="987" customFormat="false" ht="15.75" hidden="false" customHeight="false" outlineLevel="0" collapsed="false">
      <c r="A987" s="50"/>
      <c r="B987" s="50"/>
      <c r="C987" s="5"/>
      <c r="D987" s="48"/>
      <c r="E987" s="50"/>
      <c r="F987" s="5"/>
      <c r="G987" s="5"/>
      <c r="H987" s="5"/>
      <c r="I987" s="5"/>
      <c r="J987" s="5"/>
      <c r="K987" s="50"/>
      <c r="L987" s="50"/>
      <c r="M987" s="50"/>
      <c r="N987" s="50"/>
      <c r="O987" s="50"/>
      <c r="P987" s="50"/>
      <c r="Q987" s="50"/>
      <c r="R987" s="50"/>
      <c r="S987" s="50"/>
      <c r="T987" s="50"/>
      <c r="U987" s="50"/>
      <c r="V987" s="50"/>
      <c r="W987" s="50"/>
      <c r="X987" s="50"/>
      <c r="Y987" s="50"/>
      <c r="Z987" s="50"/>
      <c r="AA987" s="50"/>
      <c r="AB987" s="50"/>
    </row>
    <row r="988" customFormat="false" ht="15.75" hidden="false" customHeight="false" outlineLevel="0" collapsed="false">
      <c r="A988" s="50"/>
      <c r="B988" s="50"/>
      <c r="C988" s="5"/>
      <c r="D988" s="48"/>
      <c r="E988" s="50"/>
      <c r="F988" s="5"/>
      <c r="G988" s="5"/>
      <c r="H988" s="5"/>
      <c r="I988" s="5"/>
      <c r="J988" s="5"/>
      <c r="K988" s="50"/>
      <c r="L988" s="50"/>
      <c r="M988" s="50"/>
      <c r="N988" s="50"/>
      <c r="O988" s="50"/>
      <c r="P988" s="50"/>
      <c r="Q988" s="50"/>
      <c r="R988" s="50"/>
      <c r="S988" s="50"/>
      <c r="T988" s="50"/>
      <c r="U988" s="50"/>
      <c r="V988" s="50"/>
      <c r="W988" s="50"/>
      <c r="X988" s="50"/>
      <c r="Y988" s="50"/>
      <c r="Z988" s="50"/>
      <c r="AA988" s="50"/>
      <c r="AB988" s="50"/>
    </row>
    <row r="989" customFormat="false" ht="15.75" hidden="false" customHeight="false" outlineLevel="0" collapsed="false">
      <c r="A989" s="50"/>
      <c r="B989" s="50"/>
      <c r="C989" s="5"/>
      <c r="D989" s="48"/>
      <c r="E989" s="50"/>
      <c r="F989" s="5"/>
      <c r="G989" s="5"/>
      <c r="H989" s="5"/>
      <c r="I989" s="5"/>
      <c r="J989" s="5"/>
      <c r="K989" s="50"/>
      <c r="L989" s="50"/>
      <c r="M989" s="50"/>
      <c r="N989" s="50"/>
      <c r="O989" s="50"/>
      <c r="P989" s="50"/>
      <c r="Q989" s="50"/>
      <c r="R989" s="50"/>
      <c r="S989" s="50"/>
      <c r="T989" s="50"/>
      <c r="U989" s="50"/>
      <c r="V989" s="50"/>
      <c r="W989" s="50"/>
      <c r="X989" s="50"/>
      <c r="Y989" s="50"/>
      <c r="Z989" s="50"/>
      <c r="AA989" s="50"/>
      <c r="AB989" s="50"/>
    </row>
    <row r="990" customFormat="false" ht="15.75" hidden="false" customHeight="false" outlineLevel="0" collapsed="false">
      <c r="A990" s="50"/>
      <c r="B990" s="50"/>
      <c r="C990" s="5"/>
      <c r="D990" s="48"/>
      <c r="E990" s="50"/>
      <c r="F990" s="5"/>
      <c r="G990" s="5"/>
      <c r="H990" s="5"/>
      <c r="I990" s="5"/>
      <c r="J990" s="5"/>
      <c r="K990" s="50"/>
      <c r="L990" s="50"/>
      <c r="M990" s="50"/>
      <c r="N990" s="50"/>
      <c r="O990" s="50"/>
      <c r="P990" s="50"/>
      <c r="Q990" s="50"/>
      <c r="R990" s="50"/>
      <c r="S990" s="50"/>
      <c r="T990" s="50"/>
      <c r="U990" s="50"/>
      <c r="V990" s="50"/>
      <c r="W990" s="50"/>
      <c r="X990" s="50"/>
      <c r="Y990" s="50"/>
      <c r="Z990" s="50"/>
      <c r="AA990" s="50"/>
      <c r="AB990" s="50"/>
    </row>
    <row r="991" customFormat="false" ht="15.75" hidden="false" customHeight="false" outlineLevel="0" collapsed="false">
      <c r="A991" s="50"/>
      <c r="B991" s="50"/>
      <c r="C991" s="5"/>
      <c r="D991" s="48"/>
      <c r="E991" s="50"/>
      <c r="F991" s="5"/>
      <c r="G991" s="5"/>
      <c r="H991" s="5"/>
      <c r="I991" s="5"/>
      <c r="J991" s="5"/>
      <c r="K991" s="50"/>
      <c r="L991" s="50"/>
      <c r="M991" s="50"/>
      <c r="N991" s="50"/>
      <c r="O991" s="50"/>
      <c r="P991" s="50"/>
      <c r="Q991" s="50"/>
      <c r="R991" s="50"/>
      <c r="S991" s="50"/>
      <c r="T991" s="50"/>
      <c r="U991" s="50"/>
      <c r="V991" s="50"/>
      <c r="W991" s="50"/>
      <c r="X991" s="50"/>
      <c r="Y991" s="50"/>
      <c r="Z991" s="50"/>
      <c r="AA991" s="50"/>
      <c r="AB991" s="50"/>
    </row>
    <row r="992" customFormat="false" ht="15.75" hidden="false" customHeight="false" outlineLevel="0" collapsed="false">
      <c r="A992" s="50"/>
      <c r="B992" s="50"/>
      <c r="C992" s="5"/>
      <c r="D992" s="48"/>
      <c r="E992" s="50"/>
      <c r="F992" s="5"/>
      <c r="G992" s="5"/>
      <c r="H992" s="5"/>
      <c r="I992" s="5"/>
      <c r="J992" s="5"/>
      <c r="K992" s="50"/>
      <c r="L992" s="50"/>
      <c r="M992" s="50"/>
      <c r="N992" s="50"/>
      <c r="O992" s="50"/>
      <c r="P992" s="50"/>
      <c r="Q992" s="50"/>
      <c r="R992" s="50"/>
      <c r="S992" s="50"/>
      <c r="T992" s="50"/>
      <c r="U992" s="50"/>
      <c r="V992" s="50"/>
      <c r="W992" s="50"/>
      <c r="X992" s="50"/>
      <c r="Y992" s="50"/>
      <c r="Z992" s="50"/>
      <c r="AA992" s="50"/>
      <c r="AB992" s="50"/>
    </row>
    <row r="993" customFormat="false" ht="15.75" hidden="false" customHeight="false" outlineLevel="0" collapsed="false">
      <c r="A993" s="50"/>
      <c r="B993" s="50"/>
      <c r="C993" s="5"/>
      <c r="D993" s="48"/>
      <c r="E993" s="50"/>
      <c r="F993" s="5"/>
      <c r="G993" s="5"/>
      <c r="H993" s="5"/>
      <c r="I993" s="5"/>
      <c r="J993" s="5"/>
      <c r="K993" s="50"/>
      <c r="L993" s="50"/>
      <c r="M993" s="50"/>
      <c r="N993" s="50"/>
      <c r="O993" s="50"/>
      <c r="P993" s="50"/>
      <c r="Q993" s="50"/>
      <c r="R993" s="50"/>
      <c r="S993" s="50"/>
      <c r="T993" s="50"/>
      <c r="U993" s="50"/>
      <c r="V993" s="50"/>
      <c r="W993" s="50"/>
      <c r="X993" s="50"/>
      <c r="Y993" s="50"/>
      <c r="Z993" s="50"/>
      <c r="AA993" s="50"/>
      <c r="AB993" s="50"/>
    </row>
    <row r="994" customFormat="false" ht="15.75" hidden="false" customHeight="false" outlineLevel="0" collapsed="false">
      <c r="A994" s="50"/>
      <c r="B994" s="50"/>
      <c r="C994" s="5"/>
      <c r="D994" s="48"/>
      <c r="E994" s="50"/>
      <c r="F994" s="5"/>
      <c r="G994" s="5"/>
      <c r="H994" s="5"/>
      <c r="I994" s="5"/>
      <c r="J994" s="5"/>
      <c r="K994" s="50"/>
      <c r="L994" s="50"/>
      <c r="M994" s="50"/>
      <c r="N994" s="50"/>
      <c r="O994" s="50"/>
      <c r="P994" s="50"/>
      <c r="Q994" s="50"/>
      <c r="R994" s="50"/>
      <c r="S994" s="50"/>
      <c r="T994" s="50"/>
      <c r="U994" s="50"/>
      <c r="V994" s="50"/>
      <c r="W994" s="50"/>
      <c r="X994" s="50"/>
      <c r="Y994" s="50"/>
      <c r="Z994" s="50"/>
      <c r="AA994" s="50"/>
      <c r="AB994" s="50"/>
    </row>
    <row r="995" customFormat="false" ht="15.75" hidden="false" customHeight="false" outlineLevel="0" collapsed="false">
      <c r="A995" s="50"/>
      <c r="B995" s="50"/>
      <c r="C995" s="5"/>
      <c r="D995" s="48"/>
      <c r="E995" s="50"/>
      <c r="F995" s="5"/>
      <c r="G995" s="5"/>
      <c r="H995" s="5"/>
      <c r="I995" s="5"/>
      <c r="J995" s="5"/>
      <c r="K995" s="50"/>
      <c r="L995" s="50"/>
      <c r="M995" s="50"/>
      <c r="N995" s="50"/>
      <c r="O995" s="50"/>
      <c r="P995" s="50"/>
      <c r="Q995" s="50"/>
      <c r="R995" s="50"/>
      <c r="S995" s="50"/>
      <c r="T995" s="50"/>
      <c r="U995" s="50"/>
      <c r="V995" s="50"/>
      <c r="W995" s="50"/>
      <c r="X995" s="50"/>
      <c r="Y995" s="50"/>
      <c r="Z995" s="50"/>
      <c r="AA995" s="50"/>
      <c r="AB995" s="50"/>
    </row>
    <row r="996" customFormat="false" ht="15.75" hidden="false" customHeight="false" outlineLevel="0" collapsed="false">
      <c r="A996" s="50"/>
      <c r="B996" s="50"/>
      <c r="C996" s="5"/>
      <c r="D996" s="48"/>
      <c r="E996" s="50"/>
      <c r="F996" s="5"/>
      <c r="G996" s="5"/>
      <c r="H996" s="5"/>
      <c r="I996" s="5"/>
      <c r="J996" s="5"/>
      <c r="K996" s="50"/>
      <c r="L996" s="50"/>
      <c r="M996" s="50"/>
      <c r="N996" s="50"/>
      <c r="O996" s="50"/>
      <c r="P996" s="50"/>
      <c r="Q996" s="50"/>
      <c r="R996" s="50"/>
      <c r="S996" s="50"/>
      <c r="T996" s="50"/>
      <c r="U996" s="50"/>
      <c r="V996" s="50"/>
      <c r="W996" s="50"/>
      <c r="X996" s="50"/>
      <c r="Y996" s="50"/>
      <c r="Z996" s="50"/>
      <c r="AA996" s="50"/>
      <c r="AB996" s="50"/>
    </row>
    <row r="997" customFormat="false" ht="15.75" hidden="false" customHeight="false" outlineLevel="0" collapsed="false">
      <c r="A997" s="50"/>
      <c r="B997" s="50"/>
      <c r="C997" s="5"/>
      <c r="D997" s="48"/>
      <c r="E997" s="50"/>
      <c r="F997" s="5"/>
      <c r="G997" s="5"/>
      <c r="H997" s="5"/>
      <c r="I997" s="5"/>
      <c r="J997" s="5"/>
      <c r="K997" s="50"/>
      <c r="L997" s="50"/>
      <c r="M997" s="50"/>
      <c r="N997" s="50"/>
      <c r="O997" s="50"/>
      <c r="P997" s="50"/>
      <c r="Q997" s="50"/>
      <c r="R997" s="50"/>
      <c r="S997" s="50"/>
      <c r="T997" s="50"/>
      <c r="U997" s="50"/>
      <c r="V997" s="50"/>
      <c r="W997" s="50"/>
      <c r="X997" s="50"/>
      <c r="Y997" s="50"/>
      <c r="Z997" s="50"/>
      <c r="AA997" s="50"/>
      <c r="AB997" s="50"/>
    </row>
    <row r="998" customFormat="false" ht="15.75" hidden="false" customHeight="false" outlineLevel="0" collapsed="false">
      <c r="A998" s="50"/>
      <c r="B998" s="50"/>
      <c r="C998" s="5"/>
      <c r="D998" s="48"/>
      <c r="E998" s="50"/>
      <c r="F998" s="5"/>
      <c r="G998" s="5"/>
      <c r="H998" s="5"/>
      <c r="I998" s="5"/>
      <c r="J998" s="5"/>
      <c r="K998" s="50"/>
      <c r="L998" s="50"/>
      <c r="M998" s="50"/>
      <c r="N998" s="50"/>
      <c r="O998" s="50"/>
      <c r="P998" s="50"/>
      <c r="Q998" s="50"/>
      <c r="R998" s="50"/>
      <c r="S998" s="50"/>
      <c r="T998" s="50"/>
      <c r="U998" s="50"/>
      <c r="V998" s="50"/>
      <c r="W998" s="50"/>
      <c r="X998" s="50"/>
      <c r="Y998" s="50"/>
      <c r="Z998" s="50"/>
      <c r="AA998" s="50"/>
      <c r="AB998" s="50"/>
    </row>
    <row r="999" customFormat="false" ht="15.75" hidden="false" customHeight="false" outlineLevel="0" collapsed="false">
      <c r="A999" s="50"/>
      <c r="B999" s="50"/>
      <c r="C999" s="5"/>
      <c r="D999" s="48"/>
      <c r="E999" s="50"/>
      <c r="F999" s="5"/>
      <c r="G999" s="5"/>
      <c r="H999" s="5"/>
      <c r="I999" s="5"/>
      <c r="J999" s="5"/>
      <c r="K999" s="50"/>
      <c r="L999" s="50"/>
      <c r="M999" s="50"/>
      <c r="N999" s="50"/>
      <c r="O999" s="50"/>
      <c r="P999" s="50"/>
      <c r="Q999" s="50"/>
      <c r="R999" s="50"/>
      <c r="S999" s="50"/>
      <c r="T999" s="50"/>
      <c r="U999" s="50"/>
      <c r="V999" s="50"/>
      <c r="W999" s="50"/>
      <c r="X999" s="50"/>
      <c r="Y999" s="50"/>
      <c r="Z999" s="50"/>
      <c r="AA999" s="50"/>
      <c r="AB999" s="50"/>
    </row>
    <row r="1000" customFormat="false" ht="15.75" hidden="false" customHeight="false" outlineLevel="0" collapsed="false">
      <c r="A1000" s="50"/>
      <c r="B1000" s="50"/>
      <c r="C1000" s="5"/>
      <c r="D1000" s="48"/>
      <c r="E1000" s="50"/>
      <c r="F1000" s="5"/>
      <c r="G1000" s="5"/>
      <c r="H1000" s="5"/>
      <c r="I1000" s="5"/>
      <c r="J1000" s="5"/>
      <c r="K1000" s="50"/>
      <c r="L1000" s="50"/>
      <c r="M1000" s="50"/>
      <c r="N1000" s="50"/>
      <c r="O1000" s="50"/>
      <c r="P1000" s="50"/>
      <c r="Q1000" s="50"/>
      <c r="R1000" s="50"/>
      <c r="S1000" s="50"/>
      <c r="T1000" s="50"/>
      <c r="U1000" s="50"/>
      <c r="V1000" s="50"/>
      <c r="W1000" s="50"/>
      <c r="X1000" s="50"/>
      <c r="Y1000" s="50"/>
      <c r="Z1000" s="50"/>
      <c r="AA1000" s="50"/>
      <c r="AB1000" s="50"/>
    </row>
    <row r="1001" customFormat="false" ht="15.75" hidden="false" customHeight="false" outlineLevel="0" collapsed="false">
      <c r="A1001" s="50"/>
      <c r="B1001" s="50"/>
      <c r="C1001" s="5"/>
      <c r="D1001" s="48"/>
      <c r="E1001" s="50"/>
      <c r="F1001" s="5"/>
      <c r="G1001" s="5"/>
      <c r="H1001" s="5"/>
      <c r="I1001" s="5"/>
      <c r="J1001" s="5"/>
      <c r="K1001" s="50"/>
      <c r="L1001" s="50"/>
      <c r="M1001" s="50"/>
      <c r="N1001" s="50"/>
      <c r="O1001" s="50"/>
      <c r="P1001" s="50"/>
      <c r="Q1001" s="50"/>
      <c r="R1001" s="50"/>
      <c r="S1001" s="50"/>
      <c r="T1001" s="50"/>
      <c r="U1001" s="50"/>
      <c r="V1001" s="50"/>
      <c r="W1001" s="50"/>
      <c r="X1001" s="50"/>
      <c r="Y1001" s="50"/>
      <c r="Z1001" s="50"/>
      <c r="AA1001" s="50"/>
      <c r="AB1001" s="50"/>
    </row>
    <row r="1002" customFormat="false" ht="15.75" hidden="false" customHeight="false" outlineLevel="0" collapsed="false">
      <c r="A1002" s="50"/>
      <c r="B1002" s="50"/>
      <c r="C1002" s="5"/>
      <c r="D1002" s="48"/>
      <c r="E1002" s="50"/>
      <c r="F1002" s="5"/>
      <c r="G1002" s="5"/>
      <c r="H1002" s="5"/>
      <c r="I1002" s="5"/>
      <c r="J1002" s="5"/>
      <c r="K1002" s="50"/>
      <c r="L1002" s="50"/>
      <c r="M1002" s="50"/>
      <c r="N1002" s="50"/>
      <c r="O1002" s="50"/>
      <c r="P1002" s="50"/>
      <c r="Q1002" s="50"/>
      <c r="R1002" s="50"/>
      <c r="S1002" s="50"/>
      <c r="T1002" s="50"/>
      <c r="U1002" s="50"/>
      <c r="V1002" s="50"/>
      <c r="W1002" s="50"/>
      <c r="X1002" s="50"/>
      <c r="Y1002" s="50"/>
      <c r="Z1002" s="50"/>
      <c r="AA1002" s="50"/>
      <c r="AB1002" s="50"/>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7:E10 E12:E15 E17:E20 E22:E25 E27:E30 E32:E35 E37:E40 E42:E45 E47:E50 E52:E55 E57:E60 E62:E65 E67:E70 E72:E75 E77:E80 E82:E85 E87:E90 E92:E95 E97:E100 E102:E105 E107:E110 E112:E115 E117:E120 E122:E125 E127:E130 E132:E135 E137:E140 E142:E145 E147:E150 E152:E155 E157:E160 E162:E165">
    <cfRule type="colorScale" priority="2">
      <colorScale>
        <cfvo type="formula" val="0"/>
        <cfvo type="formula" val="0.5"/>
        <cfvo type="formula" val="1"/>
        <color rgb="FFFFFFFF"/>
        <color rgb="FFF3BEB9"/>
        <color rgb="FFE67C73"/>
      </colorScale>
    </cfRule>
  </conditionalFormatting>
  <conditionalFormatting sqref="E2:E1002">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mundua/aragonesek-lehen-lerro-politikoa-utziko-du_2125045_102.html"/>
    <hyperlink ref="A7" r:id="rId3" display="https://www.berria.eus/kirola/derbi-bikoitza_2118881_102.html"/>
    <hyperlink ref="A12" r:id="rId4" display="https://www.berria.eus/kirola/berriro-etxean-sentitzeko_2117830_102.html"/>
    <hyperlink ref="A17" r:id="rId5" display="https://www.berria.eus/komunikazioa/generacion-porno-dokumental-saioa-egin-dute-etbk-eta-tv3ek_1341518_102.html"/>
    <hyperlink ref="A22" r:id="rId6" display="https://www.berria.eus/kirola/artolak-nagusitasunez-irabazi-dio-zabaleri_2124679_102.html"/>
    <hyperlink ref="A27" r:id="rId7" display="https://www.berria.eus/mundua/gutxienez-40-hildako-eta-dozenaka-zauritu-moskun-gertatutako-tiroketa-batean_2122731_102.html"/>
    <hyperlink ref="A32" r:id="rId8" display="https://www.berria.eus/bizigiro/ohartu-behar-dugu-bizi-garen-jendartea-dominazioaren-kultura-batean-oinarritzen-dela_2121952_102.html"/>
    <hyperlink ref="A37" r:id="rId9" display="https://www.berria.eus/ekonomia/energiaren-euskal-erakundea-energia-konpainien-zergaren-aurka_234607_102.html"/>
    <hyperlink ref="A42" r:id="rId10" display="https://www.berria.eus/kultura/benat-arrutik-irabazi-du-donostia-kultura-vii-poesia-lehiaketa_2122642_102.html"/>
    <hyperlink ref="A47" r:id="rId11" display="https://www.berria.eus/mundua/aleksei-navalni-hil-da_212084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4" t="s">
        <v>29</v>
      </c>
      <c r="E1" s="45"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76" t="s">
        <v>30</v>
      </c>
      <c r="B2" s="47" t="s">
        <v>31</v>
      </c>
      <c r="C2" s="5" t="s">
        <v>18</v>
      </c>
      <c r="D2" s="48" t="s">
        <v>111</v>
      </c>
      <c r="E2" s="77" t="n">
        <f aca="false">IFERROR(__xludf.dummyfunction("COUNTA(SPLIT(D2,"" ""))/COUNTA(SPLIT($B$2,"" ""))"),0.0207823960880196)</f>
        <v>0.02078239609</v>
      </c>
      <c r="F2" s="5" t="n">
        <v>2</v>
      </c>
      <c r="G2" s="5" t="n">
        <v>4</v>
      </c>
      <c r="H2" s="5" t="n">
        <v>3</v>
      </c>
      <c r="I2" s="5" t="n">
        <v>1</v>
      </c>
      <c r="J2" s="5" t="n">
        <v>1</v>
      </c>
      <c r="K2" s="50"/>
      <c r="L2" s="50"/>
      <c r="M2" s="50"/>
      <c r="N2" s="50"/>
      <c r="O2" s="50"/>
      <c r="P2" s="50"/>
      <c r="Q2" s="50"/>
      <c r="R2" s="50"/>
      <c r="S2" s="50"/>
      <c r="T2" s="50"/>
      <c r="U2" s="50"/>
      <c r="V2" s="50"/>
      <c r="W2" s="50"/>
      <c r="X2" s="50"/>
      <c r="Y2" s="50"/>
      <c r="Z2" s="50"/>
      <c r="AA2" s="50"/>
      <c r="AB2" s="50"/>
    </row>
    <row r="3" customFormat="false" ht="225" hidden="false" customHeight="true" outlineLevel="0" collapsed="false">
      <c r="A3" s="76"/>
      <c r="B3" s="76"/>
      <c r="C3" s="5" t="s">
        <v>19</v>
      </c>
      <c r="D3" s="48" t="s">
        <v>112</v>
      </c>
      <c r="E3" s="78" t="n">
        <f aca="false">IFERROR(__xludf.dummyfunction("COUNTA(SPLIT(D3,"" ""))/COUNTA(SPLIT($B$2,"" ""))"),0.0990220048899756)</f>
        <v>0.09902200489</v>
      </c>
      <c r="F3" s="5" t="n">
        <v>3</v>
      </c>
      <c r="G3" s="5" t="n">
        <v>3</v>
      </c>
      <c r="H3" s="5" t="n">
        <v>2</v>
      </c>
      <c r="I3" s="5" t="n">
        <v>1</v>
      </c>
      <c r="J3" s="5" t="n">
        <v>1</v>
      </c>
      <c r="K3" s="50"/>
      <c r="L3" s="50"/>
      <c r="M3" s="50"/>
      <c r="N3" s="50"/>
      <c r="O3" s="50"/>
      <c r="P3" s="50"/>
      <c r="Q3" s="50"/>
      <c r="R3" s="50"/>
      <c r="S3" s="50"/>
      <c r="T3" s="50"/>
      <c r="U3" s="50"/>
      <c r="V3" s="50"/>
      <c r="W3" s="50"/>
      <c r="X3" s="50"/>
      <c r="Y3" s="50"/>
      <c r="Z3" s="50"/>
      <c r="AA3" s="50"/>
      <c r="AB3" s="50"/>
    </row>
    <row r="4" customFormat="false" ht="225" hidden="false" customHeight="true" outlineLevel="0" collapsed="false">
      <c r="A4" s="76"/>
      <c r="B4" s="76"/>
      <c r="C4" s="5" t="s">
        <v>8</v>
      </c>
      <c r="D4" s="48" t="s">
        <v>113</v>
      </c>
      <c r="E4" s="79" t="n">
        <f aca="false">IFERROR(__xludf.dummyfunction("COUNTA(SPLIT(D4,"" ""))/COUNTA(SPLIT($B$2,"" ""))"),0.0916870415647922)</f>
        <v>0.09168704156</v>
      </c>
      <c r="F4" s="5" t="n">
        <v>2</v>
      </c>
      <c r="G4" s="5" t="n">
        <v>4</v>
      </c>
      <c r="H4" s="5" t="n">
        <v>2</v>
      </c>
      <c r="I4" s="5" t="n">
        <v>3</v>
      </c>
      <c r="J4" s="5" t="n">
        <v>2</v>
      </c>
      <c r="K4" s="50"/>
      <c r="L4" s="50"/>
      <c r="M4" s="50"/>
      <c r="N4" s="50"/>
      <c r="O4" s="50"/>
      <c r="P4" s="50"/>
      <c r="Q4" s="50"/>
      <c r="R4" s="50"/>
      <c r="S4" s="50"/>
      <c r="T4" s="50"/>
      <c r="U4" s="50"/>
      <c r="V4" s="50"/>
      <c r="W4" s="50"/>
      <c r="X4" s="50"/>
      <c r="Y4" s="50"/>
      <c r="Z4" s="50"/>
      <c r="AA4" s="50"/>
      <c r="AB4" s="50"/>
    </row>
    <row r="5" customFormat="false" ht="225" hidden="false" customHeight="true" outlineLevel="0" collapsed="false">
      <c r="A5" s="76"/>
      <c r="B5" s="76"/>
      <c r="C5" s="5" t="s">
        <v>20</v>
      </c>
      <c r="D5" s="48" t="s">
        <v>114</v>
      </c>
      <c r="E5" s="80" t="n">
        <f aca="false">IFERROR(__xludf.dummyfunction("COUNTA(SPLIT(D5,"" ""))/COUNTA(SPLIT($B$2,"" ""))"),1.22493887530562)</f>
        <v>1.224938875</v>
      </c>
      <c r="F5" s="5" t="n">
        <v>5</v>
      </c>
      <c r="G5" s="5" t="n">
        <v>3</v>
      </c>
      <c r="H5" s="5" t="n">
        <v>1</v>
      </c>
      <c r="I5" s="5" t="n">
        <v>1</v>
      </c>
      <c r="J5" s="5" t="n">
        <v>5</v>
      </c>
      <c r="K5" s="50"/>
      <c r="L5" s="50"/>
      <c r="M5" s="50"/>
      <c r="N5" s="50"/>
      <c r="O5" s="50"/>
      <c r="P5" s="50"/>
      <c r="Q5" s="50"/>
      <c r="R5" s="50"/>
      <c r="S5" s="50"/>
      <c r="T5" s="50"/>
      <c r="U5" s="50"/>
      <c r="V5" s="50"/>
      <c r="W5" s="50"/>
      <c r="X5" s="50"/>
      <c r="Y5" s="50"/>
      <c r="Z5" s="50"/>
      <c r="AA5" s="50"/>
      <c r="AB5" s="50"/>
    </row>
    <row r="6" customFormat="false" ht="15.75" hidden="false" customHeight="false" outlineLevel="0" collapsed="false">
      <c r="A6" s="50"/>
      <c r="B6" s="50"/>
      <c r="C6" s="5"/>
      <c r="D6" s="48"/>
      <c r="E6" s="52"/>
      <c r="F6" s="5"/>
      <c r="G6" s="5"/>
      <c r="H6" s="5"/>
      <c r="I6" s="5"/>
      <c r="J6" s="5"/>
      <c r="K6" s="50"/>
      <c r="L6" s="50"/>
      <c r="M6" s="50"/>
      <c r="N6" s="50"/>
      <c r="O6" s="50"/>
      <c r="P6" s="50"/>
      <c r="Q6" s="50"/>
      <c r="R6" s="50"/>
      <c r="S6" s="50"/>
      <c r="T6" s="50"/>
      <c r="U6" s="50"/>
      <c r="V6" s="50"/>
      <c r="W6" s="50"/>
      <c r="X6" s="50"/>
      <c r="Y6" s="50"/>
      <c r="Z6" s="50"/>
      <c r="AA6" s="50"/>
      <c r="AB6" s="50"/>
    </row>
    <row r="7" customFormat="false" ht="225" hidden="false" customHeight="true" outlineLevel="0" collapsed="false">
      <c r="A7" s="53" t="s">
        <v>35</v>
      </c>
      <c r="B7" s="54" t="s">
        <v>36</v>
      </c>
      <c r="C7" s="55" t="s">
        <v>18</v>
      </c>
      <c r="D7" s="56" t="s">
        <v>115</v>
      </c>
      <c r="E7" s="81" t="n">
        <f aca="false">IFERROR(__xludf.dummyfunction("COUNTA(SPLIT(D7,"" ""))/COUNTA(SPLIT($B$7,"" ""))"),0.779166666666667)</f>
        <v>0.7791666667</v>
      </c>
      <c r="F7" s="55" t="n">
        <v>4</v>
      </c>
      <c r="G7" s="55" t="n">
        <v>3</v>
      </c>
      <c r="H7" s="55" t="n">
        <v>3</v>
      </c>
      <c r="I7" s="55" t="n">
        <v>3</v>
      </c>
      <c r="J7" s="55" t="n">
        <v>3</v>
      </c>
      <c r="K7" s="58"/>
      <c r="L7" s="58"/>
      <c r="M7" s="58"/>
      <c r="N7" s="58"/>
      <c r="O7" s="58"/>
      <c r="P7" s="58"/>
      <c r="Q7" s="58"/>
      <c r="R7" s="58"/>
      <c r="S7" s="58"/>
      <c r="T7" s="58"/>
      <c r="U7" s="58"/>
      <c r="V7" s="58"/>
      <c r="W7" s="58"/>
      <c r="X7" s="58"/>
      <c r="Y7" s="58"/>
      <c r="Z7" s="58"/>
      <c r="AA7" s="58"/>
      <c r="AB7" s="58"/>
    </row>
    <row r="8" customFormat="false" ht="225" hidden="false" customHeight="true" outlineLevel="0" collapsed="false">
      <c r="A8" s="53"/>
      <c r="B8" s="53"/>
      <c r="C8" s="5" t="s">
        <v>19</v>
      </c>
      <c r="D8" s="48" t="s">
        <v>116</v>
      </c>
      <c r="E8" s="82" t="n">
        <f aca="false">IFERROR(__xludf.dummyfunction("COUNTA(SPLIT(D8,"" ""))/COUNTA(SPLIT($B$7,"" ""))"),0.354166666666667)</f>
        <v>0.3541666667</v>
      </c>
      <c r="F8" s="5" t="n">
        <v>4</v>
      </c>
      <c r="G8" s="5" t="n">
        <v>4</v>
      </c>
      <c r="H8" s="5" t="n">
        <v>5</v>
      </c>
      <c r="I8" s="5" t="n">
        <v>3</v>
      </c>
      <c r="J8" s="5" t="n">
        <v>4</v>
      </c>
      <c r="K8" s="50"/>
      <c r="L8" s="50"/>
      <c r="M8" s="50"/>
      <c r="N8" s="50"/>
      <c r="O8" s="50"/>
      <c r="P8" s="50"/>
      <c r="Q8" s="50"/>
      <c r="R8" s="50"/>
      <c r="S8" s="50"/>
      <c r="T8" s="50"/>
      <c r="U8" s="50"/>
      <c r="V8" s="50"/>
      <c r="W8" s="50"/>
      <c r="X8" s="50"/>
      <c r="Y8" s="50"/>
      <c r="Z8" s="50"/>
      <c r="AA8" s="50"/>
      <c r="AB8" s="50"/>
    </row>
    <row r="9" customFormat="false" ht="225" hidden="false" customHeight="true" outlineLevel="0" collapsed="false">
      <c r="A9" s="53"/>
      <c r="B9" s="53"/>
      <c r="C9" s="5" t="s">
        <v>8</v>
      </c>
      <c r="D9" s="48" t="s">
        <v>117</v>
      </c>
      <c r="E9" s="83" t="n">
        <f aca="false">IFERROR(__xludf.dummyfunction("COUNTA(SPLIT(D9,"" ""))/COUNTA(SPLIT($B$7,"" ""))"),0.375)</f>
        <v>0.375</v>
      </c>
      <c r="F9" s="5" t="n">
        <v>2</v>
      </c>
      <c r="G9" s="5" t="n">
        <v>4</v>
      </c>
      <c r="H9" s="5" t="n">
        <v>4</v>
      </c>
      <c r="I9" s="5" t="n">
        <v>4</v>
      </c>
      <c r="J9" s="5" t="n">
        <v>4</v>
      </c>
      <c r="K9" s="50"/>
      <c r="L9" s="50"/>
      <c r="M9" s="50"/>
      <c r="N9" s="50"/>
      <c r="O9" s="50"/>
      <c r="P9" s="50"/>
      <c r="Q9" s="50"/>
      <c r="R9" s="50"/>
      <c r="S9" s="50"/>
      <c r="T9" s="50"/>
      <c r="U9" s="50"/>
      <c r="V9" s="50"/>
      <c r="W9" s="50"/>
      <c r="X9" s="50"/>
      <c r="Y9" s="50"/>
      <c r="Z9" s="50"/>
      <c r="AA9" s="50"/>
      <c r="AB9" s="50"/>
    </row>
    <row r="10" customFormat="false" ht="225" hidden="false" customHeight="true" outlineLevel="0" collapsed="false">
      <c r="A10" s="53"/>
      <c r="B10" s="53"/>
      <c r="C10" s="5" t="s">
        <v>20</v>
      </c>
      <c r="D10" s="48" t="s">
        <v>118</v>
      </c>
      <c r="E10" s="84" t="n">
        <f aca="false">IFERROR(__xludf.dummyfunction("COUNTA(SPLIT(D10,"" ""))/COUNTA(SPLIT($B$7,"" ""))"),0.583333333333333)</f>
        <v>0.5833333333</v>
      </c>
      <c r="F10" s="5" t="n">
        <v>2</v>
      </c>
      <c r="G10" s="5" t="n">
        <v>3</v>
      </c>
      <c r="H10" s="5" t="n">
        <v>3</v>
      </c>
      <c r="I10" s="5" t="n">
        <v>3</v>
      </c>
      <c r="J10" s="5" t="n">
        <v>4</v>
      </c>
      <c r="K10" s="50"/>
      <c r="L10" s="50"/>
      <c r="M10" s="50"/>
      <c r="N10" s="50"/>
      <c r="O10" s="50"/>
      <c r="P10" s="50"/>
      <c r="Q10" s="50"/>
      <c r="R10" s="50"/>
      <c r="S10" s="50"/>
      <c r="T10" s="50"/>
      <c r="U10" s="50"/>
      <c r="V10" s="50"/>
      <c r="W10" s="50"/>
      <c r="X10" s="50"/>
      <c r="Y10" s="50"/>
      <c r="Z10" s="50"/>
      <c r="AA10" s="50"/>
      <c r="AB10" s="50"/>
    </row>
    <row r="11" customFormat="false" ht="15.75" hidden="false" customHeight="false" outlineLevel="0" collapsed="false">
      <c r="A11" s="50"/>
      <c r="B11" s="50"/>
      <c r="C11" s="5"/>
      <c r="D11" s="48"/>
      <c r="E11" s="52"/>
      <c r="F11" s="5"/>
      <c r="G11" s="5"/>
      <c r="H11" s="5"/>
      <c r="I11" s="5"/>
      <c r="J11" s="5"/>
      <c r="K11" s="50"/>
      <c r="L11" s="50"/>
      <c r="M11" s="50"/>
      <c r="N11" s="50"/>
      <c r="O11" s="50"/>
      <c r="P11" s="50"/>
      <c r="Q11" s="50"/>
      <c r="R11" s="50"/>
      <c r="S11" s="50"/>
      <c r="T11" s="50"/>
      <c r="U11" s="50"/>
      <c r="V11" s="50"/>
      <c r="W11" s="50"/>
      <c r="X11" s="50"/>
      <c r="Y11" s="50"/>
      <c r="Z11" s="50"/>
      <c r="AA11" s="50"/>
      <c r="AB11" s="50"/>
    </row>
    <row r="12" customFormat="false" ht="225" hidden="false" customHeight="true" outlineLevel="0" collapsed="false">
      <c r="A12" s="53" t="s">
        <v>39</v>
      </c>
      <c r="B12" s="54" t="s">
        <v>40</v>
      </c>
      <c r="C12" s="55" t="s">
        <v>18</v>
      </c>
      <c r="D12" s="56" t="s">
        <v>119</v>
      </c>
      <c r="E12" s="85" t="n">
        <f aca="false">IFERROR(__xludf.dummyfunction("COUNTA(SPLIT(D12,"" ""))/COUNTA(SPLIT($B$12,"" ""))"),0.610909090909091)</f>
        <v>0.6109090909</v>
      </c>
      <c r="F12" s="55" t="n">
        <v>5</v>
      </c>
      <c r="G12" s="55" t="n">
        <v>2</v>
      </c>
      <c r="H12" s="55" t="n">
        <v>1</v>
      </c>
      <c r="I12" s="55" t="n">
        <v>2</v>
      </c>
      <c r="J12" s="55" t="n">
        <v>4</v>
      </c>
      <c r="K12" s="58"/>
      <c r="L12" s="58"/>
      <c r="M12" s="58"/>
      <c r="N12" s="58"/>
      <c r="O12" s="58"/>
      <c r="P12" s="58"/>
      <c r="Q12" s="58"/>
      <c r="R12" s="58"/>
      <c r="S12" s="58"/>
      <c r="T12" s="58"/>
      <c r="U12" s="58"/>
      <c r="V12" s="58"/>
      <c r="W12" s="58"/>
      <c r="X12" s="58"/>
      <c r="Y12" s="58"/>
      <c r="Z12" s="58"/>
      <c r="AA12" s="58"/>
      <c r="AB12" s="58"/>
    </row>
    <row r="13" customFormat="false" ht="225" hidden="false" customHeight="true" outlineLevel="0" collapsed="false">
      <c r="A13" s="53"/>
      <c r="B13" s="53"/>
      <c r="C13" s="5" t="s">
        <v>19</v>
      </c>
      <c r="D13" s="48" t="s">
        <v>120</v>
      </c>
      <c r="E13" s="85" t="n">
        <f aca="false">IFERROR(__xludf.dummyfunction("COUNTA(SPLIT(D13,"" ""))/COUNTA(SPLIT($B$12,"" ""))"),0.216363636363636)</f>
        <v>0.2163636364</v>
      </c>
      <c r="F13" s="5" t="n">
        <v>3</v>
      </c>
      <c r="G13" s="5" t="n">
        <v>3</v>
      </c>
      <c r="H13" s="5" t="n">
        <v>3</v>
      </c>
      <c r="I13" s="5" t="n">
        <v>3</v>
      </c>
      <c r="J13" s="5" t="n">
        <v>3</v>
      </c>
      <c r="K13" s="50"/>
      <c r="L13" s="50"/>
      <c r="M13" s="50"/>
      <c r="N13" s="50"/>
      <c r="O13" s="50"/>
      <c r="P13" s="50"/>
      <c r="Q13" s="50"/>
      <c r="R13" s="50"/>
      <c r="S13" s="50"/>
      <c r="T13" s="50"/>
      <c r="U13" s="50"/>
      <c r="V13" s="50"/>
      <c r="W13" s="50"/>
      <c r="X13" s="50"/>
      <c r="Y13" s="50"/>
      <c r="Z13" s="50"/>
      <c r="AA13" s="50"/>
      <c r="AB13" s="50"/>
    </row>
    <row r="14" customFormat="false" ht="225" hidden="false" customHeight="true" outlineLevel="0" collapsed="false">
      <c r="A14" s="53"/>
      <c r="B14" s="53"/>
      <c r="C14" s="5" t="s">
        <v>8</v>
      </c>
      <c r="D14" s="48" t="s">
        <v>121</v>
      </c>
      <c r="E14" s="86" t="n">
        <f aca="false">IFERROR(__xludf.dummyfunction("COUNTA(SPLIT(D14,"" ""))/COUNTA(SPLIT($B$12,"" ""))"),0.214545454545455)</f>
        <v>0.2145454545</v>
      </c>
      <c r="F14" s="5" t="n">
        <v>2</v>
      </c>
      <c r="G14" s="5" t="n">
        <v>3</v>
      </c>
      <c r="H14" s="5" t="n">
        <v>3</v>
      </c>
      <c r="I14" s="5" t="n">
        <v>3</v>
      </c>
      <c r="J14" s="5" t="n">
        <v>5</v>
      </c>
      <c r="K14" s="50"/>
      <c r="L14" s="50"/>
      <c r="M14" s="50"/>
      <c r="N14" s="50"/>
      <c r="O14" s="50"/>
      <c r="P14" s="50"/>
      <c r="Q14" s="50"/>
      <c r="R14" s="50"/>
      <c r="S14" s="50"/>
      <c r="T14" s="50"/>
      <c r="U14" s="50"/>
      <c r="V14" s="50"/>
      <c r="W14" s="50"/>
      <c r="X14" s="50"/>
      <c r="Y14" s="50"/>
      <c r="Z14" s="50"/>
      <c r="AA14" s="50"/>
      <c r="AB14" s="50"/>
    </row>
    <row r="15" customFormat="false" ht="225" hidden="false" customHeight="true" outlineLevel="0" collapsed="false">
      <c r="A15" s="53"/>
      <c r="B15" s="53"/>
      <c r="C15" s="5" t="s">
        <v>20</v>
      </c>
      <c r="D15" s="48" t="s">
        <v>122</v>
      </c>
      <c r="E15" s="87" t="n">
        <f aca="false">IFERROR(__xludf.dummyfunction("COUNTA(SPLIT(D15,"" ""))/COUNTA(SPLIT($B$12,"" ""))"),0.749090909090909)</f>
        <v>0.7490909091</v>
      </c>
      <c r="F15" s="5" t="n">
        <v>5</v>
      </c>
      <c r="G15" s="5" t="n">
        <v>3</v>
      </c>
      <c r="H15" s="5" t="n">
        <v>1</v>
      </c>
      <c r="I15" s="5" t="n">
        <v>3</v>
      </c>
      <c r="J15" s="5" t="n">
        <v>4</v>
      </c>
      <c r="K15" s="50"/>
      <c r="L15" s="50"/>
      <c r="M15" s="50"/>
      <c r="N15" s="50"/>
      <c r="O15" s="50"/>
      <c r="P15" s="50"/>
      <c r="Q15" s="50"/>
      <c r="R15" s="50"/>
      <c r="S15" s="50"/>
      <c r="T15" s="50"/>
      <c r="U15" s="50"/>
      <c r="V15" s="50"/>
      <c r="W15" s="50"/>
      <c r="X15" s="50"/>
      <c r="Y15" s="50"/>
      <c r="Z15" s="50"/>
      <c r="AA15" s="50"/>
      <c r="AB15" s="50"/>
    </row>
    <row r="16" customFormat="false" ht="15.75" hidden="false" customHeight="false" outlineLevel="0" collapsed="false">
      <c r="A16" s="50"/>
      <c r="B16" s="50"/>
      <c r="C16" s="5"/>
      <c r="D16" s="48"/>
      <c r="E16" s="52"/>
      <c r="F16" s="5"/>
      <c r="G16" s="5"/>
      <c r="H16" s="5"/>
      <c r="I16" s="5"/>
      <c r="J16" s="5"/>
      <c r="K16" s="50"/>
      <c r="L16" s="50"/>
      <c r="M16" s="50"/>
      <c r="N16" s="50"/>
      <c r="O16" s="50"/>
      <c r="P16" s="50"/>
      <c r="Q16" s="50"/>
      <c r="R16" s="50"/>
      <c r="S16" s="50"/>
      <c r="T16" s="50"/>
      <c r="U16" s="50"/>
      <c r="V16" s="50"/>
      <c r="W16" s="50"/>
      <c r="X16" s="50"/>
      <c r="Y16" s="50"/>
      <c r="Z16" s="50"/>
      <c r="AA16" s="50"/>
      <c r="AB16" s="50"/>
    </row>
    <row r="17" customFormat="false" ht="225" hidden="false" customHeight="true" outlineLevel="0" collapsed="false">
      <c r="A17" s="53" t="s">
        <v>43</v>
      </c>
      <c r="B17" s="54" t="s">
        <v>44</v>
      </c>
      <c r="C17" s="55" t="s">
        <v>18</v>
      </c>
      <c r="D17" s="56" t="s">
        <v>123</v>
      </c>
      <c r="E17" s="88" t="n">
        <f aca="false">IFERROR(__xludf.dummyfunction("COUNTA(SPLIT(D17,"" ""))/COUNTA(SPLIT($B$17,"" ""))"),0.645161290322581)</f>
        <v>0.6451612903</v>
      </c>
      <c r="F17" s="55" t="n">
        <v>4</v>
      </c>
      <c r="G17" s="55" t="n">
        <v>4</v>
      </c>
      <c r="H17" s="55" t="n">
        <v>4</v>
      </c>
      <c r="I17" s="55" t="n">
        <v>4</v>
      </c>
      <c r="J17" s="55" t="n">
        <v>5</v>
      </c>
      <c r="K17" s="58"/>
      <c r="L17" s="58"/>
      <c r="M17" s="58"/>
      <c r="N17" s="58"/>
      <c r="O17" s="58"/>
      <c r="P17" s="58"/>
      <c r="Q17" s="58"/>
      <c r="R17" s="58"/>
      <c r="S17" s="58"/>
      <c r="T17" s="58"/>
      <c r="U17" s="58"/>
      <c r="V17" s="58"/>
      <c r="W17" s="58"/>
      <c r="X17" s="58"/>
      <c r="Y17" s="58"/>
      <c r="Z17" s="58"/>
      <c r="AA17" s="58"/>
      <c r="AB17" s="58"/>
    </row>
    <row r="18" customFormat="false" ht="225" hidden="false" customHeight="true" outlineLevel="0" collapsed="false">
      <c r="A18" s="53"/>
      <c r="B18" s="53"/>
      <c r="C18" s="5" t="s">
        <v>19</v>
      </c>
      <c r="D18" s="48" t="s">
        <v>124</v>
      </c>
      <c r="E18" s="89" t="n">
        <f aca="false">IFERROR(__xludf.dummyfunction("COUNTA(SPLIT(D18,"" ""))/COUNTA(SPLIT($B$17,"" ""))"),0.331378299120235)</f>
        <v>0.3313782991</v>
      </c>
      <c r="F18" s="5" t="n">
        <v>2</v>
      </c>
      <c r="G18" s="5" t="n">
        <v>4</v>
      </c>
      <c r="H18" s="5" t="n">
        <v>4</v>
      </c>
      <c r="I18" s="5" t="n">
        <v>2</v>
      </c>
      <c r="J18" s="5" t="n">
        <v>2</v>
      </c>
      <c r="K18" s="50"/>
      <c r="L18" s="50"/>
      <c r="M18" s="50"/>
      <c r="N18" s="50"/>
      <c r="O18" s="50"/>
      <c r="P18" s="50"/>
      <c r="Q18" s="50"/>
      <c r="R18" s="50"/>
      <c r="S18" s="50"/>
      <c r="T18" s="50"/>
      <c r="U18" s="50"/>
      <c r="V18" s="50"/>
      <c r="W18" s="50"/>
      <c r="X18" s="50"/>
      <c r="Y18" s="50"/>
      <c r="Z18" s="50"/>
      <c r="AA18" s="50"/>
      <c r="AB18" s="50"/>
    </row>
    <row r="19" customFormat="false" ht="225" hidden="false" customHeight="true" outlineLevel="0" collapsed="false">
      <c r="A19" s="53"/>
      <c r="B19" s="53"/>
      <c r="C19" s="5" t="s">
        <v>8</v>
      </c>
      <c r="D19" s="48" t="s">
        <v>125</v>
      </c>
      <c r="E19" s="85" t="n">
        <f aca="false">IFERROR(__xludf.dummyfunction("COUNTA(SPLIT(D19,"" ""))/COUNTA(SPLIT($B$17,"" ""))"),0.565982404692082)</f>
        <v>0.5659824047</v>
      </c>
      <c r="F19" s="5" t="n">
        <v>1</v>
      </c>
      <c r="G19" s="5" t="n">
        <v>4</v>
      </c>
      <c r="H19" s="5" t="n">
        <v>3</v>
      </c>
      <c r="I19" s="5" t="n">
        <v>4</v>
      </c>
      <c r="J19" s="5" t="n">
        <v>5</v>
      </c>
      <c r="K19" s="50"/>
      <c r="L19" s="50"/>
      <c r="M19" s="50"/>
      <c r="N19" s="50"/>
      <c r="O19" s="50"/>
      <c r="P19" s="50"/>
      <c r="Q19" s="50"/>
      <c r="R19" s="50"/>
      <c r="S19" s="50"/>
      <c r="T19" s="50"/>
      <c r="U19" s="50"/>
      <c r="V19" s="50"/>
      <c r="W19" s="50"/>
      <c r="X19" s="50"/>
      <c r="Y19" s="50"/>
      <c r="Z19" s="50"/>
      <c r="AA19" s="50"/>
      <c r="AB19" s="50"/>
    </row>
    <row r="20" customFormat="false" ht="225" hidden="false" customHeight="true" outlineLevel="0" collapsed="false">
      <c r="A20" s="53"/>
      <c r="B20" s="53"/>
      <c r="C20" s="5" t="s">
        <v>20</v>
      </c>
      <c r="D20" s="48" t="s">
        <v>126</v>
      </c>
      <c r="E20" s="90" t="n">
        <f aca="false">IFERROR(__xludf.dummyfunction("COUNTA(SPLIT(D20,"" ""))/COUNTA(SPLIT($B$17,"" ""))"),1.05278592375367)</f>
        <v>1.052785924</v>
      </c>
      <c r="F20" s="5" t="n">
        <v>5</v>
      </c>
      <c r="G20" s="5" t="n">
        <v>4</v>
      </c>
      <c r="H20" s="5" t="n">
        <v>1</v>
      </c>
      <c r="I20" s="5" t="n">
        <v>1</v>
      </c>
      <c r="J20" s="5" t="n">
        <v>5</v>
      </c>
      <c r="K20" s="50"/>
      <c r="L20" s="50"/>
      <c r="M20" s="50"/>
      <c r="N20" s="50"/>
      <c r="O20" s="50"/>
      <c r="P20" s="50"/>
      <c r="Q20" s="50"/>
      <c r="R20" s="50"/>
      <c r="S20" s="50"/>
      <c r="T20" s="50"/>
      <c r="U20" s="50"/>
      <c r="V20" s="50"/>
      <c r="W20" s="50"/>
      <c r="X20" s="50"/>
      <c r="Y20" s="50"/>
      <c r="Z20" s="50"/>
      <c r="AA20" s="50"/>
      <c r="AB20" s="50"/>
    </row>
    <row r="21" customFormat="false" ht="15.75" hidden="false" customHeight="false" outlineLevel="0" collapsed="false">
      <c r="A21" s="50"/>
      <c r="B21" s="50"/>
      <c r="C21" s="5"/>
      <c r="D21" s="48"/>
      <c r="E21" s="52"/>
      <c r="F21" s="5"/>
      <c r="G21" s="5"/>
      <c r="H21" s="5"/>
      <c r="I21" s="5"/>
      <c r="J21" s="5"/>
      <c r="K21" s="50"/>
      <c r="L21" s="50"/>
      <c r="M21" s="50"/>
      <c r="N21" s="50"/>
      <c r="O21" s="50"/>
      <c r="P21" s="50"/>
      <c r="Q21" s="50"/>
      <c r="R21" s="50"/>
      <c r="S21" s="50"/>
      <c r="T21" s="50"/>
      <c r="U21" s="50"/>
      <c r="V21" s="50"/>
      <c r="W21" s="50"/>
      <c r="X21" s="50"/>
      <c r="Y21" s="50"/>
      <c r="Z21" s="50"/>
      <c r="AA21" s="50"/>
      <c r="AB21" s="50"/>
    </row>
    <row r="22" customFormat="false" ht="225" hidden="false" customHeight="true" outlineLevel="0" collapsed="false">
      <c r="A22" s="53" t="s">
        <v>47</v>
      </c>
      <c r="B22" s="54" t="s">
        <v>48</v>
      </c>
      <c r="C22" s="55" t="s">
        <v>18</v>
      </c>
      <c r="D22" s="56" t="s">
        <v>127</v>
      </c>
      <c r="E22" s="91" t="n">
        <f aca="false">IFERROR(__xludf.dummyfunction("COUNTA(SPLIT(D22,"" ""))/COUNTA(SPLIT($B$22,"" ""))"),0.505025125628141)</f>
        <v>0.5050251256</v>
      </c>
      <c r="F22" s="55" t="n">
        <v>4</v>
      </c>
      <c r="G22" s="55" t="n">
        <v>4</v>
      </c>
      <c r="H22" s="55" t="n">
        <v>3</v>
      </c>
      <c r="I22" s="55" t="n">
        <v>4</v>
      </c>
      <c r="J22" s="55" t="n">
        <v>5</v>
      </c>
      <c r="K22" s="58"/>
      <c r="L22" s="58"/>
      <c r="M22" s="58"/>
      <c r="N22" s="58"/>
      <c r="O22" s="58"/>
      <c r="P22" s="58"/>
      <c r="Q22" s="58"/>
      <c r="R22" s="58"/>
      <c r="S22" s="58"/>
      <c r="T22" s="58"/>
      <c r="U22" s="58"/>
      <c r="V22" s="58"/>
      <c r="W22" s="58"/>
      <c r="X22" s="58"/>
      <c r="Y22" s="58"/>
      <c r="Z22" s="58"/>
      <c r="AA22" s="58"/>
      <c r="AB22" s="58"/>
    </row>
    <row r="23" customFormat="false" ht="225" hidden="false" customHeight="true" outlineLevel="0" collapsed="false">
      <c r="A23" s="53"/>
      <c r="B23" s="53"/>
      <c r="C23" s="5" t="s">
        <v>19</v>
      </c>
      <c r="D23" s="48" t="s">
        <v>128</v>
      </c>
      <c r="E23" s="92" t="n">
        <f aca="false">IFERROR(__xludf.dummyfunction("COUNTA(SPLIT(D23,"" ""))/COUNTA(SPLIT($B$22,"" ""))"),0.472361809045226)</f>
        <v>0.472361809</v>
      </c>
      <c r="F23" s="5" t="n">
        <v>2</v>
      </c>
      <c r="G23" s="5" t="n">
        <v>4</v>
      </c>
      <c r="H23" s="5" t="n">
        <v>2</v>
      </c>
      <c r="I23" s="5" t="n">
        <v>3</v>
      </c>
      <c r="J23" s="5" t="n">
        <v>3</v>
      </c>
      <c r="K23" s="50"/>
      <c r="L23" s="50"/>
      <c r="M23" s="50"/>
      <c r="N23" s="50"/>
      <c r="O23" s="50"/>
      <c r="P23" s="50"/>
      <c r="Q23" s="50"/>
      <c r="R23" s="50"/>
      <c r="S23" s="50"/>
      <c r="T23" s="50"/>
      <c r="U23" s="50"/>
      <c r="V23" s="50"/>
      <c r="W23" s="50"/>
      <c r="X23" s="50"/>
      <c r="Y23" s="50"/>
      <c r="Z23" s="50"/>
      <c r="AA23" s="50"/>
      <c r="AB23" s="50"/>
    </row>
    <row r="24" customFormat="false" ht="225" hidden="false" customHeight="true" outlineLevel="0" collapsed="false">
      <c r="A24" s="53"/>
      <c r="B24" s="53"/>
      <c r="C24" s="5" t="s">
        <v>8</v>
      </c>
      <c r="D24" s="48" t="s">
        <v>129</v>
      </c>
      <c r="E24" s="93" t="n">
        <f aca="false">IFERROR(__xludf.dummyfunction("COUNTA(SPLIT(D24,"" ""))/COUNTA(SPLIT($B$22,"" ""))"),0.241206030150754)</f>
        <v>0.2412060302</v>
      </c>
      <c r="F24" s="5" t="n">
        <v>2</v>
      </c>
      <c r="G24" s="5" t="n">
        <v>4</v>
      </c>
      <c r="H24" s="5" t="n">
        <v>3</v>
      </c>
      <c r="I24" s="5" t="n">
        <v>4</v>
      </c>
      <c r="J24" s="5" t="n">
        <v>4</v>
      </c>
      <c r="K24" s="50"/>
      <c r="L24" s="50"/>
      <c r="M24" s="50"/>
      <c r="N24" s="50"/>
      <c r="O24" s="50"/>
      <c r="P24" s="50"/>
      <c r="Q24" s="50"/>
      <c r="R24" s="50"/>
      <c r="S24" s="50"/>
      <c r="T24" s="50"/>
      <c r="U24" s="50"/>
      <c r="V24" s="50"/>
      <c r="W24" s="50"/>
      <c r="X24" s="50"/>
      <c r="Y24" s="50"/>
      <c r="Z24" s="50"/>
      <c r="AA24" s="50"/>
      <c r="AB24" s="50"/>
    </row>
    <row r="25" customFormat="false" ht="225" hidden="false" customHeight="true" outlineLevel="0" collapsed="false">
      <c r="A25" s="53"/>
      <c r="B25" s="53"/>
      <c r="C25" s="5" t="s">
        <v>20</v>
      </c>
      <c r="D25" s="48" t="s">
        <v>130</v>
      </c>
      <c r="E25" s="69" t="n">
        <f aca="false">IFERROR(__xludf.dummyfunction("COUNTA(SPLIT(D25,"" ""))/COUNTA(SPLIT($B$22,"" ""))"),0.0954773869346734)</f>
        <v>0.09547738693</v>
      </c>
      <c r="F25" s="5" t="n">
        <v>3</v>
      </c>
      <c r="G25" s="5" t="n">
        <v>3</v>
      </c>
      <c r="H25" s="5" t="n">
        <v>3</v>
      </c>
      <c r="I25" s="5" t="n">
        <v>5</v>
      </c>
      <c r="J25" s="5" t="n">
        <v>3</v>
      </c>
      <c r="K25" s="50"/>
      <c r="L25" s="50"/>
      <c r="M25" s="50"/>
      <c r="N25" s="50"/>
      <c r="O25" s="50"/>
      <c r="P25" s="50"/>
      <c r="Q25" s="50"/>
      <c r="R25" s="50"/>
      <c r="S25" s="50"/>
      <c r="T25" s="50"/>
      <c r="U25" s="50"/>
      <c r="V25" s="50"/>
      <c r="W25" s="50"/>
      <c r="X25" s="50"/>
      <c r="Y25" s="50"/>
      <c r="Z25" s="50"/>
      <c r="AA25" s="50"/>
      <c r="AB25" s="50"/>
    </row>
    <row r="26" customFormat="false" ht="15.75" hidden="false" customHeight="false" outlineLevel="0" collapsed="false">
      <c r="A26" s="50"/>
      <c r="B26" s="50"/>
      <c r="C26" s="5"/>
      <c r="D26" s="48"/>
      <c r="E26" s="52"/>
      <c r="F26" s="5"/>
      <c r="G26" s="5"/>
      <c r="H26" s="5"/>
      <c r="I26" s="5"/>
      <c r="J26" s="5"/>
      <c r="K26" s="50"/>
      <c r="L26" s="50"/>
      <c r="M26" s="50"/>
      <c r="N26" s="50"/>
      <c r="O26" s="50"/>
      <c r="P26" s="50"/>
      <c r="Q26" s="50"/>
      <c r="R26" s="50"/>
      <c r="S26" s="50"/>
      <c r="T26" s="50"/>
      <c r="U26" s="50"/>
      <c r="V26" s="50"/>
      <c r="W26" s="50"/>
      <c r="X26" s="50"/>
      <c r="Y26" s="50"/>
      <c r="Z26" s="50"/>
      <c r="AA26" s="50"/>
      <c r="AB26" s="50"/>
    </row>
    <row r="27" customFormat="false" ht="225" hidden="false" customHeight="true" outlineLevel="0" collapsed="false">
      <c r="A27" s="53" t="s">
        <v>51</v>
      </c>
      <c r="B27" s="54" t="s">
        <v>52</v>
      </c>
      <c r="C27" s="55" t="s">
        <v>18</v>
      </c>
      <c r="D27" s="56" t="s">
        <v>131</v>
      </c>
      <c r="E27" s="95" t="n">
        <f aca="false">IFERROR(__xludf.dummyfunction("COUNTA(SPLIT(D27,"" ""))/COUNTA(SPLIT($B$27,"" ""))"),0.334310850439883)</f>
        <v>0.3343108504</v>
      </c>
      <c r="F27" s="55" t="n">
        <v>3</v>
      </c>
      <c r="G27" s="55" t="n">
        <v>4</v>
      </c>
      <c r="H27" s="55" t="n">
        <v>3</v>
      </c>
      <c r="I27" s="55" t="n">
        <v>4</v>
      </c>
      <c r="J27" s="55" t="n">
        <v>4</v>
      </c>
      <c r="K27" s="58"/>
      <c r="L27" s="58"/>
      <c r="M27" s="58"/>
      <c r="N27" s="58"/>
      <c r="O27" s="58"/>
      <c r="P27" s="58"/>
      <c r="Q27" s="58"/>
      <c r="R27" s="58"/>
      <c r="S27" s="58"/>
      <c r="T27" s="58"/>
      <c r="U27" s="58"/>
      <c r="V27" s="58"/>
      <c r="W27" s="58"/>
      <c r="X27" s="58"/>
      <c r="Y27" s="58"/>
      <c r="Z27" s="58"/>
      <c r="AA27" s="58"/>
      <c r="AB27" s="58"/>
    </row>
    <row r="28" customFormat="false" ht="225" hidden="false" customHeight="true" outlineLevel="0" collapsed="false">
      <c r="A28" s="53"/>
      <c r="B28" s="53"/>
      <c r="C28" s="5" t="s">
        <v>19</v>
      </c>
      <c r="D28" s="48" t="s">
        <v>132</v>
      </c>
      <c r="E28" s="96" t="n">
        <f aca="false">IFERROR(__xludf.dummyfunction("COUNTA(SPLIT(D28,"" ""))/COUNTA(SPLIT($B$27,"" ""))"),0.105571847507331)</f>
        <v>0.1055718475</v>
      </c>
      <c r="F28" s="5" t="n">
        <v>2</v>
      </c>
      <c r="G28" s="5" t="n">
        <v>5</v>
      </c>
      <c r="H28" s="5" t="n">
        <v>4</v>
      </c>
      <c r="I28" s="5" t="n">
        <v>4</v>
      </c>
      <c r="J28" s="5" t="n">
        <v>4</v>
      </c>
      <c r="K28" s="50"/>
      <c r="L28" s="50"/>
      <c r="M28" s="50"/>
      <c r="N28" s="50"/>
      <c r="O28" s="50"/>
      <c r="P28" s="50"/>
      <c r="Q28" s="50"/>
      <c r="R28" s="50"/>
      <c r="S28" s="50"/>
      <c r="T28" s="50"/>
      <c r="U28" s="50"/>
      <c r="V28" s="50"/>
      <c r="W28" s="50"/>
      <c r="X28" s="50"/>
      <c r="Y28" s="50"/>
      <c r="Z28" s="50"/>
      <c r="AA28" s="50"/>
      <c r="AB28" s="50"/>
    </row>
    <row r="29" customFormat="false" ht="225" hidden="false" customHeight="true" outlineLevel="0" collapsed="false">
      <c r="A29" s="53"/>
      <c r="B29" s="53"/>
      <c r="C29" s="5" t="s">
        <v>8</v>
      </c>
      <c r="D29" s="48" t="s">
        <v>133</v>
      </c>
      <c r="E29" s="90" t="n">
        <f aca="false">IFERROR(__xludf.dummyfunction("COUNTA(SPLIT(D29,"" ""))/COUNTA(SPLIT($B$27,"" ""))"),0.50733137829912)</f>
        <v>0.5073313783</v>
      </c>
      <c r="F29" s="5" t="n">
        <v>2</v>
      </c>
      <c r="G29" s="5" t="n">
        <v>3</v>
      </c>
      <c r="H29" s="5" t="n">
        <v>3</v>
      </c>
      <c r="I29" s="5" t="n">
        <v>4</v>
      </c>
      <c r="J29" s="5" t="n">
        <v>5</v>
      </c>
      <c r="K29" s="50"/>
      <c r="L29" s="50"/>
      <c r="M29" s="50"/>
      <c r="N29" s="50"/>
      <c r="O29" s="50"/>
      <c r="P29" s="50"/>
      <c r="Q29" s="50"/>
      <c r="R29" s="50"/>
      <c r="S29" s="50"/>
      <c r="T29" s="50"/>
      <c r="U29" s="50"/>
      <c r="V29" s="50"/>
      <c r="W29" s="50"/>
      <c r="X29" s="50"/>
      <c r="Y29" s="50"/>
      <c r="Z29" s="50"/>
      <c r="AA29" s="50"/>
      <c r="AB29" s="50"/>
    </row>
    <row r="30" customFormat="false" ht="225" hidden="false" customHeight="true" outlineLevel="0" collapsed="false">
      <c r="A30" s="53"/>
      <c r="B30" s="53"/>
      <c r="C30" s="5" t="s">
        <v>20</v>
      </c>
      <c r="D30" s="48" t="s">
        <v>134</v>
      </c>
      <c r="E30" s="97" t="n">
        <f aca="false">IFERROR(__xludf.dummyfunction("COUNTA(SPLIT(D30,"" ""))/COUNTA(SPLIT($B$27,"" ""))"),0.636363636363636)</f>
        <v>0.6363636364</v>
      </c>
      <c r="F30" s="5" t="n">
        <v>3</v>
      </c>
      <c r="G30" s="5" t="n">
        <v>4</v>
      </c>
      <c r="H30" s="5" t="n">
        <v>4</v>
      </c>
      <c r="I30" s="5" t="n">
        <v>3</v>
      </c>
      <c r="J30" s="5" t="n">
        <v>5</v>
      </c>
      <c r="K30" s="50"/>
      <c r="L30" s="50"/>
      <c r="M30" s="50"/>
      <c r="N30" s="50"/>
      <c r="O30" s="50"/>
      <c r="P30" s="50"/>
      <c r="Q30" s="50"/>
      <c r="R30" s="50"/>
      <c r="S30" s="50"/>
      <c r="T30" s="50"/>
      <c r="U30" s="50"/>
      <c r="V30" s="50"/>
      <c r="W30" s="50"/>
      <c r="X30" s="50"/>
      <c r="Y30" s="50"/>
      <c r="Z30" s="50"/>
      <c r="AA30" s="50"/>
      <c r="AB30" s="50"/>
    </row>
    <row r="31" customFormat="false" ht="15.75" hidden="false" customHeight="false" outlineLevel="0" collapsed="false">
      <c r="A31" s="50"/>
      <c r="B31" s="50"/>
      <c r="C31" s="5"/>
      <c r="D31" s="48"/>
      <c r="E31" s="52"/>
      <c r="F31" s="5"/>
      <c r="G31" s="5"/>
      <c r="H31" s="5"/>
      <c r="I31" s="5"/>
      <c r="J31" s="5"/>
      <c r="K31" s="50"/>
      <c r="L31" s="50"/>
      <c r="M31" s="50"/>
      <c r="N31" s="50"/>
      <c r="O31" s="50"/>
      <c r="P31" s="50"/>
      <c r="Q31" s="50"/>
      <c r="R31" s="50"/>
      <c r="S31" s="50"/>
      <c r="T31" s="50"/>
      <c r="U31" s="50"/>
      <c r="V31" s="50"/>
      <c r="W31" s="50"/>
      <c r="X31" s="50"/>
      <c r="Y31" s="50"/>
      <c r="Z31" s="50"/>
      <c r="AA31" s="50"/>
      <c r="AB31" s="50"/>
    </row>
    <row r="32" customFormat="false" ht="225" hidden="false" customHeight="true" outlineLevel="0" collapsed="false">
      <c r="A32" s="53" t="s">
        <v>55</v>
      </c>
      <c r="B32" s="54" t="s">
        <v>56</v>
      </c>
      <c r="C32" s="55" t="s">
        <v>18</v>
      </c>
      <c r="D32" s="56" t="s">
        <v>135</v>
      </c>
      <c r="E32" s="68" t="n">
        <f aca="false">IFERROR(__xludf.dummyfunction("COUNTA(SPLIT(D32,"" ""))/COUNTA(SPLIT($B$32,"" ""))"),0.377133105802048)</f>
        <v>0.3771331058</v>
      </c>
      <c r="F32" s="55" t="n">
        <v>2</v>
      </c>
      <c r="G32" s="55" t="n">
        <v>3</v>
      </c>
      <c r="H32" s="55" t="n">
        <v>3</v>
      </c>
      <c r="I32" s="55" t="n">
        <v>3</v>
      </c>
      <c r="J32" s="55" t="n">
        <v>3</v>
      </c>
      <c r="K32" s="58"/>
      <c r="L32" s="58"/>
      <c r="M32" s="58"/>
      <c r="N32" s="58"/>
      <c r="O32" s="58"/>
      <c r="P32" s="58"/>
      <c r="Q32" s="58"/>
      <c r="R32" s="58"/>
      <c r="S32" s="58"/>
      <c r="T32" s="58"/>
      <c r="U32" s="58"/>
      <c r="V32" s="58"/>
      <c r="W32" s="58"/>
      <c r="X32" s="58"/>
      <c r="Y32" s="58"/>
      <c r="Z32" s="58"/>
      <c r="AA32" s="58"/>
      <c r="AB32" s="58"/>
    </row>
    <row r="33" customFormat="false" ht="225" hidden="false" customHeight="true" outlineLevel="0" collapsed="false">
      <c r="A33" s="53"/>
      <c r="B33" s="53"/>
      <c r="C33" s="5" t="s">
        <v>19</v>
      </c>
      <c r="D33" s="104" t="s">
        <v>136</v>
      </c>
      <c r="E33" s="98" t="n">
        <f aca="false">IFERROR(__xludf.dummyfunction("COUNTA(SPLIT(D33,"" ""))/COUNTA(SPLIT($B$32,"" ""))"),0.0972696245733788)</f>
        <v>0.09726962457</v>
      </c>
      <c r="F33" s="5" t="n">
        <v>3</v>
      </c>
      <c r="G33" s="5" t="n">
        <v>5</v>
      </c>
      <c r="H33" s="5" t="n">
        <v>5</v>
      </c>
      <c r="I33" s="5" t="n">
        <v>3</v>
      </c>
      <c r="J33" s="5" t="n">
        <v>2</v>
      </c>
      <c r="K33" s="50"/>
      <c r="L33" s="50"/>
      <c r="M33" s="50"/>
      <c r="N33" s="50"/>
      <c r="O33" s="50"/>
      <c r="P33" s="50"/>
      <c r="Q33" s="50"/>
      <c r="R33" s="50"/>
      <c r="S33" s="50"/>
      <c r="T33" s="50"/>
      <c r="U33" s="50"/>
      <c r="V33" s="50"/>
      <c r="W33" s="50"/>
      <c r="X33" s="50"/>
      <c r="Y33" s="50"/>
      <c r="Z33" s="50"/>
      <c r="AA33" s="50"/>
      <c r="AB33" s="50"/>
    </row>
    <row r="34" customFormat="false" ht="225" hidden="false" customHeight="true" outlineLevel="0" collapsed="false">
      <c r="A34" s="53"/>
      <c r="B34" s="65"/>
      <c r="C34" s="5" t="s">
        <v>8</v>
      </c>
      <c r="D34" s="48" t="s">
        <v>137</v>
      </c>
      <c r="E34" s="99" t="n">
        <f aca="false">IFERROR(__xludf.dummyfunction("COUNTA(SPLIT(D34,"" ""))/COUNTA(SPLIT($B$32,"" ""))"),0.402730375426621)</f>
        <v>0.4027303754</v>
      </c>
      <c r="F34" s="5" t="n">
        <v>2</v>
      </c>
      <c r="G34" s="5" t="n">
        <v>3</v>
      </c>
      <c r="H34" s="5" t="n">
        <v>3</v>
      </c>
      <c r="I34" s="5" t="n">
        <v>3</v>
      </c>
      <c r="J34" s="5" t="n">
        <v>5</v>
      </c>
      <c r="K34" s="50"/>
      <c r="L34" s="50"/>
      <c r="M34" s="50"/>
      <c r="N34" s="50"/>
      <c r="O34" s="50"/>
      <c r="P34" s="50"/>
      <c r="Q34" s="50"/>
      <c r="R34" s="50"/>
      <c r="S34" s="50"/>
      <c r="T34" s="50"/>
      <c r="U34" s="50"/>
      <c r="V34" s="50"/>
      <c r="W34" s="50"/>
      <c r="X34" s="50"/>
      <c r="Y34" s="50"/>
      <c r="Z34" s="50"/>
      <c r="AA34" s="50"/>
      <c r="AB34" s="50"/>
    </row>
    <row r="35" customFormat="false" ht="225" hidden="false" customHeight="true" outlineLevel="0" collapsed="false">
      <c r="A35" s="53"/>
      <c r="B35" s="65"/>
      <c r="C35" s="5" t="s">
        <v>20</v>
      </c>
      <c r="D35" s="48" t="s">
        <v>138</v>
      </c>
      <c r="E35" s="63" t="n">
        <f aca="false">IFERROR(__xludf.dummyfunction("COUNTA(SPLIT(D35,"" ""))/COUNTA(SPLIT($B$32,"" ""))"),0.28839590443686)</f>
        <v>0.2883959044</v>
      </c>
      <c r="F35" s="5" t="n">
        <v>3</v>
      </c>
      <c r="G35" s="5" t="n">
        <v>3</v>
      </c>
      <c r="H35" s="5" t="n">
        <v>3</v>
      </c>
      <c r="I35" s="5" t="n">
        <v>4</v>
      </c>
      <c r="J35" s="5" t="n">
        <v>4</v>
      </c>
      <c r="K35" s="50"/>
      <c r="L35" s="50"/>
      <c r="M35" s="50"/>
      <c r="N35" s="50"/>
      <c r="O35" s="50"/>
      <c r="P35" s="50"/>
      <c r="Q35" s="50"/>
      <c r="R35" s="50"/>
      <c r="S35" s="50"/>
      <c r="T35" s="50"/>
      <c r="U35" s="50"/>
      <c r="V35" s="50"/>
      <c r="W35" s="50"/>
      <c r="X35" s="50"/>
      <c r="Y35" s="50"/>
      <c r="Z35" s="50"/>
      <c r="AA35" s="50"/>
      <c r="AB35" s="50"/>
    </row>
    <row r="36" customFormat="false" ht="15.75" hidden="false" customHeight="false" outlineLevel="0" collapsed="false">
      <c r="A36" s="50"/>
      <c r="B36" s="50"/>
      <c r="C36" s="5"/>
      <c r="D36" s="48"/>
      <c r="E36" s="52"/>
      <c r="F36" s="5"/>
      <c r="G36" s="5"/>
      <c r="H36" s="5"/>
      <c r="I36" s="5"/>
      <c r="J36" s="5"/>
      <c r="K36" s="50"/>
      <c r="L36" s="50"/>
      <c r="M36" s="50"/>
      <c r="N36" s="50"/>
      <c r="O36" s="50"/>
      <c r="P36" s="50"/>
      <c r="Q36" s="50"/>
      <c r="R36" s="50"/>
      <c r="S36" s="50"/>
      <c r="T36" s="50"/>
      <c r="U36" s="50"/>
      <c r="V36" s="50"/>
      <c r="W36" s="50"/>
      <c r="X36" s="50"/>
      <c r="Y36" s="50"/>
      <c r="Z36" s="50"/>
      <c r="AA36" s="50"/>
      <c r="AB36" s="50"/>
    </row>
    <row r="37" customFormat="false" ht="225" hidden="false" customHeight="true" outlineLevel="0" collapsed="false">
      <c r="A37" s="53" t="s">
        <v>59</v>
      </c>
      <c r="B37" s="54" t="s">
        <v>60</v>
      </c>
      <c r="C37" s="55" t="s">
        <v>18</v>
      </c>
      <c r="D37" s="56" t="s">
        <v>139</v>
      </c>
      <c r="E37" s="78" t="n">
        <f aca="false">IFERROR(__xludf.dummyfunction("COUNTA(SPLIT(D37,"" ""))/COUNTA(SPLIT($B$37,"" ""))"),0.691689008042896)</f>
        <v>0.691689008</v>
      </c>
      <c r="F37" s="55" t="n">
        <v>2</v>
      </c>
      <c r="G37" s="55" t="n">
        <v>3</v>
      </c>
      <c r="H37" s="55" t="n">
        <v>3</v>
      </c>
      <c r="I37" s="55" t="n">
        <v>4</v>
      </c>
      <c r="J37" s="55" t="n">
        <v>5</v>
      </c>
      <c r="K37" s="58"/>
      <c r="L37" s="58"/>
      <c r="M37" s="58"/>
      <c r="N37" s="58"/>
      <c r="O37" s="58"/>
      <c r="P37" s="58"/>
      <c r="Q37" s="58"/>
      <c r="R37" s="58"/>
      <c r="S37" s="58"/>
      <c r="T37" s="58"/>
      <c r="U37" s="58"/>
      <c r="V37" s="58"/>
      <c r="W37" s="58"/>
      <c r="X37" s="58"/>
      <c r="Y37" s="58"/>
      <c r="Z37" s="58"/>
      <c r="AA37" s="58"/>
      <c r="AB37" s="58"/>
    </row>
    <row r="38" customFormat="false" ht="225" hidden="false" customHeight="true" outlineLevel="0" collapsed="false">
      <c r="A38" s="53"/>
      <c r="B38" s="53"/>
      <c r="C38" s="5" t="s">
        <v>19</v>
      </c>
      <c r="D38" s="48" t="s">
        <v>140</v>
      </c>
      <c r="E38" s="100" t="n">
        <f aca="false">IFERROR(__xludf.dummyfunction("COUNTA(SPLIT(D38,"" ""))/COUNTA(SPLIT($B$37,"" ""))"),0.198391420911528)</f>
        <v>0.1983914209</v>
      </c>
      <c r="F38" s="5" t="n">
        <v>2</v>
      </c>
      <c r="G38" s="5" t="n">
        <v>5</v>
      </c>
      <c r="H38" s="5" t="n">
        <v>4</v>
      </c>
      <c r="I38" s="5" t="n">
        <v>3</v>
      </c>
      <c r="J38" s="5" t="n">
        <v>2</v>
      </c>
      <c r="K38" s="50"/>
      <c r="L38" s="50"/>
      <c r="M38" s="50"/>
      <c r="N38" s="50"/>
      <c r="O38" s="50"/>
      <c r="P38" s="50"/>
      <c r="Q38" s="50"/>
      <c r="R38" s="50"/>
      <c r="S38" s="50"/>
      <c r="T38" s="50"/>
      <c r="U38" s="50"/>
      <c r="V38" s="50"/>
      <c r="W38" s="50"/>
      <c r="X38" s="50"/>
      <c r="Y38" s="50"/>
      <c r="Z38" s="50"/>
      <c r="AA38" s="50"/>
      <c r="AB38" s="50"/>
    </row>
    <row r="39" customFormat="false" ht="225" hidden="false" customHeight="true" outlineLevel="0" collapsed="false">
      <c r="A39" s="53"/>
      <c r="B39" s="53"/>
      <c r="C39" s="5" t="s">
        <v>8</v>
      </c>
      <c r="D39" s="48" t="s">
        <v>141</v>
      </c>
      <c r="E39" s="87" t="n">
        <f aca="false">IFERROR(__xludf.dummyfunction("COUNTA(SPLIT(D39,"" ""))/COUNTA(SPLIT($B$37,"" ""))"),0.581769436997319)</f>
        <v>0.581769437</v>
      </c>
      <c r="F39" s="5" t="n">
        <v>2</v>
      </c>
      <c r="G39" s="5" t="n">
        <v>4</v>
      </c>
      <c r="H39" s="5" t="n">
        <v>3</v>
      </c>
      <c r="I39" s="5" t="n">
        <v>4</v>
      </c>
      <c r="J39" s="5" t="n">
        <v>5</v>
      </c>
      <c r="K39" s="50"/>
      <c r="L39" s="50"/>
      <c r="M39" s="50"/>
      <c r="N39" s="50"/>
      <c r="O39" s="50"/>
      <c r="P39" s="50"/>
      <c r="Q39" s="50"/>
      <c r="R39" s="50"/>
      <c r="S39" s="50"/>
      <c r="T39" s="50"/>
      <c r="U39" s="50"/>
      <c r="V39" s="50"/>
      <c r="W39" s="50"/>
      <c r="X39" s="50"/>
      <c r="Y39" s="50"/>
      <c r="Z39" s="50"/>
      <c r="AA39" s="50"/>
      <c r="AB39" s="50"/>
    </row>
    <row r="40" customFormat="false" ht="225" hidden="false" customHeight="true" outlineLevel="0" collapsed="false">
      <c r="A40" s="53"/>
      <c r="B40" s="53"/>
      <c r="C40" s="5" t="s">
        <v>20</v>
      </c>
      <c r="D40" s="48" t="s">
        <v>142</v>
      </c>
      <c r="E40" s="80" t="n">
        <f aca="false">IFERROR(__xludf.dummyfunction("COUNTA(SPLIT(D40,"" ""))/COUNTA(SPLIT($B$37,"" ""))"),1.29758713136729)</f>
        <v>1.297587131</v>
      </c>
      <c r="F40" s="5" t="n">
        <v>5</v>
      </c>
      <c r="G40" s="5" t="n">
        <v>4</v>
      </c>
      <c r="H40" s="5" t="n">
        <v>1</v>
      </c>
      <c r="I40" s="5" t="n">
        <v>1</v>
      </c>
      <c r="J40" s="5" t="n">
        <v>5</v>
      </c>
      <c r="K40" s="50"/>
      <c r="L40" s="50"/>
      <c r="M40" s="50"/>
      <c r="N40" s="50"/>
      <c r="O40" s="50"/>
      <c r="P40" s="50"/>
      <c r="Q40" s="50"/>
      <c r="R40" s="50"/>
      <c r="S40" s="50"/>
      <c r="T40" s="50"/>
      <c r="U40" s="50"/>
      <c r="V40" s="50"/>
      <c r="W40" s="50"/>
      <c r="X40" s="50"/>
      <c r="Y40" s="50"/>
      <c r="Z40" s="50"/>
      <c r="AA40" s="50"/>
      <c r="AB40" s="50"/>
    </row>
    <row r="41" customFormat="false" ht="15.75" hidden="false" customHeight="false" outlineLevel="0" collapsed="false">
      <c r="A41" s="50"/>
      <c r="B41" s="50"/>
      <c r="C41" s="5"/>
      <c r="D41" s="48"/>
      <c r="E41" s="52"/>
      <c r="F41" s="5"/>
      <c r="G41" s="5"/>
      <c r="H41" s="5"/>
      <c r="I41" s="5"/>
      <c r="J41" s="5"/>
      <c r="K41" s="50"/>
      <c r="L41" s="50"/>
      <c r="M41" s="50"/>
      <c r="N41" s="50"/>
      <c r="O41" s="50"/>
      <c r="P41" s="50"/>
      <c r="Q41" s="50"/>
      <c r="R41" s="50"/>
      <c r="S41" s="50"/>
      <c r="T41" s="50"/>
      <c r="U41" s="50"/>
      <c r="V41" s="50"/>
      <c r="W41" s="50"/>
      <c r="X41" s="50"/>
      <c r="Y41" s="50"/>
      <c r="Z41" s="50"/>
      <c r="AA41" s="50"/>
      <c r="AB41" s="50"/>
    </row>
    <row r="42" customFormat="false" ht="225" hidden="false" customHeight="true" outlineLevel="0" collapsed="false">
      <c r="A42" s="53" t="s">
        <v>63</v>
      </c>
      <c r="B42" s="54" t="s">
        <v>64</v>
      </c>
      <c r="C42" s="55" t="s">
        <v>18</v>
      </c>
      <c r="D42" s="56" t="s">
        <v>143</v>
      </c>
      <c r="E42" s="78" t="n">
        <f aca="false">IFERROR(__xludf.dummyfunction("COUNTA(SPLIT(D42,"" ""))/COUNTA(SPLIT($B$42,"" ""))"),0.943396226415094)</f>
        <v>0.9433962264</v>
      </c>
      <c r="F42" s="55" t="n">
        <v>4</v>
      </c>
      <c r="G42" s="55" t="n">
        <v>4</v>
      </c>
      <c r="H42" s="55" t="n">
        <v>3</v>
      </c>
      <c r="I42" s="55" t="n">
        <v>3</v>
      </c>
      <c r="J42" s="55" t="n">
        <v>5</v>
      </c>
      <c r="K42" s="58"/>
      <c r="L42" s="58"/>
      <c r="M42" s="58"/>
      <c r="N42" s="58"/>
      <c r="O42" s="58"/>
      <c r="P42" s="58"/>
      <c r="Q42" s="58"/>
      <c r="R42" s="58"/>
      <c r="S42" s="58"/>
      <c r="T42" s="58"/>
      <c r="U42" s="58"/>
      <c r="V42" s="58"/>
      <c r="W42" s="58"/>
      <c r="X42" s="58"/>
      <c r="Y42" s="58"/>
      <c r="Z42" s="58"/>
      <c r="AA42" s="58"/>
      <c r="AB42" s="58"/>
    </row>
    <row r="43" customFormat="false" ht="225" hidden="false" customHeight="true" outlineLevel="0" collapsed="false">
      <c r="A43" s="53"/>
      <c r="B43" s="53"/>
      <c r="C43" s="5" t="s">
        <v>19</v>
      </c>
      <c r="D43" s="48" t="s">
        <v>144</v>
      </c>
      <c r="E43" s="78" t="n">
        <f aca="false">IFERROR(__xludf.dummyfunction("COUNTA(SPLIT(D43,"" ""))/COUNTA(SPLIT($B$42,"" ""))"),0.537735849056604)</f>
        <v>0.5377358491</v>
      </c>
      <c r="F43" s="5" t="n">
        <v>2</v>
      </c>
      <c r="G43" s="5" t="n">
        <v>3</v>
      </c>
      <c r="H43" s="5" t="n">
        <v>3</v>
      </c>
      <c r="I43" s="5" t="n">
        <v>2</v>
      </c>
      <c r="J43" s="5" t="n">
        <v>2</v>
      </c>
      <c r="K43" s="50"/>
      <c r="L43" s="50"/>
      <c r="M43" s="50"/>
      <c r="N43" s="50"/>
      <c r="O43" s="50"/>
      <c r="P43" s="50"/>
      <c r="Q43" s="50"/>
      <c r="R43" s="50"/>
      <c r="S43" s="50"/>
      <c r="T43" s="50"/>
      <c r="U43" s="50"/>
      <c r="V43" s="50"/>
      <c r="W43" s="50"/>
      <c r="X43" s="50"/>
      <c r="Y43" s="50"/>
      <c r="Z43" s="50"/>
      <c r="AA43" s="50"/>
      <c r="AB43" s="50"/>
    </row>
    <row r="44" customFormat="false" ht="225" hidden="false" customHeight="true" outlineLevel="0" collapsed="false">
      <c r="A44" s="53"/>
      <c r="B44" s="53"/>
      <c r="C44" s="5" t="s">
        <v>8</v>
      </c>
      <c r="D44" s="48" t="s">
        <v>145</v>
      </c>
      <c r="E44" s="101" t="n">
        <f aca="false">IFERROR(__xludf.dummyfunction("COUNTA(SPLIT(D44,"" ""))/COUNTA(SPLIT($B$42,"" ""))"),0.679245283018868)</f>
        <v>0.679245283</v>
      </c>
      <c r="F44" s="5" t="n">
        <v>3</v>
      </c>
      <c r="G44" s="5" t="n">
        <v>3</v>
      </c>
      <c r="H44" s="5" t="n">
        <v>3</v>
      </c>
      <c r="I44" s="5" t="n">
        <v>3</v>
      </c>
      <c r="J44" s="5" t="n">
        <v>4</v>
      </c>
      <c r="K44" s="50"/>
      <c r="L44" s="50"/>
      <c r="M44" s="50"/>
      <c r="N44" s="50"/>
      <c r="O44" s="50"/>
      <c r="P44" s="50"/>
      <c r="Q44" s="50"/>
      <c r="R44" s="50"/>
      <c r="S44" s="50"/>
      <c r="T44" s="50"/>
      <c r="U44" s="50"/>
      <c r="V44" s="50"/>
      <c r="W44" s="50"/>
      <c r="X44" s="50"/>
      <c r="Y44" s="50"/>
      <c r="Z44" s="50"/>
      <c r="AA44" s="50"/>
      <c r="AB44" s="50"/>
    </row>
    <row r="45" customFormat="false" ht="225" hidden="false" customHeight="true" outlineLevel="0" collapsed="false">
      <c r="A45" s="53"/>
      <c r="B45" s="53"/>
      <c r="C45" s="5" t="s">
        <v>20</v>
      </c>
      <c r="D45" s="48" t="s">
        <v>146</v>
      </c>
      <c r="E45" s="97" t="n">
        <f aca="false">IFERROR(__xludf.dummyfunction("COUNTA(SPLIT(D45,"" ""))/COUNTA(SPLIT($B$42,"" ""))"),0.783018867924528)</f>
        <v>0.7830188679</v>
      </c>
      <c r="F45" s="5" t="n">
        <v>4</v>
      </c>
      <c r="G45" s="5" t="n">
        <v>5</v>
      </c>
      <c r="H45" s="5" t="n">
        <v>3</v>
      </c>
      <c r="I45" s="5" t="n">
        <v>3</v>
      </c>
      <c r="J45" s="5" t="n">
        <v>5</v>
      </c>
      <c r="K45" s="50"/>
      <c r="L45" s="50"/>
      <c r="M45" s="50"/>
      <c r="N45" s="50"/>
      <c r="O45" s="50"/>
      <c r="P45" s="50"/>
      <c r="Q45" s="50"/>
      <c r="R45" s="50"/>
      <c r="S45" s="50"/>
      <c r="T45" s="50"/>
      <c r="U45" s="50"/>
      <c r="V45" s="50"/>
      <c r="W45" s="50"/>
      <c r="X45" s="50"/>
      <c r="Y45" s="50"/>
      <c r="Z45" s="50"/>
      <c r="AA45" s="50"/>
      <c r="AB45" s="50"/>
    </row>
    <row r="46" customFormat="false" ht="15.75" hidden="false" customHeight="false" outlineLevel="0" collapsed="false">
      <c r="A46" s="50"/>
      <c r="B46" s="50"/>
      <c r="C46" s="5"/>
      <c r="D46" s="48"/>
      <c r="E46" s="52"/>
      <c r="F46" s="5"/>
      <c r="G46" s="5"/>
      <c r="H46" s="5"/>
      <c r="I46" s="5"/>
      <c r="J46" s="5"/>
      <c r="K46" s="50"/>
      <c r="L46" s="50"/>
      <c r="M46" s="50"/>
      <c r="N46" s="50"/>
      <c r="O46" s="50"/>
      <c r="P46" s="50"/>
      <c r="Q46" s="50"/>
      <c r="R46" s="50"/>
      <c r="S46" s="50"/>
      <c r="T46" s="50"/>
      <c r="U46" s="50"/>
      <c r="V46" s="50"/>
      <c r="W46" s="50"/>
      <c r="X46" s="50"/>
      <c r="Y46" s="50"/>
      <c r="Z46" s="50"/>
      <c r="AA46" s="50"/>
      <c r="AB46" s="50"/>
    </row>
    <row r="47" customFormat="false" ht="225" hidden="false" customHeight="true" outlineLevel="0" collapsed="false">
      <c r="A47" s="102" t="s">
        <v>67</v>
      </c>
      <c r="B47" s="54" t="s">
        <v>68</v>
      </c>
      <c r="C47" s="55" t="s">
        <v>18</v>
      </c>
      <c r="D47" s="56" t="s">
        <v>147</v>
      </c>
      <c r="E47" s="103" t="n">
        <f aca="false">IFERROR(__xludf.dummyfunction("COUNTA(SPLIT(D47,"" ""))/COUNTA(SPLIT($B$47,"" ""))"),0.0388349514563107)</f>
        <v>0.03883495146</v>
      </c>
      <c r="F47" s="55" t="n">
        <v>2</v>
      </c>
      <c r="G47" s="55" t="n">
        <v>3</v>
      </c>
      <c r="H47" s="55" t="n">
        <v>3</v>
      </c>
      <c r="I47" s="55" t="n">
        <v>2</v>
      </c>
      <c r="J47" s="55" t="n">
        <v>1</v>
      </c>
      <c r="K47" s="58"/>
      <c r="L47" s="58"/>
      <c r="M47" s="58"/>
      <c r="N47" s="58"/>
      <c r="O47" s="58"/>
      <c r="P47" s="58"/>
      <c r="Q47" s="58"/>
      <c r="R47" s="58"/>
      <c r="S47" s="58"/>
      <c r="T47" s="58"/>
      <c r="U47" s="58"/>
      <c r="V47" s="58"/>
      <c r="W47" s="58"/>
      <c r="X47" s="58"/>
      <c r="Y47" s="58"/>
      <c r="Z47" s="58"/>
      <c r="AA47" s="58"/>
      <c r="AB47" s="58"/>
    </row>
    <row r="48" customFormat="false" ht="225" hidden="false" customHeight="true" outlineLevel="0" collapsed="false">
      <c r="A48" s="102"/>
      <c r="B48" s="102"/>
      <c r="C48" s="5" t="s">
        <v>19</v>
      </c>
      <c r="D48" s="48" t="s">
        <v>148</v>
      </c>
      <c r="E48" s="73" t="n">
        <f aca="false">IFERROR(__xludf.dummyfunction("COUNTA(SPLIT(D48,"" ""))/COUNTA(SPLIT($B$47,"" ""))"),0.172330097087379)</f>
        <v>0.1723300971</v>
      </c>
      <c r="F48" s="5" t="n">
        <v>3</v>
      </c>
      <c r="G48" s="5" t="n">
        <v>5</v>
      </c>
      <c r="H48" s="5" t="n">
        <v>4</v>
      </c>
      <c r="I48" s="5" t="n">
        <v>3</v>
      </c>
      <c r="J48" s="5" t="n">
        <v>4</v>
      </c>
      <c r="K48" s="50"/>
      <c r="L48" s="50"/>
      <c r="M48" s="50"/>
      <c r="N48" s="50"/>
      <c r="O48" s="50"/>
      <c r="P48" s="50"/>
      <c r="Q48" s="50"/>
      <c r="R48" s="50"/>
      <c r="S48" s="50"/>
      <c r="T48" s="50"/>
      <c r="U48" s="50"/>
      <c r="V48" s="50"/>
      <c r="W48" s="50"/>
      <c r="X48" s="50"/>
      <c r="Y48" s="50"/>
      <c r="Z48" s="50"/>
      <c r="AA48" s="50"/>
      <c r="AB48" s="50"/>
    </row>
    <row r="49" customFormat="false" ht="225" hidden="false" customHeight="true" outlineLevel="0" collapsed="false">
      <c r="A49" s="102"/>
      <c r="B49" s="102"/>
      <c r="C49" s="5" t="s">
        <v>8</v>
      </c>
      <c r="D49" s="48" t="s">
        <v>149</v>
      </c>
      <c r="E49" s="74" t="n">
        <f aca="false">IFERROR(__xludf.dummyfunction("COUNTA(SPLIT(D49,"" ""))/COUNTA(SPLIT($B$47,"" ""))"),0.189320388349515)</f>
        <v>0.1893203883</v>
      </c>
      <c r="F49" s="5" t="n">
        <v>2</v>
      </c>
      <c r="G49" s="5" t="n">
        <v>4</v>
      </c>
      <c r="H49" s="5" t="n">
        <v>4</v>
      </c>
      <c r="I49" s="5" t="n">
        <v>4</v>
      </c>
      <c r="J49" s="5" t="n">
        <v>5</v>
      </c>
      <c r="K49" s="50"/>
      <c r="L49" s="50"/>
      <c r="M49" s="50"/>
      <c r="N49" s="50"/>
      <c r="O49" s="50"/>
      <c r="P49" s="50"/>
      <c r="Q49" s="50"/>
      <c r="R49" s="50"/>
      <c r="S49" s="50"/>
      <c r="T49" s="50"/>
      <c r="U49" s="50"/>
      <c r="V49" s="50"/>
      <c r="W49" s="50"/>
      <c r="X49" s="50"/>
      <c r="Y49" s="50"/>
      <c r="Z49" s="50"/>
      <c r="AA49" s="50"/>
      <c r="AB49" s="50"/>
    </row>
    <row r="50" customFormat="false" ht="225" hidden="false" customHeight="true" outlineLevel="0" collapsed="false">
      <c r="A50" s="102"/>
      <c r="B50" s="102"/>
      <c r="C50" s="5" t="s">
        <v>20</v>
      </c>
      <c r="D50" s="48" t="s">
        <v>150</v>
      </c>
      <c r="E50" s="75" t="n">
        <f aca="false">IFERROR(__xludf.dummyfunction("COUNTA(SPLIT(D50,"" ""))/COUNTA(SPLIT($B$47,"" ""))"),0.606796116504854)</f>
        <v>0.6067961165</v>
      </c>
      <c r="F50" s="5" t="n">
        <v>4</v>
      </c>
      <c r="G50" s="5" t="n">
        <v>3</v>
      </c>
      <c r="H50" s="5" t="n">
        <v>3</v>
      </c>
      <c r="I50" s="5" t="n">
        <v>3</v>
      </c>
      <c r="J50" s="5" t="n">
        <v>4</v>
      </c>
      <c r="K50" s="50"/>
      <c r="L50" s="50"/>
      <c r="M50" s="50"/>
      <c r="N50" s="50"/>
      <c r="O50" s="50"/>
      <c r="P50" s="50"/>
      <c r="Q50" s="50"/>
      <c r="R50" s="50"/>
      <c r="S50" s="50"/>
      <c r="T50" s="50"/>
      <c r="U50" s="50"/>
      <c r="V50" s="50"/>
      <c r="W50" s="50"/>
      <c r="X50" s="50"/>
      <c r="Y50" s="50"/>
      <c r="Z50" s="50"/>
      <c r="AA50" s="50"/>
      <c r="AB50" s="50"/>
    </row>
    <row r="51" customFormat="false" ht="15.75" hidden="false" customHeight="false" outlineLevel="0" collapsed="false">
      <c r="A51" s="50"/>
      <c r="B51" s="50"/>
      <c r="C51" s="5"/>
      <c r="D51" s="48"/>
      <c r="E51" s="50"/>
      <c r="F51" s="5"/>
      <c r="G51" s="5"/>
      <c r="H51" s="5"/>
      <c r="I51" s="5"/>
      <c r="J51" s="5"/>
      <c r="K51" s="50"/>
      <c r="L51" s="50"/>
      <c r="M51" s="50"/>
      <c r="N51" s="50"/>
      <c r="O51" s="50"/>
      <c r="P51" s="50"/>
      <c r="Q51" s="50"/>
      <c r="R51" s="50"/>
      <c r="S51" s="50"/>
      <c r="T51" s="50"/>
      <c r="U51" s="50"/>
      <c r="V51" s="50"/>
      <c r="W51" s="50"/>
      <c r="X51" s="50"/>
      <c r="Y51" s="50"/>
      <c r="Z51" s="50"/>
      <c r="AA51" s="50"/>
      <c r="AB51" s="50"/>
    </row>
    <row r="52" customFormat="false" ht="15.75" hidden="false" customHeight="false" outlineLevel="0" collapsed="false">
      <c r="A52" s="71"/>
      <c r="B52" s="54"/>
      <c r="C52" s="55" t="s">
        <v>18</v>
      </c>
      <c r="D52" s="56"/>
      <c r="E52" s="72" t="n">
        <f aca="false">IFERROR(__xludf.dummyfunction("COUNTA(SPLIT(D52,"" ""))/COUNTA(SPLIT($B$47,"" ""))"),0.00242718446601942)</f>
        <v>0.002427184466</v>
      </c>
      <c r="F52" s="55"/>
      <c r="G52" s="55"/>
      <c r="H52" s="55"/>
      <c r="I52" s="55"/>
      <c r="J52" s="55"/>
      <c r="K52" s="58"/>
      <c r="L52" s="58"/>
      <c r="M52" s="58"/>
      <c r="N52" s="58"/>
      <c r="O52" s="58"/>
      <c r="P52" s="58"/>
      <c r="Q52" s="58"/>
      <c r="R52" s="58"/>
      <c r="S52" s="58"/>
      <c r="T52" s="58"/>
      <c r="U52" s="58"/>
      <c r="V52" s="58"/>
      <c r="W52" s="58"/>
      <c r="X52" s="58"/>
      <c r="Y52" s="58"/>
      <c r="Z52" s="58"/>
      <c r="AA52" s="58"/>
      <c r="AB52" s="58"/>
    </row>
    <row r="53" customFormat="false" ht="15.75" hidden="false" customHeight="false" outlineLevel="0" collapsed="false">
      <c r="A53" s="71"/>
      <c r="B53" s="71"/>
      <c r="C53" s="5" t="s">
        <v>19</v>
      </c>
      <c r="D53" s="48"/>
      <c r="E53" s="73" t="n">
        <f aca="false">IFERROR(__xludf.dummyfunction("COUNTA(SPLIT(D53,"" ""))/COUNTA(SPLIT($B$47,"" ""))"),0.00242718446601942)</f>
        <v>0.002427184466</v>
      </c>
      <c r="F53" s="5"/>
      <c r="G53" s="5"/>
      <c r="H53" s="5"/>
      <c r="I53" s="5"/>
      <c r="J53" s="5"/>
      <c r="K53" s="50"/>
      <c r="L53" s="50"/>
      <c r="M53" s="50"/>
      <c r="N53" s="50"/>
      <c r="O53" s="50"/>
      <c r="P53" s="50"/>
      <c r="Q53" s="50"/>
      <c r="R53" s="50"/>
      <c r="S53" s="50"/>
      <c r="T53" s="50"/>
      <c r="U53" s="50"/>
      <c r="V53" s="50"/>
      <c r="W53" s="50"/>
      <c r="X53" s="50"/>
      <c r="Y53" s="50"/>
      <c r="Z53" s="50"/>
      <c r="AA53" s="50"/>
      <c r="AB53" s="50"/>
    </row>
    <row r="54" customFormat="false" ht="15.75" hidden="false" customHeight="false" outlineLevel="0" collapsed="false">
      <c r="A54" s="71"/>
      <c r="B54" s="71"/>
      <c r="C54" s="5" t="s">
        <v>8</v>
      </c>
      <c r="D54" s="48"/>
      <c r="E54" s="74" t="n">
        <f aca="false">IFERROR(__xludf.dummyfunction("COUNTA(SPLIT(D54,"" ""))/COUNTA(SPLIT($B$47,"" ""))"),0.00242718446601942)</f>
        <v>0.002427184466</v>
      </c>
      <c r="F54" s="5"/>
      <c r="G54" s="5"/>
      <c r="H54" s="5"/>
      <c r="I54" s="5"/>
      <c r="J54" s="5"/>
      <c r="K54" s="50"/>
      <c r="L54" s="50"/>
      <c r="M54" s="50"/>
      <c r="N54" s="50"/>
      <c r="O54" s="50"/>
      <c r="P54" s="50"/>
      <c r="Q54" s="50"/>
      <c r="R54" s="50"/>
      <c r="S54" s="50"/>
      <c r="T54" s="50"/>
      <c r="U54" s="50"/>
      <c r="V54" s="50"/>
      <c r="W54" s="50"/>
      <c r="X54" s="50"/>
      <c r="Y54" s="50"/>
      <c r="Z54" s="50"/>
      <c r="AA54" s="50"/>
      <c r="AB54" s="50"/>
    </row>
    <row r="55" customFormat="false" ht="15.75" hidden="false" customHeight="false" outlineLevel="0" collapsed="false">
      <c r="A55" s="71"/>
      <c r="B55" s="71"/>
      <c r="C55" s="5" t="s">
        <v>20</v>
      </c>
      <c r="D55" s="48"/>
      <c r="E55" s="75" t="n">
        <f aca="false">IFERROR(__xludf.dummyfunction("COUNTA(SPLIT(D55,"" ""))/COUNTA(SPLIT($B$47,"" ""))"),0.00242718446601942)</f>
        <v>0.002427184466</v>
      </c>
      <c r="F55" s="5"/>
      <c r="G55" s="5"/>
      <c r="H55" s="5"/>
      <c r="I55" s="5"/>
      <c r="J55" s="5"/>
      <c r="K55" s="50"/>
      <c r="L55" s="50"/>
      <c r="M55" s="50"/>
      <c r="N55" s="50"/>
      <c r="O55" s="50"/>
      <c r="P55" s="50"/>
      <c r="Q55" s="50"/>
      <c r="R55" s="50"/>
      <c r="S55" s="50"/>
      <c r="T55" s="50"/>
      <c r="U55" s="50"/>
      <c r="V55" s="50"/>
      <c r="W55" s="50"/>
      <c r="X55" s="50"/>
      <c r="Y55" s="50"/>
      <c r="Z55" s="50"/>
      <c r="AA55" s="50"/>
      <c r="AB55" s="50"/>
    </row>
    <row r="56" customFormat="false" ht="15.75" hidden="false" customHeight="false" outlineLevel="0" collapsed="false">
      <c r="A56" s="50"/>
      <c r="B56" s="50"/>
      <c r="C56" s="5"/>
      <c r="D56" s="48"/>
      <c r="E56" s="50"/>
      <c r="F56" s="5"/>
      <c r="G56" s="5"/>
      <c r="H56" s="5"/>
      <c r="I56" s="5"/>
      <c r="J56" s="5"/>
      <c r="K56" s="50"/>
      <c r="L56" s="50"/>
      <c r="M56" s="50"/>
      <c r="N56" s="50"/>
      <c r="O56" s="50"/>
      <c r="P56" s="50"/>
      <c r="Q56" s="50"/>
      <c r="R56" s="50"/>
      <c r="S56" s="50"/>
      <c r="T56" s="50"/>
      <c r="U56" s="50"/>
      <c r="V56" s="50"/>
      <c r="W56" s="50"/>
      <c r="X56" s="50"/>
      <c r="Y56" s="50"/>
      <c r="Z56" s="50"/>
      <c r="AA56" s="50"/>
      <c r="AB56" s="50"/>
    </row>
    <row r="57" customFormat="false" ht="15.75" hidden="false" customHeight="false" outlineLevel="0" collapsed="false">
      <c r="A57" s="71"/>
      <c r="B57" s="54"/>
      <c r="C57" s="55" t="s">
        <v>18</v>
      </c>
      <c r="D57" s="56"/>
      <c r="E57" s="72" t="n">
        <f aca="false">IFERROR(__xludf.dummyfunction("COUNTA(SPLIT(D57,"" ""))/COUNTA(SPLIT($B$47,"" ""))"),0.00242718446601942)</f>
        <v>0.002427184466</v>
      </c>
      <c r="F57" s="55"/>
      <c r="G57" s="55"/>
      <c r="H57" s="55"/>
      <c r="I57" s="55"/>
      <c r="J57" s="55"/>
      <c r="K57" s="58"/>
      <c r="L57" s="58"/>
      <c r="M57" s="58"/>
      <c r="N57" s="58"/>
      <c r="O57" s="58"/>
      <c r="P57" s="58"/>
      <c r="Q57" s="58"/>
      <c r="R57" s="58"/>
      <c r="S57" s="58"/>
      <c r="T57" s="58"/>
      <c r="U57" s="58"/>
      <c r="V57" s="58"/>
      <c r="W57" s="58"/>
      <c r="X57" s="58"/>
      <c r="Y57" s="58"/>
      <c r="Z57" s="58"/>
      <c r="AA57" s="58"/>
      <c r="AB57" s="58"/>
    </row>
    <row r="58" customFormat="false" ht="15.75" hidden="false" customHeight="false" outlineLevel="0" collapsed="false">
      <c r="A58" s="71"/>
      <c r="B58" s="71"/>
      <c r="C58" s="5" t="s">
        <v>19</v>
      </c>
      <c r="D58" s="48"/>
      <c r="E58" s="73" t="n">
        <f aca="false">IFERROR(__xludf.dummyfunction("COUNTA(SPLIT(D58,"" ""))/COUNTA(SPLIT($B$47,"" ""))"),0.00242718446601942)</f>
        <v>0.002427184466</v>
      </c>
      <c r="F58" s="5"/>
      <c r="G58" s="5"/>
      <c r="H58" s="5"/>
      <c r="I58" s="5"/>
      <c r="J58" s="5"/>
      <c r="K58" s="50"/>
      <c r="L58" s="50"/>
      <c r="M58" s="50"/>
      <c r="N58" s="50"/>
      <c r="O58" s="50"/>
      <c r="P58" s="50"/>
      <c r="Q58" s="50"/>
      <c r="R58" s="50"/>
      <c r="S58" s="50"/>
      <c r="T58" s="50"/>
      <c r="U58" s="50"/>
      <c r="V58" s="50"/>
      <c r="W58" s="50"/>
      <c r="X58" s="50"/>
      <c r="Y58" s="50"/>
      <c r="Z58" s="50"/>
      <c r="AA58" s="50"/>
      <c r="AB58" s="50"/>
    </row>
    <row r="59" customFormat="false" ht="15.75" hidden="false" customHeight="false" outlineLevel="0" collapsed="false">
      <c r="A59" s="71"/>
      <c r="B59" s="71"/>
      <c r="C59" s="5" t="s">
        <v>8</v>
      </c>
      <c r="D59" s="48"/>
      <c r="E59" s="74" t="n">
        <f aca="false">IFERROR(__xludf.dummyfunction("COUNTA(SPLIT(D59,"" ""))/COUNTA(SPLIT($B$47,"" ""))"),0.00242718446601942)</f>
        <v>0.002427184466</v>
      </c>
      <c r="F59" s="5"/>
      <c r="G59" s="5"/>
      <c r="H59" s="5"/>
      <c r="I59" s="5"/>
      <c r="J59" s="5"/>
      <c r="K59" s="50"/>
      <c r="L59" s="50"/>
      <c r="M59" s="50"/>
      <c r="N59" s="50"/>
      <c r="O59" s="50"/>
      <c r="P59" s="50"/>
      <c r="Q59" s="50"/>
      <c r="R59" s="50"/>
      <c r="S59" s="50"/>
      <c r="T59" s="50"/>
      <c r="U59" s="50"/>
      <c r="V59" s="50"/>
      <c r="W59" s="50"/>
      <c r="X59" s="50"/>
      <c r="Y59" s="50"/>
      <c r="Z59" s="50"/>
      <c r="AA59" s="50"/>
      <c r="AB59" s="50"/>
    </row>
    <row r="60" customFormat="false" ht="15.75" hidden="false" customHeight="false" outlineLevel="0" collapsed="false">
      <c r="A60" s="71"/>
      <c r="B60" s="71"/>
      <c r="C60" s="5" t="s">
        <v>20</v>
      </c>
      <c r="D60" s="48"/>
      <c r="E60" s="75" t="n">
        <f aca="false">IFERROR(__xludf.dummyfunction("COUNTA(SPLIT(D60,"" ""))/COUNTA(SPLIT($B$47,"" ""))"),0.00242718446601942)</f>
        <v>0.002427184466</v>
      </c>
      <c r="F60" s="5"/>
      <c r="G60" s="5"/>
      <c r="H60" s="5"/>
      <c r="I60" s="5"/>
      <c r="J60" s="5"/>
      <c r="K60" s="50"/>
      <c r="L60" s="50"/>
      <c r="M60" s="50"/>
      <c r="N60" s="50"/>
      <c r="O60" s="50"/>
      <c r="P60" s="50"/>
      <c r="Q60" s="50"/>
      <c r="R60" s="50"/>
      <c r="S60" s="50"/>
      <c r="T60" s="50"/>
      <c r="U60" s="50"/>
      <c r="V60" s="50"/>
      <c r="W60" s="50"/>
      <c r="X60" s="50"/>
      <c r="Y60" s="50"/>
      <c r="Z60" s="50"/>
      <c r="AA60" s="50"/>
      <c r="AB60" s="50"/>
    </row>
    <row r="61" customFormat="false" ht="15.75" hidden="false" customHeight="false" outlineLevel="0" collapsed="false">
      <c r="A61" s="50"/>
      <c r="B61" s="50"/>
      <c r="C61" s="5"/>
      <c r="D61" s="48"/>
      <c r="E61" s="50"/>
      <c r="F61" s="5"/>
      <c r="G61" s="5"/>
      <c r="H61" s="5"/>
      <c r="I61" s="5"/>
      <c r="J61" s="5"/>
      <c r="K61" s="50"/>
      <c r="L61" s="50"/>
      <c r="M61" s="50"/>
      <c r="N61" s="50"/>
      <c r="O61" s="50"/>
      <c r="P61" s="50"/>
      <c r="Q61" s="50"/>
      <c r="R61" s="50"/>
      <c r="S61" s="50"/>
      <c r="T61" s="50"/>
      <c r="U61" s="50"/>
      <c r="V61" s="50"/>
      <c r="W61" s="50"/>
      <c r="X61" s="50"/>
      <c r="Y61" s="50"/>
      <c r="Z61" s="50"/>
      <c r="AA61" s="50"/>
      <c r="AB61" s="50"/>
    </row>
    <row r="62" customFormat="false" ht="15.75" hidden="false" customHeight="false" outlineLevel="0" collapsed="false">
      <c r="A62" s="71"/>
      <c r="B62" s="54"/>
      <c r="C62" s="55" t="s">
        <v>18</v>
      </c>
      <c r="D62" s="56"/>
      <c r="E62" s="72" t="n">
        <f aca="false">IFERROR(__xludf.dummyfunction("COUNTA(SPLIT(D62,"" ""))/COUNTA(SPLIT($B$47,"" ""))"),0.00242718446601942)</f>
        <v>0.002427184466</v>
      </c>
      <c r="F62" s="55"/>
      <c r="G62" s="55"/>
      <c r="H62" s="55"/>
      <c r="I62" s="55"/>
      <c r="J62" s="55"/>
      <c r="K62" s="58"/>
      <c r="L62" s="58"/>
      <c r="M62" s="58"/>
      <c r="N62" s="58"/>
      <c r="O62" s="58"/>
      <c r="P62" s="58"/>
      <c r="Q62" s="58"/>
      <c r="R62" s="58"/>
      <c r="S62" s="58"/>
      <c r="T62" s="58"/>
      <c r="U62" s="58"/>
      <c r="V62" s="58"/>
      <c r="W62" s="58"/>
      <c r="X62" s="58"/>
      <c r="Y62" s="58"/>
      <c r="Z62" s="58"/>
      <c r="AA62" s="58"/>
      <c r="AB62" s="58"/>
    </row>
    <row r="63" customFormat="false" ht="15.75" hidden="false" customHeight="false" outlineLevel="0" collapsed="false">
      <c r="A63" s="71"/>
      <c r="B63" s="71"/>
      <c r="C63" s="5" t="s">
        <v>19</v>
      </c>
      <c r="D63" s="48"/>
      <c r="E63" s="73" t="n">
        <f aca="false">IFERROR(__xludf.dummyfunction("COUNTA(SPLIT(D63,"" ""))/COUNTA(SPLIT($B$47,"" ""))"),0.00242718446601942)</f>
        <v>0.002427184466</v>
      </c>
      <c r="F63" s="5"/>
      <c r="G63" s="5"/>
      <c r="H63" s="5"/>
      <c r="I63" s="5"/>
      <c r="J63" s="5"/>
      <c r="K63" s="50"/>
      <c r="L63" s="50"/>
      <c r="M63" s="50"/>
      <c r="N63" s="50"/>
      <c r="O63" s="50"/>
      <c r="P63" s="50"/>
      <c r="Q63" s="50"/>
      <c r="R63" s="50"/>
      <c r="S63" s="50"/>
      <c r="T63" s="50"/>
      <c r="U63" s="50"/>
      <c r="V63" s="50"/>
      <c r="W63" s="50"/>
      <c r="X63" s="50"/>
      <c r="Y63" s="50"/>
      <c r="Z63" s="50"/>
      <c r="AA63" s="50"/>
      <c r="AB63" s="50"/>
    </row>
    <row r="64" customFormat="false" ht="15.75" hidden="false" customHeight="false" outlineLevel="0" collapsed="false">
      <c r="A64" s="71"/>
      <c r="B64" s="71"/>
      <c r="C64" s="5" t="s">
        <v>8</v>
      </c>
      <c r="D64" s="48"/>
      <c r="E64" s="74" t="n">
        <f aca="false">IFERROR(__xludf.dummyfunction("COUNTA(SPLIT(D64,"" ""))/COUNTA(SPLIT($B$47,"" ""))"),0.00242718446601942)</f>
        <v>0.002427184466</v>
      </c>
      <c r="F64" s="5"/>
      <c r="G64" s="5"/>
      <c r="H64" s="5"/>
      <c r="I64" s="5"/>
      <c r="J64" s="5"/>
      <c r="K64" s="50"/>
      <c r="L64" s="50"/>
      <c r="M64" s="50"/>
      <c r="N64" s="50"/>
      <c r="O64" s="50"/>
      <c r="P64" s="50"/>
      <c r="Q64" s="50"/>
      <c r="R64" s="50"/>
      <c r="S64" s="50"/>
      <c r="T64" s="50"/>
      <c r="U64" s="50"/>
      <c r="V64" s="50"/>
      <c r="W64" s="50"/>
      <c r="X64" s="50"/>
      <c r="Y64" s="50"/>
      <c r="Z64" s="50"/>
      <c r="AA64" s="50"/>
      <c r="AB64" s="50"/>
    </row>
    <row r="65" customFormat="false" ht="15.75" hidden="false" customHeight="false" outlineLevel="0" collapsed="false">
      <c r="A65" s="71"/>
      <c r="B65" s="71"/>
      <c r="C65" s="5" t="s">
        <v>20</v>
      </c>
      <c r="D65" s="48"/>
      <c r="E65" s="75" t="n">
        <f aca="false">IFERROR(__xludf.dummyfunction("COUNTA(SPLIT(D65,"" ""))/COUNTA(SPLIT($B$47,"" ""))"),0.00242718446601942)</f>
        <v>0.002427184466</v>
      </c>
      <c r="F65" s="5"/>
      <c r="G65" s="5"/>
      <c r="H65" s="5"/>
      <c r="I65" s="5"/>
      <c r="J65" s="5"/>
      <c r="K65" s="50"/>
      <c r="L65" s="50"/>
      <c r="M65" s="50"/>
      <c r="N65" s="50"/>
      <c r="O65" s="50"/>
      <c r="P65" s="50"/>
      <c r="Q65" s="50"/>
      <c r="R65" s="50"/>
      <c r="S65" s="50"/>
      <c r="T65" s="50"/>
      <c r="U65" s="50"/>
      <c r="V65" s="50"/>
      <c r="W65" s="50"/>
      <c r="X65" s="50"/>
      <c r="Y65" s="50"/>
      <c r="Z65" s="50"/>
      <c r="AA65" s="50"/>
      <c r="AB65" s="50"/>
    </row>
    <row r="66" customFormat="false" ht="15.75" hidden="false" customHeight="false" outlineLevel="0" collapsed="false">
      <c r="A66" s="50"/>
      <c r="B66" s="50"/>
      <c r="C66" s="5"/>
      <c r="D66" s="48"/>
      <c r="E66" s="50"/>
      <c r="F66" s="5"/>
      <c r="G66" s="5"/>
      <c r="H66" s="5"/>
      <c r="I66" s="5"/>
      <c r="J66" s="5"/>
      <c r="K66" s="50"/>
      <c r="L66" s="50"/>
      <c r="M66" s="50"/>
      <c r="N66" s="50"/>
      <c r="O66" s="50"/>
      <c r="P66" s="50"/>
      <c r="Q66" s="50"/>
      <c r="R66" s="50"/>
      <c r="S66" s="50"/>
      <c r="T66" s="50"/>
      <c r="U66" s="50"/>
      <c r="V66" s="50"/>
      <c r="W66" s="50"/>
      <c r="X66" s="50"/>
      <c r="Y66" s="50"/>
      <c r="Z66" s="50"/>
      <c r="AA66" s="50"/>
      <c r="AB66" s="50"/>
    </row>
    <row r="67" customFormat="false" ht="15.75" hidden="false" customHeight="false" outlineLevel="0" collapsed="false">
      <c r="A67" s="71"/>
      <c r="B67" s="54"/>
      <c r="C67" s="55" t="s">
        <v>18</v>
      </c>
      <c r="D67" s="56"/>
      <c r="E67" s="72" t="n">
        <f aca="false">IFERROR(__xludf.dummyfunction("COUNTA(SPLIT(D67,"" ""))/COUNTA(SPLIT($B$47,"" ""))"),0.00242718446601942)</f>
        <v>0.002427184466</v>
      </c>
      <c r="F67" s="55"/>
      <c r="G67" s="55"/>
      <c r="H67" s="55"/>
      <c r="I67" s="55"/>
      <c r="J67" s="55"/>
      <c r="K67" s="58"/>
      <c r="L67" s="58"/>
      <c r="M67" s="58"/>
      <c r="N67" s="58"/>
      <c r="O67" s="58"/>
      <c r="P67" s="58"/>
      <c r="Q67" s="58"/>
      <c r="R67" s="58"/>
      <c r="S67" s="58"/>
      <c r="T67" s="58"/>
      <c r="U67" s="58"/>
      <c r="V67" s="58"/>
      <c r="W67" s="58"/>
      <c r="X67" s="58"/>
      <c r="Y67" s="58"/>
      <c r="Z67" s="58"/>
      <c r="AA67" s="58"/>
      <c r="AB67" s="58"/>
    </row>
    <row r="68" customFormat="false" ht="15.75" hidden="false" customHeight="false" outlineLevel="0" collapsed="false">
      <c r="A68" s="71"/>
      <c r="B68" s="71"/>
      <c r="C68" s="5" t="s">
        <v>19</v>
      </c>
      <c r="D68" s="48"/>
      <c r="E68" s="73" t="n">
        <f aca="false">IFERROR(__xludf.dummyfunction("COUNTA(SPLIT(D68,"" ""))/COUNTA(SPLIT($B$47,"" ""))"),0.00242718446601942)</f>
        <v>0.002427184466</v>
      </c>
      <c r="F68" s="5"/>
      <c r="G68" s="5"/>
      <c r="H68" s="5"/>
      <c r="I68" s="5"/>
      <c r="J68" s="5"/>
      <c r="K68" s="50"/>
      <c r="L68" s="50"/>
      <c r="M68" s="50"/>
      <c r="N68" s="50"/>
      <c r="O68" s="50"/>
      <c r="P68" s="50"/>
      <c r="Q68" s="50"/>
      <c r="R68" s="50"/>
      <c r="S68" s="50"/>
      <c r="T68" s="50"/>
      <c r="U68" s="50"/>
      <c r="V68" s="50"/>
      <c r="W68" s="50"/>
      <c r="X68" s="50"/>
      <c r="Y68" s="50"/>
      <c r="Z68" s="50"/>
      <c r="AA68" s="50"/>
      <c r="AB68" s="50"/>
    </row>
    <row r="69" customFormat="false" ht="15.75" hidden="false" customHeight="false" outlineLevel="0" collapsed="false">
      <c r="A69" s="71"/>
      <c r="B69" s="71"/>
      <c r="C69" s="5" t="s">
        <v>8</v>
      </c>
      <c r="D69" s="48"/>
      <c r="E69" s="74" t="n">
        <f aca="false">IFERROR(__xludf.dummyfunction("COUNTA(SPLIT(D69,"" ""))/COUNTA(SPLIT($B$47,"" ""))"),0.00242718446601942)</f>
        <v>0.002427184466</v>
      </c>
      <c r="F69" s="5"/>
      <c r="G69" s="5"/>
      <c r="H69" s="5"/>
      <c r="I69" s="5"/>
      <c r="J69" s="5"/>
      <c r="K69" s="50"/>
      <c r="L69" s="50"/>
      <c r="M69" s="50"/>
      <c r="N69" s="50"/>
      <c r="O69" s="50"/>
      <c r="P69" s="50"/>
      <c r="Q69" s="50"/>
      <c r="R69" s="50"/>
      <c r="S69" s="50"/>
      <c r="T69" s="50"/>
      <c r="U69" s="50"/>
      <c r="V69" s="50"/>
      <c r="W69" s="50"/>
      <c r="X69" s="50"/>
      <c r="Y69" s="50"/>
      <c r="Z69" s="50"/>
      <c r="AA69" s="50"/>
      <c r="AB69" s="50"/>
    </row>
    <row r="70" customFormat="false" ht="15.75" hidden="false" customHeight="false" outlineLevel="0" collapsed="false">
      <c r="A70" s="71"/>
      <c r="B70" s="71"/>
      <c r="C70" s="5" t="s">
        <v>20</v>
      </c>
      <c r="D70" s="48"/>
      <c r="E70" s="75" t="n">
        <f aca="false">IFERROR(__xludf.dummyfunction("COUNTA(SPLIT(D70,"" ""))/COUNTA(SPLIT($B$47,"" ""))"),0.00242718446601942)</f>
        <v>0.002427184466</v>
      </c>
      <c r="F70" s="5"/>
      <c r="G70" s="5"/>
      <c r="H70" s="5"/>
      <c r="I70" s="5"/>
      <c r="J70" s="5"/>
      <c r="K70" s="50"/>
      <c r="L70" s="50"/>
      <c r="M70" s="50"/>
      <c r="N70" s="50"/>
      <c r="O70" s="50"/>
      <c r="P70" s="50"/>
      <c r="Q70" s="50"/>
      <c r="R70" s="50"/>
      <c r="S70" s="50"/>
      <c r="T70" s="50"/>
      <c r="U70" s="50"/>
      <c r="V70" s="50"/>
      <c r="W70" s="50"/>
      <c r="X70" s="50"/>
      <c r="Y70" s="50"/>
      <c r="Z70" s="50"/>
      <c r="AA70" s="50"/>
      <c r="AB70" s="50"/>
    </row>
    <row r="71" customFormat="false" ht="15.75" hidden="false" customHeight="false" outlineLevel="0" collapsed="false">
      <c r="A71" s="50"/>
      <c r="B71" s="50"/>
      <c r="C71" s="5"/>
      <c r="D71" s="48"/>
      <c r="E71" s="50"/>
      <c r="F71" s="5"/>
      <c r="G71" s="5"/>
      <c r="H71" s="5"/>
      <c r="I71" s="5"/>
      <c r="J71" s="5"/>
      <c r="K71" s="50"/>
      <c r="L71" s="50"/>
      <c r="M71" s="50"/>
      <c r="N71" s="50"/>
      <c r="O71" s="50"/>
      <c r="P71" s="50"/>
      <c r="Q71" s="50"/>
      <c r="R71" s="50"/>
      <c r="S71" s="50"/>
      <c r="T71" s="50"/>
      <c r="U71" s="50"/>
      <c r="V71" s="50"/>
      <c r="W71" s="50"/>
      <c r="X71" s="50"/>
      <c r="Y71" s="50"/>
      <c r="Z71" s="50"/>
      <c r="AA71" s="50"/>
      <c r="AB71" s="50"/>
    </row>
    <row r="72" customFormat="false" ht="15.75" hidden="false" customHeight="false" outlineLevel="0" collapsed="false">
      <c r="A72" s="71"/>
      <c r="B72" s="54"/>
      <c r="C72" s="55" t="s">
        <v>18</v>
      </c>
      <c r="D72" s="56"/>
      <c r="E72" s="72" t="n">
        <f aca="false">IFERROR(__xludf.dummyfunction("COUNTA(SPLIT(D72,"" ""))/COUNTA(SPLIT($B$47,"" ""))"),0.00242718446601942)</f>
        <v>0.002427184466</v>
      </c>
      <c r="F72" s="55"/>
      <c r="G72" s="55"/>
      <c r="H72" s="55"/>
      <c r="I72" s="55"/>
      <c r="J72" s="55"/>
      <c r="K72" s="58"/>
      <c r="L72" s="58"/>
      <c r="M72" s="58"/>
      <c r="N72" s="58"/>
      <c r="O72" s="58"/>
      <c r="P72" s="58"/>
      <c r="Q72" s="58"/>
      <c r="R72" s="58"/>
      <c r="S72" s="58"/>
      <c r="T72" s="58"/>
      <c r="U72" s="58"/>
      <c r="V72" s="58"/>
      <c r="W72" s="58"/>
      <c r="X72" s="58"/>
      <c r="Y72" s="58"/>
      <c r="Z72" s="58"/>
      <c r="AA72" s="58"/>
      <c r="AB72" s="58"/>
    </row>
    <row r="73" customFormat="false" ht="15.75" hidden="false" customHeight="false" outlineLevel="0" collapsed="false">
      <c r="A73" s="71"/>
      <c r="B73" s="71"/>
      <c r="C73" s="5" t="s">
        <v>19</v>
      </c>
      <c r="D73" s="48"/>
      <c r="E73" s="73" t="n">
        <f aca="false">IFERROR(__xludf.dummyfunction("COUNTA(SPLIT(D73,"" ""))/COUNTA(SPLIT($B$47,"" ""))"),0.00242718446601942)</f>
        <v>0.002427184466</v>
      </c>
      <c r="F73" s="5"/>
      <c r="G73" s="5"/>
      <c r="H73" s="5"/>
      <c r="I73" s="5"/>
      <c r="J73" s="5"/>
      <c r="K73" s="50"/>
      <c r="L73" s="50"/>
      <c r="M73" s="50"/>
      <c r="N73" s="50"/>
      <c r="O73" s="50"/>
      <c r="P73" s="50"/>
      <c r="Q73" s="50"/>
      <c r="R73" s="50"/>
      <c r="S73" s="50"/>
      <c r="T73" s="50"/>
      <c r="U73" s="50"/>
      <c r="V73" s="50"/>
      <c r="W73" s="50"/>
      <c r="X73" s="50"/>
      <c r="Y73" s="50"/>
      <c r="Z73" s="50"/>
      <c r="AA73" s="50"/>
      <c r="AB73" s="50"/>
    </row>
    <row r="74" customFormat="false" ht="15.75" hidden="false" customHeight="false" outlineLevel="0" collapsed="false">
      <c r="A74" s="71"/>
      <c r="B74" s="71"/>
      <c r="C74" s="5" t="s">
        <v>8</v>
      </c>
      <c r="D74" s="48"/>
      <c r="E74" s="74" t="n">
        <f aca="false">IFERROR(__xludf.dummyfunction("COUNTA(SPLIT(D74,"" ""))/COUNTA(SPLIT($B$47,"" ""))"),0.00242718446601942)</f>
        <v>0.002427184466</v>
      </c>
      <c r="F74" s="5"/>
      <c r="G74" s="5"/>
      <c r="H74" s="5"/>
      <c r="I74" s="5"/>
      <c r="J74" s="5"/>
      <c r="K74" s="50"/>
      <c r="L74" s="50"/>
      <c r="M74" s="50"/>
      <c r="N74" s="50"/>
      <c r="O74" s="50"/>
      <c r="P74" s="50"/>
      <c r="Q74" s="50"/>
      <c r="R74" s="50"/>
      <c r="S74" s="50"/>
      <c r="T74" s="50"/>
      <c r="U74" s="50"/>
      <c r="V74" s="50"/>
      <c r="W74" s="50"/>
      <c r="X74" s="50"/>
      <c r="Y74" s="50"/>
      <c r="Z74" s="50"/>
      <c r="AA74" s="50"/>
      <c r="AB74" s="50"/>
    </row>
    <row r="75" customFormat="false" ht="15.75" hidden="false" customHeight="false" outlineLevel="0" collapsed="false">
      <c r="A75" s="71"/>
      <c r="B75" s="71"/>
      <c r="C75" s="5" t="s">
        <v>20</v>
      </c>
      <c r="D75" s="48"/>
      <c r="E75" s="75" t="n">
        <f aca="false">IFERROR(__xludf.dummyfunction("COUNTA(SPLIT(D75,"" ""))/COUNTA(SPLIT($B$47,"" ""))"),0.00242718446601942)</f>
        <v>0.002427184466</v>
      </c>
      <c r="F75" s="5"/>
      <c r="G75" s="5"/>
      <c r="H75" s="5"/>
      <c r="I75" s="5"/>
      <c r="J75" s="5"/>
      <c r="K75" s="50"/>
      <c r="L75" s="50"/>
      <c r="M75" s="50"/>
      <c r="N75" s="50"/>
      <c r="O75" s="50"/>
      <c r="P75" s="50"/>
      <c r="Q75" s="50"/>
      <c r="R75" s="50"/>
      <c r="S75" s="50"/>
      <c r="T75" s="50"/>
      <c r="U75" s="50"/>
      <c r="V75" s="50"/>
      <c r="W75" s="50"/>
      <c r="X75" s="50"/>
      <c r="Y75" s="50"/>
      <c r="Z75" s="50"/>
      <c r="AA75" s="50"/>
      <c r="AB75" s="50"/>
    </row>
    <row r="76" customFormat="false" ht="15.75" hidden="false" customHeight="false" outlineLevel="0" collapsed="false">
      <c r="A76" s="50"/>
      <c r="B76" s="50"/>
      <c r="C76" s="5"/>
      <c r="D76" s="48"/>
      <c r="E76" s="50"/>
      <c r="F76" s="5"/>
      <c r="G76" s="5"/>
      <c r="H76" s="5"/>
      <c r="I76" s="5"/>
      <c r="J76" s="5"/>
      <c r="K76" s="50"/>
      <c r="L76" s="50"/>
      <c r="M76" s="50"/>
      <c r="N76" s="50"/>
      <c r="O76" s="50"/>
      <c r="P76" s="50"/>
      <c r="Q76" s="50"/>
      <c r="R76" s="50"/>
      <c r="S76" s="50"/>
      <c r="T76" s="50"/>
      <c r="U76" s="50"/>
      <c r="V76" s="50"/>
      <c r="W76" s="50"/>
      <c r="X76" s="50"/>
      <c r="Y76" s="50"/>
      <c r="Z76" s="50"/>
      <c r="AA76" s="50"/>
      <c r="AB76" s="50"/>
    </row>
    <row r="77" customFormat="false" ht="15.75" hidden="false" customHeight="false" outlineLevel="0" collapsed="false">
      <c r="A77" s="71"/>
      <c r="B77" s="54"/>
      <c r="C77" s="55" t="s">
        <v>18</v>
      </c>
      <c r="D77" s="56"/>
      <c r="E77" s="72" t="n">
        <f aca="false">IFERROR(__xludf.dummyfunction("COUNTA(SPLIT(D77,"" ""))/COUNTA(SPLIT($B$47,"" ""))"),0.00242718446601942)</f>
        <v>0.002427184466</v>
      </c>
      <c r="F77" s="55"/>
      <c r="G77" s="55"/>
      <c r="H77" s="55"/>
      <c r="I77" s="55"/>
      <c r="J77" s="55"/>
      <c r="K77" s="58"/>
      <c r="L77" s="58"/>
      <c r="M77" s="58"/>
      <c r="N77" s="58"/>
      <c r="O77" s="58"/>
      <c r="P77" s="58"/>
      <c r="Q77" s="58"/>
      <c r="R77" s="58"/>
      <c r="S77" s="58"/>
      <c r="T77" s="58"/>
      <c r="U77" s="58"/>
      <c r="V77" s="58"/>
      <c r="W77" s="58"/>
      <c r="X77" s="58"/>
      <c r="Y77" s="58"/>
      <c r="Z77" s="58"/>
      <c r="AA77" s="58"/>
      <c r="AB77" s="58"/>
    </row>
    <row r="78" customFormat="false" ht="15.75" hidden="false" customHeight="false" outlineLevel="0" collapsed="false">
      <c r="A78" s="71"/>
      <c r="B78" s="71"/>
      <c r="C78" s="5" t="s">
        <v>19</v>
      </c>
      <c r="D78" s="48"/>
      <c r="E78" s="73" t="n">
        <f aca="false">IFERROR(__xludf.dummyfunction("COUNTA(SPLIT(D78,"" ""))/COUNTA(SPLIT($B$47,"" ""))"),0.00242718446601942)</f>
        <v>0.002427184466</v>
      </c>
      <c r="F78" s="5"/>
      <c r="G78" s="5"/>
      <c r="H78" s="5"/>
      <c r="I78" s="5"/>
      <c r="J78" s="5"/>
      <c r="K78" s="50"/>
      <c r="L78" s="50"/>
      <c r="M78" s="50"/>
      <c r="N78" s="50"/>
      <c r="O78" s="50"/>
      <c r="P78" s="50"/>
      <c r="Q78" s="50"/>
      <c r="R78" s="50"/>
      <c r="S78" s="50"/>
      <c r="T78" s="50"/>
      <c r="U78" s="50"/>
      <c r="V78" s="50"/>
      <c r="W78" s="50"/>
      <c r="X78" s="50"/>
      <c r="Y78" s="50"/>
      <c r="Z78" s="50"/>
      <c r="AA78" s="50"/>
      <c r="AB78" s="50"/>
    </row>
    <row r="79" customFormat="false" ht="15.75" hidden="false" customHeight="false" outlineLevel="0" collapsed="false">
      <c r="A79" s="71"/>
      <c r="B79" s="71"/>
      <c r="C79" s="5" t="s">
        <v>8</v>
      </c>
      <c r="D79" s="48"/>
      <c r="E79" s="74" t="n">
        <f aca="false">IFERROR(__xludf.dummyfunction("COUNTA(SPLIT(D79,"" ""))/COUNTA(SPLIT($B$47,"" ""))"),0.00242718446601942)</f>
        <v>0.002427184466</v>
      </c>
      <c r="F79" s="5"/>
      <c r="G79" s="5"/>
      <c r="H79" s="5"/>
      <c r="I79" s="5"/>
      <c r="J79" s="5"/>
      <c r="K79" s="50"/>
      <c r="L79" s="50"/>
      <c r="M79" s="50"/>
      <c r="N79" s="50"/>
      <c r="O79" s="50"/>
      <c r="P79" s="50"/>
      <c r="Q79" s="50"/>
      <c r="R79" s="50"/>
      <c r="S79" s="50"/>
      <c r="T79" s="50"/>
      <c r="U79" s="50"/>
      <c r="V79" s="50"/>
      <c r="W79" s="50"/>
      <c r="X79" s="50"/>
      <c r="Y79" s="50"/>
      <c r="Z79" s="50"/>
      <c r="AA79" s="50"/>
      <c r="AB79" s="50"/>
    </row>
    <row r="80" customFormat="false" ht="15.75" hidden="false" customHeight="false" outlineLevel="0" collapsed="false">
      <c r="A80" s="71"/>
      <c r="B80" s="71"/>
      <c r="C80" s="5" t="s">
        <v>20</v>
      </c>
      <c r="D80" s="48"/>
      <c r="E80" s="75" t="n">
        <f aca="false">IFERROR(__xludf.dummyfunction("COUNTA(SPLIT(D80,"" ""))/COUNTA(SPLIT($B$47,"" ""))"),0.00242718446601942)</f>
        <v>0.002427184466</v>
      </c>
      <c r="F80" s="5"/>
      <c r="G80" s="5"/>
      <c r="H80" s="5"/>
      <c r="I80" s="5"/>
      <c r="J80" s="5"/>
      <c r="K80" s="50"/>
      <c r="L80" s="50"/>
      <c r="M80" s="50"/>
      <c r="N80" s="50"/>
      <c r="O80" s="50"/>
      <c r="P80" s="50"/>
      <c r="Q80" s="50"/>
      <c r="R80" s="50"/>
      <c r="S80" s="50"/>
      <c r="T80" s="50"/>
      <c r="U80" s="50"/>
      <c r="V80" s="50"/>
      <c r="W80" s="50"/>
      <c r="X80" s="50"/>
      <c r="Y80" s="50"/>
      <c r="Z80" s="50"/>
      <c r="AA80" s="50"/>
      <c r="AB80" s="50"/>
    </row>
    <row r="81" customFormat="false" ht="15.75" hidden="false" customHeight="false" outlineLevel="0" collapsed="false">
      <c r="A81" s="50"/>
      <c r="B81" s="50"/>
      <c r="C81" s="5"/>
      <c r="D81" s="48"/>
      <c r="E81" s="50"/>
      <c r="F81" s="5"/>
      <c r="G81" s="5"/>
      <c r="H81" s="5"/>
      <c r="I81" s="5"/>
      <c r="J81" s="5"/>
      <c r="K81" s="50"/>
      <c r="L81" s="50"/>
      <c r="M81" s="50"/>
      <c r="N81" s="50"/>
      <c r="O81" s="50"/>
      <c r="P81" s="50"/>
      <c r="Q81" s="50"/>
      <c r="R81" s="50"/>
      <c r="S81" s="50"/>
      <c r="T81" s="50"/>
      <c r="U81" s="50"/>
      <c r="V81" s="50"/>
      <c r="W81" s="50"/>
      <c r="X81" s="50"/>
      <c r="Y81" s="50"/>
      <c r="Z81" s="50"/>
      <c r="AA81" s="50"/>
      <c r="AB81" s="50"/>
    </row>
    <row r="82" customFormat="false" ht="15.75" hidden="false" customHeight="false" outlineLevel="0" collapsed="false">
      <c r="A82" s="71"/>
      <c r="B82" s="54"/>
      <c r="C82" s="55" t="s">
        <v>18</v>
      </c>
      <c r="D82" s="56"/>
      <c r="E82" s="72" t="n">
        <f aca="false">IFERROR(__xludf.dummyfunction("COUNTA(SPLIT(D82,"" ""))/COUNTA(SPLIT($B$47,"" ""))"),0.00242718446601942)</f>
        <v>0.002427184466</v>
      </c>
      <c r="F82" s="55"/>
      <c r="G82" s="55"/>
      <c r="H82" s="55"/>
      <c r="I82" s="55"/>
      <c r="J82" s="55"/>
      <c r="K82" s="58"/>
      <c r="L82" s="58"/>
      <c r="M82" s="58"/>
      <c r="N82" s="58"/>
      <c r="O82" s="58"/>
      <c r="P82" s="58"/>
      <c r="Q82" s="58"/>
      <c r="R82" s="58"/>
      <c r="S82" s="58"/>
      <c r="T82" s="58"/>
      <c r="U82" s="58"/>
      <c r="V82" s="58"/>
      <c r="W82" s="58"/>
      <c r="X82" s="58"/>
      <c r="Y82" s="58"/>
      <c r="Z82" s="58"/>
      <c r="AA82" s="58"/>
      <c r="AB82" s="58"/>
    </row>
    <row r="83" customFormat="false" ht="15.75" hidden="false" customHeight="false" outlineLevel="0" collapsed="false">
      <c r="A83" s="71"/>
      <c r="B83" s="71"/>
      <c r="C83" s="5" t="s">
        <v>19</v>
      </c>
      <c r="D83" s="48"/>
      <c r="E83" s="73" t="n">
        <f aca="false">IFERROR(__xludf.dummyfunction("COUNTA(SPLIT(D83,"" ""))/COUNTA(SPLIT($B$47,"" ""))"),0.00242718446601942)</f>
        <v>0.002427184466</v>
      </c>
      <c r="F83" s="5"/>
      <c r="G83" s="5"/>
      <c r="H83" s="5"/>
      <c r="I83" s="5"/>
      <c r="J83" s="5"/>
      <c r="K83" s="50"/>
      <c r="L83" s="50"/>
      <c r="M83" s="50"/>
      <c r="N83" s="50"/>
      <c r="O83" s="50"/>
      <c r="P83" s="50"/>
      <c r="Q83" s="50"/>
      <c r="R83" s="50"/>
      <c r="S83" s="50"/>
      <c r="T83" s="50"/>
      <c r="U83" s="50"/>
      <c r="V83" s="50"/>
      <c r="W83" s="50"/>
      <c r="X83" s="50"/>
      <c r="Y83" s="50"/>
      <c r="Z83" s="50"/>
      <c r="AA83" s="50"/>
      <c r="AB83" s="50"/>
    </row>
    <row r="84" customFormat="false" ht="15.75" hidden="false" customHeight="false" outlineLevel="0" collapsed="false">
      <c r="A84" s="71"/>
      <c r="B84" s="71"/>
      <c r="C84" s="5" t="s">
        <v>8</v>
      </c>
      <c r="D84" s="48"/>
      <c r="E84" s="74" t="n">
        <f aca="false">IFERROR(__xludf.dummyfunction("COUNTA(SPLIT(D84,"" ""))/COUNTA(SPLIT($B$47,"" ""))"),0.00242718446601942)</f>
        <v>0.002427184466</v>
      </c>
      <c r="F84" s="5"/>
      <c r="G84" s="5"/>
      <c r="H84" s="5"/>
      <c r="I84" s="5"/>
      <c r="J84" s="5"/>
      <c r="K84" s="50"/>
      <c r="L84" s="50"/>
      <c r="M84" s="50"/>
      <c r="N84" s="50"/>
      <c r="O84" s="50"/>
      <c r="P84" s="50"/>
      <c r="Q84" s="50"/>
      <c r="R84" s="50"/>
      <c r="S84" s="50"/>
      <c r="T84" s="50"/>
      <c r="U84" s="50"/>
      <c r="V84" s="50"/>
      <c r="W84" s="50"/>
      <c r="X84" s="50"/>
      <c r="Y84" s="50"/>
      <c r="Z84" s="50"/>
      <c r="AA84" s="50"/>
      <c r="AB84" s="50"/>
    </row>
    <row r="85" customFormat="false" ht="15.75" hidden="false" customHeight="false" outlineLevel="0" collapsed="false">
      <c r="A85" s="71"/>
      <c r="B85" s="71"/>
      <c r="C85" s="5" t="s">
        <v>20</v>
      </c>
      <c r="D85" s="48"/>
      <c r="E85" s="75" t="n">
        <f aca="false">IFERROR(__xludf.dummyfunction("COUNTA(SPLIT(D85,"" ""))/COUNTA(SPLIT($B$47,"" ""))"),0.00242718446601942)</f>
        <v>0.002427184466</v>
      </c>
      <c r="F85" s="5"/>
      <c r="G85" s="5"/>
      <c r="H85" s="5"/>
      <c r="I85" s="5"/>
      <c r="J85" s="5"/>
      <c r="K85" s="50"/>
      <c r="L85" s="50"/>
      <c r="M85" s="50"/>
      <c r="N85" s="50"/>
      <c r="O85" s="50"/>
      <c r="P85" s="50"/>
      <c r="Q85" s="50"/>
      <c r="R85" s="50"/>
      <c r="S85" s="50"/>
      <c r="T85" s="50"/>
      <c r="U85" s="50"/>
      <c r="V85" s="50"/>
      <c r="W85" s="50"/>
      <c r="X85" s="50"/>
      <c r="Y85" s="50"/>
      <c r="Z85" s="50"/>
      <c r="AA85" s="50"/>
      <c r="AB85" s="50"/>
    </row>
    <row r="86" customFormat="false" ht="15.75" hidden="false" customHeight="false" outlineLevel="0" collapsed="false">
      <c r="A86" s="50"/>
      <c r="B86" s="50"/>
      <c r="C86" s="5"/>
      <c r="D86" s="48"/>
      <c r="E86" s="50"/>
      <c r="F86" s="5"/>
      <c r="G86" s="5"/>
      <c r="H86" s="5"/>
      <c r="I86" s="5"/>
      <c r="J86" s="5"/>
      <c r="K86" s="50"/>
      <c r="L86" s="50"/>
      <c r="M86" s="50"/>
      <c r="N86" s="50"/>
      <c r="O86" s="50"/>
      <c r="P86" s="50"/>
      <c r="Q86" s="50"/>
      <c r="R86" s="50"/>
      <c r="S86" s="50"/>
      <c r="T86" s="50"/>
      <c r="U86" s="50"/>
      <c r="V86" s="50"/>
      <c r="W86" s="50"/>
      <c r="X86" s="50"/>
      <c r="Y86" s="50"/>
      <c r="Z86" s="50"/>
      <c r="AA86" s="50"/>
      <c r="AB86" s="50"/>
    </row>
    <row r="87" customFormat="false" ht="15.75" hidden="false" customHeight="false" outlineLevel="0" collapsed="false">
      <c r="A87" s="71"/>
      <c r="B87" s="54"/>
      <c r="C87" s="55" t="s">
        <v>18</v>
      </c>
      <c r="D87" s="56"/>
      <c r="E87" s="72" t="n">
        <f aca="false">IFERROR(__xludf.dummyfunction("COUNTA(SPLIT(D87,"" ""))/COUNTA(SPLIT($B$47,"" ""))"),0.00242718446601942)</f>
        <v>0.002427184466</v>
      </c>
      <c r="F87" s="55"/>
      <c r="G87" s="55"/>
      <c r="H87" s="55"/>
      <c r="I87" s="55"/>
      <c r="J87" s="55"/>
      <c r="K87" s="58"/>
      <c r="L87" s="58"/>
      <c r="M87" s="58"/>
      <c r="N87" s="58"/>
      <c r="O87" s="58"/>
      <c r="P87" s="58"/>
      <c r="Q87" s="58"/>
      <c r="R87" s="58"/>
      <c r="S87" s="58"/>
      <c r="T87" s="58"/>
      <c r="U87" s="58"/>
      <c r="V87" s="58"/>
      <c r="W87" s="58"/>
      <c r="X87" s="58"/>
      <c r="Y87" s="58"/>
      <c r="Z87" s="58"/>
      <c r="AA87" s="58"/>
      <c r="AB87" s="58"/>
    </row>
    <row r="88" customFormat="false" ht="15.75" hidden="false" customHeight="false" outlineLevel="0" collapsed="false">
      <c r="A88" s="71"/>
      <c r="B88" s="71"/>
      <c r="C88" s="5" t="s">
        <v>19</v>
      </c>
      <c r="D88" s="48"/>
      <c r="E88" s="73" t="n">
        <f aca="false">IFERROR(__xludf.dummyfunction("COUNTA(SPLIT(D88,"" ""))/COUNTA(SPLIT($B$47,"" ""))"),0.00242718446601942)</f>
        <v>0.002427184466</v>
      </c>
      <c r="F88" s="5"/>
      <c r="G88" s="5"/>
      <c r="H88" s="5"/>
      <c r="I88" s="5"/>
      <c r="J88" s="5"/>
      <c r="K88" s="50"/>
      <c r="L88" s="50"/>
      <c r="M88" s="50"/>
      <c r="N88" s="50"/>
      <c r="O88" s="50"/>
      <c r="P88" s="50"/>
      <c r="Q88" s="50"/>
      <c r="R88" s="50"/>
      <c r="S88" s="50"/>
      <c r="T88" s="50"/>
      <c r="U88" s="50"/>
      <c r="V88" s="50"/>
      <c r="W88" s="50"/>
      <c r="X88" s="50"/>
      <c r="Y88" s="50"/>
      <c r="Z88" s="50"/>
      <c r="AA88" s="50"/>
      <c r="AB88" s="50"/>
    </row>
    <row r="89" customFormat="false" ht="15.75" hidden="false" customHeight="false" outlineLevel="0" collapsed="false">
      <c r="A89" s="71"/>
      <c r="B89" s="71"/>
      <c r="C89" s="5" t="s">
        <v>8</v>
      </c>
      <c r="D89" s="48"/>
      <c r="E89" s="74" t="n">
        <f aca="false">IFERROR(__xludf.dummyfunction("COUNTA(SPLIT(D89,"" ""))/COUNTA(SPLIT($B$47,"" ""))"),0.00242718446601942)</f>
        <v>0.002427184466</v>
      </c>
      <c r="F89" s="5"/>
      <c r="G89" s="5"/>
      <c r="H89" s="5"/>
      <c r="I89" s="5"/>
      <c r="J89" s="5"/>
      <c r="K89" s="50"/>
      <c r="L89" s="50"/>
      <c r="M89" s="50"/>
      <c r="N89" s="50"/>
      <c r="O89" s="50"/>
      <c r="P89" s="50"/>
      <c r="Q89" s="50"/>
      <c r="R89" s="50"/>
      <c r="S89" s="50"/>
      <c r="T89" s="50"/>
      <c r="U89" s="50"/>
      <c r="V89" s="50"/>
      <c r="W89" s="50"/>
      <c r="X89" s="50"/>
      <c r="Y89" s="50"/>
      <c r="Z89" s="50"/>
      <c r="AA89" s="50"/>
      <c r="AB89" s="50"/>
    </row>
    <row r="90" customFormat="false" ht="15.75" hidden="false" customHeight="false" outlineLevel="0" collapsed="false">
      <c r="A90" s="71"/>
      <c r="B90" s="71"/>
      <c r="C90" s="5" t="s">
        <v>20</v>
      </c>
      <c r="D90" s="48"/>
      <c r="E90" s="75" t="n">
        <f aca="false">IFERROR(__xludf.dummyfunction("COUNTA(SPLIT(D90,"" ""))/COUNTA(SPLIT($B$47,"" ""))"),0.00242718446601942)</f>
        <v>0.002427184466</v>
      </c>
      <c r="F90" s="5"/>
      <c r="G90" s="5"/>
      <c r="H90" s="5"/>
      <c r="I90" s="5"/>
      <c r="J90" s="5"/>
      <c r="K90" s="50"/>
      <c r="L90" s="50"/>
      <c r="M90" s="50"/>
      <c r="N90" s="50"/>
      <c r="O90" s="50"/>
      <c r="P90" s="50"/>
      <c r="Q90" s="50"/>
      <c r="R90" s="50"/>
      <c r="S90" s="50"/>
      <c r="T90" s="50"/>
      <c r="U90" s="50"/>
      <c r="V90" s="50"/>
      <c r="W90" s="50"/>
      <c r="X90" s="50"/>
      <c r="Y90" s="50"/>
      <c r="Z90" s="50"/>
      <c r="AA90" s="50"/>
      <c r="AB90" s="50"/>
    </row>
    <row r="91" customFormat="false" ht="15.75" hidden="false" customHeight="false" outlineLevel="0" collapsed="false">
      <c r="A91" s="50"/>
      <c r="B91" s="50"/>
      <c r="C91" s="5"/>
      <c r="D91" s="48"/>
      <c r="E91" s="50"/>
      <c r="F91" s="5"/>
      <c r="G91" s="5"/>
      <c r="H91" s="5"/>
      <c r="I91" s="5"/>
      <c r="J91" s="5"/>
      <c r="K91" s="50"/>
      <c r="L91" s="50"/>
      <c r="M91" s="50"/>
      <c r="N91" s="50"/>
      <c r="O91" s="50"/>
      <c r="P91" s="50"/>
      <c r="Q91" s="50"/>
      <c r="R91" s="50"/>
      <c r="S91" s="50"/>
      <c r="T91" s="50"/>
      <c r="U91" s="50"/>
      <c r="V91" s="50"/>
      <c r="W91" s="50"/>
      <c r="X91" s="50"/>
      <c r="Y91" s="50"/>
      <c r="Z91" s="50"/>
      <c r="AA91" s="50"/>
      <c r="AB91" s="50"/>
    </row>
    <row r="92" customFormat="false" ht="15.75" hidden="false" customHeight="false" outlineLevel="0" collapsed="false">
      <c r="A92" s="71"/>
      <c r="B92" s="54"/>
      <c r="C92" s="55" t="s">
        <v>18</v>
      </c>
      <c r="D92" s="56"/>
      <c r="E92" s="72" t="n">
        <f aca="false">IFERROR(__xludf.dummyfunction("COUNTA(SPLIT(D92,"" ""))/COUNTA(SPLIT($B$47,"" ""))"),0.00242718446601942)</f>
        <v>0.002427184466</v>
      </c>
      <c r="F92" s="55"/>
      <c r="G92" s="55"/>
      <c r="H92" s="55"/>
      <c r="I92" s="55"/>
      <c r="J92" s="55"/>
      <c r="K92" s="58"/>
      <c r="L92" s="58"/>
      <c r="M92" s="58"/>
      <c r="N92" s="58"/>
      <c r="O92" s="58"/>
      <c r="P92" s="58"/>
      <c r="Q92" s="58"/>
      <c r="R92" s="58"/>
      <c r="S92" s="58"/>
      <c r="T92" s="58"/>
      <c r="U92" s="58"/>
      <c r="V92" s="58"/>
      <c r="W92" s="58"/>
      <c r="X92" s="58"/>
      <c r="Y92" s="58"/>
      <c r="Z92" s="58"/>
      <c r="AA92" s="58"/>
      <c r="AB92" s="58"/>
    </row>
    <row r="93" customFormat="false" ht="15.75" hidden="false" customHeight="false" outlineLevel="0" collapsed="false">
      <c r="A93" s="71"/>
      <c r="B93" s="71"/>
      <c r="C93" s="5" t="s">
        <v>19</v>
      </c>
      <c r="D93" s="48"/>
      <c r="E93" s="73" t="n">
        <f aca="false">IFERROR(__xludf.dummyfunction("COUNTA(SPLIT(D93,"" ""))/COUNTA(SPLIT($B$47,"" ""))"),0.00242718446601942)</f>
        <v>0.002427184466</v>
      </c>
      <c r="F93" s="5"/>
      <c r="G93" s="5"/>
      <c r="H93" s="5"/>
      <c r="I93" s="5"/>
      <c r="J93" s="5"/>
      <c r="K93" s="50"/>
      <c r="L93" s="50"/>
      <c r="M93" s="50"/>
      <c r="N93" s="50"/>
      <c r="O93" s="50"/>
      <c r="P93" s="50"/>
      <c r="Q93" s="50"/>
      <c r="R93" s="50"/>
      <c r="S93" s="50"/>
      <c r="T93" s="50"/>
      <c r="U93" s="50"/>
      <c r="V93" s="50"/>
      <c r="W93" s="50"/>
      <c r="X93" s="50"/>
      <c r="Y93" s="50"/>
      <c r="Z93" s="50"/>
      <c r="AA93" s="50"/>
      <c r="AB93" s="50"/>
    </row>
    <row r="94" customFormat="false" ht="15.75" hidden="false" customHeight="false" outlineLevel="0" collapsed="false">
      <c r="A94" s="71"/>
      <c r="B94" s="71"/>
      <c r="C94" s="5" t="s">
        <v>8</v>
      </c>
      <c r="D94" s="48"/>
      <c r="E94" s="74" t="n">
        <f aca="false">IFERROR(__xludf.dummyfunction("COUNTA(SPLIT(D94,"" ""))/COUNTA(SPLIT($B$47,"" ""))"),0.00242718446601942)</f>
        <v>0.002427184466</v>
      </c>
      <c r="F94" s="5"/>
      <c r="G94" s="5"/>
      <c r="H94" s="5"/>
      <c r="I94" s="5"/>
      <c r="J94" s="5"/>
      <c r="K94" s="50"/>
      <c r="L94" s="50"/>
      <c r="M94" s="50"/>
      <c r="N94" s="50"/>
      <c r="O94" s="50"/>
      <c r="P94" s="50"/>
      <c r="Q94" s="50"/>
      <c r="R94" s="50"/>
      <c r="S94" s="50"/>
      <c r="T94" s="50"/>
      <c r="U94" s="50"/>
      <c r="V94" s="50"/>
      <c r="W94" s="50"/>
      <c r="X94" s="50"/>
      <c r="Y94" s="50"/>
      <c r="Z94" s="50"/>
      <c r="AA94" s="50"/>
      <c r="AB94" s="50"/>
    </row>
    <row r="95" customFormat="false" ht="15.75" hidden="false" customHeight="false" outlineLevel="0" collapsed="false">
      <c r="A95" s="71"/>
      <c r="B95" s="71"/>
      <c r="C95" s="5" t="s">
        <v>20</v>
      </c>
      <c r="D95" s="48"/>
      <c r="E95" s="75" t="n">
        <f aca="false">IFERROR(__xludf.dummyfunction("COUNTA(SPLIT(D95,"" ""))/COUNTA(SPLIT($B$47,"" ""))"),0.00242718446601942)</f>
        <v>0.002427184466</v>
      </c>
      <c r="F95" s="5"/>
      <c r="G95" s="5"/>
      <c r="H95" s="5"/>
      <c r="I95" s="5"/>
      <c r="J95" s="5"/>
      <c r="K95" s="50"/>
      <c r="L95" s="50"/>
      <c r="M95" s="50"/>
      <c r="N95" s="50"/>
      <c r="O95" s="50"/>
      <c r="P95" s="50"/>
      <c r="Q95" s="50"/>
      <c r="R95" s="50"/>
      <c r="S95" s="50"/>
      <c r="T95" s="50"/>
      <c r="U95" s="50"/>
      <c r="V95" s="50"/>
      <c r="W95" s="50"/>
      <c r="X95" s="50"/>
      <c r="Y95" s="50"/>
      <c r="Z95" s="50"/>
      <c r="AA95" s="50"/>
      <c r="AB95" s="50"/>
    </row>
    <row r="96" customFormat="false" ht="15.75" hidden="false" customHeight="false" outlineLevel="0" collapsed="false">
      <c r="A96" s="50"/>
      <c r="B96" s="50"/>
      <c r="C96" s="5"/>
      <c r="D96" s="48"/>
      <c r="E96" s="50"/>
      <c r="F96" s="5"/>
      <c r="G96" s="5"/>
      <c r="H96" s="5"/>
      <c r="I96" s="5"/>
      <c r="J96" s="5"/>
      <c r="K96" s="50"/>
      <c r="L96" s="50"/>
      <c r="M96" s="50"/>
      <c r="N96" s="50"/>
      <c r="O96" s="50"/>
      <c r="P96" s="50"/>
      <c r="Q96" s="50"/>
      <c r="R96" s="50"/>
      <c r="S96" s="50"/>
      <c r="T96" s="50"/>
      <c r="U96" s="50"/>
      <c r="V96" s="50"/>
      <c r="W96" s="50"/>
      <c r="X96" s="50"/>
      <c r="Y96" s="50"/>
      <c r="Z96" s="50"/>
      <c r="AA96" s="50"/>
      <c r="AB96" s="50"/>
    </row>
    <row r="97" customFormat="false" ht="15.75" hidden="false" customHeight="false" outlineLevel="0" collapsed="false">
      <c r="A97" s="71"/>
      <c r="B97" s="54"/>
      <c r="C97" s="55" t="s">
        <v>18</v>
      </c>
      <c r="D97" s="56"/>
      <c r="E97" s="72" t="n">
        <f aca="false">IFERROR(__xludf.dummyfunction("COUNTA(SPLIT(D97,"" ""))/COUNTA(SPLIT($B$47,"" ""))"),0.00242718446601942)</f>
        <v>0.002427184466</v>
      </c>
      <c r="F97" s="55"/>
      <c r="G97" s="55"/>
      <c r="H97" s="55"/>
      <c r="I97" s="55"/>
      <c r="J97" s="55"/>
      <c r="K97" s="58"/>
      <c r="L97" s="58"/>
      <c r="M97" s="58"/>
      <c r="N97" s="58"/>
      <c r="O97" s="58"/>
      <c r="P97" s="58"/>
      <c r="Q97" s="58"/>
      <c r="R97" s="58"/>
      <c r="S97" s="58"/>
      <c r="T97" s="58"/>
      <c r="U97" s="58"/>
      <c r="V97" s="58"/>
      <c r="W97" s="58"/>
      <c r="X97" s="58"/>
      <c r="Y97" s="58"/>
      <c r="Z97" s="58"/>
      <c r="AA97" s="58"/>
      <c r="AB97" s="58"/>
    </row>
    <row r="98" customFormat="false" ht="15.75" hidden="false" customHeight="false" outlineLevel="0" collapsed="false">
      <c r="A98" s="71"/>
      <c r="B98" s="71"/>
      <c r="C98" s="5" t="s">
        <v>19</v>
      </c>
      <c r="D98" s="48"/>
      <c r="E98" s="73" t="n">
        <f aca="false">IFERROR(__xludf.dummyfunction("COUNTA(SPLIT(D98,"" ""))/COUNTA(SPLIT($B$47,"" ""))"),0.00242718446601942)</f>
        <v>0.002427184466</v>
      </c>
      <c r="F98" s="5"/>
      <c r="G98" s="5"/>
      <c r="H98" s="5"/>
      <c r="I98" s="5"/>
      <c r="J98" s="5"/>
      <c r="K98" s="50"/>
      <c r="L98" s="50"/>
      <c r="M98" s="50"/>
      <c r="N98" s="50"/>
      <c r="O98" s="50"/>
      <c r="P98" s="50"/>
      <c r="Q98" s="50"/>
      <c r="R98" s="50"/>
      <c r="S98" s="50"/>
      <c r="T98" s="50"/>
      <c r="U98" s="50"/>
      <c r="V98" s="50"/>
      <c r="W98" s="50"/>
      <c r="X98" s="50"/>
      <c r="Y98" s="50"/>
      <c r="Z98" s="50"/>
      <c r="AA98" s="50"/>
      <c r="AB98" s="50"/>
    </row>
    <row r="99" customFormat="false" ht="15.75" hidden="false" customHeight="false" outlineLevel="0" collapsed="false">
      <c r="A99" s="71"/>
      <c r="B99" s="71"/>
      <c r="C99" s="5" t="s">
        <v>8</v>
      </c>
      <c r="D99" s="48"/>
      <c r="E99" s="74" t="n">
        <f aca="false">IFERROR(__xludf.dummyfunction("COUNTA(SPLIT(D99,"" ""))/COUNTA(SPLIT($B$47,"" ""))"),0.00242718446601942)</f>
        <v>0.002427184466</v>
      </c>
      <c r="F99" s="5"/>
      <c r="G99" s="5"/>
      <c r="H99" s="5"/>
      <c r="I99" s="5"/>
      <c r="J99" s="5"/>
      <c r="K99" s="50"/>
      <c r="L99" s="50"/>
      <c r="M99" s="50"/>
      <c r="N99" s="50"/>
      <c r="O99" s="50"/>
      <c r="P99" s="50"/>
      <c r="Q99" s="50"/>
      <c r="R99" s="50"/>
      <c r="S99" s="50"/>
      <c r="T99" s="50"/>
      <c r="U99" s="50"/>
      <c r="V99" s="50"/>
      <c r="W99" s="50"/>
      <c r="X99" s="50"/>
      <c r="Y99" s="50"/>
      <c r="Z99" s="50"/>
      <c r="AA99" s="50"/>
      <c r="AB99" s="50"/>
    </row>
    <row r="100" customFormat="false" ht="15.75" hidden="false" customHeight="false" outlineLevel="0" collapsed="false">
      <c r="A100" s="71"/>
      <c r="B100" s="71"/>
      <c r="C100" s="5" t="s">
        <v>20</v>
      </c>
      <c r="D100" s="48"/>
      <c r="E100" s="75" t="n">
        <f aca="false">IFERROR(__xludf.dummyfunction("COUNTA(SPLIT(D100,"" ""))/COUNTA(SPLIT($B$47,"" ""))"),0.00242718446601942)</f>
        <v>0.002427184466</v>
      </c>
      <c r="F100" s="5"/>
      <c r="G100" s="5"/>
      <c r="H100" s="5"/>
      <c r="I100" s="5"/>
      <c r="J100" s="5"/>
      <c r="K100" s="50"/>
      <c r="L100" s="50"/>
      <c r="M100" s="50"/>
      <c r="N100" s="50"/>
      <c r="O100" s="50"/>
      <c r="P100" s="50"/>
      <c r="Q100" s="50"/>
      <c r="R100" s="50"/>
      <c r="S100" s="50"/>
      <c r="T100" s="50"/>
      <c r="U100" s="50"/>
      <c r="V100" s="50"/>
      <c r="W100" s="50"/>
      <c r="X100" s="50"/>
      <c r="Y100" s="50"/>
      <c r="Z100" s="50"/>
      <c r="AA100" s="50"/>
      <c r="AB100" s="50"/>
    </row>
    <row r="101" customFormat="false" ht="15.75" hidden="false" customHeight="false" outlineLevel="0" collapsed="false">
      <c r="A101" s="50"/>
      <c r="B101" s="50"/>
      <c r="C101" s="5"/>
      <c r="D101" s="48"/>
      <c r="E101" s="50"/>
      <c r="F101" s="5"/>
      <c r="G101" s="5"/>
      <c r="H101" s="5"/>
      <c r="I101" s="5"/>
      <c r="J101" s="5"/>
      <c r="K101" s="50"/>
      <c r="L101" s="50"/>
      <c r="M101" s="50"/>
      <c r="N101" s="50"/>
      <c r="O101" s="50"/>
      <c r="P101" s="50"/>
      <c r="Q101" s="50"/>
      <c r="R101" s="50"/>
      <c r="S101" s="50"/>
      <c r="T101" s="50"/>
      <c r="U101" s="50"/>
      <c r="V101" s="50"/>
      <c r="W101" s="50"/>
      <c r="X101" s="50"/>
      <c r="Y101" s="50"/>
      <c r="Z101" s="50"/>
      <c r="AA101" s="50"/>
      <c r="AB101" s="50"/>
    </row>
    <row r="102" customFormat="false" ht="15.75" hidden="false" customHeight="false" outlineLevel="0" collapsed="false">
      <c r="A102" s="71"/>
      <c r="B102" s="54"/>
      <c r="C102" s="55" t="s">
        <v>18</v>
      </c>
      <c r="D102" s="56"/>
      <c r="E102" s="72" t="n">
        <f aca="false">IFERROR(__xludf.dummyfunction("COUNTA(SPLIT(D102,"" ""))/COUNTA(SPLIT($B$47,"" ""))"),0.00242718446601942)</f>
        <v>0.002427184466</v>
      </c>
      <c r="F102" s="55"/>
      <c r="G102" s="55"/>
      <c r="H102" s="55"/>
      <c r="I102" s="55"/>
      <c r="J102" s="55"/>
      <c r="K102" s="58"/>
      <c r="L102" s="58"/>
      <c r="M102" s="58"/>
      <c r="N102" s="58"/>
      <c r="O102" s="58"/>
      <c r="P102" s="58"/>
      <c r="Q102" s="58"/>
      <c r="R102" s="58"/>
      <c r="S102" s="58"/>
      <c r="T102" s="58"/>
      <c r="U102" s="58"/>
      <c r="V102" s="58"/>
      <c r="W102" s="58"/>
      <c r="X102" s="58"/>
      <c r="Y102" s="58"/>
      <c r="Z102" s="58"/>
      <c r="AA102" s="58"/>
      <c r="AB102" s="58"/>
    </row>
    <row r="103" customFormat="false" ht="15.75" hidden="false" customHeight="false" outlineLevel="0" collapsed="false">
      <c r="A103" s="71"/>
      <c r="B103" s="71"/>
      <c r="C103" s="5" t="s">
        <v>19</v>
      </c>
      <c r="D103" s="48"/>
      <c r="E103" s="73" t="n">
        <f aca="false">IFERROR(__xludf.dummyfunction("COUNTA(SPLIT(D103,"" ""))/COUNTA(SPLIT($B$47,"" ""))"),0.00242718446601942)</f>
        <v>0.002427184466</v>
      </c>
      <c r="F103" s="5"/>
      <c r="G103" s="5"/>
      <c r="H103" s="5"/>
      <c r="I103" s="5"/>
      <c r="J103" s="5"/>
      <c r="K103" s="50"/>
      <c r="L103" s="50"/>
      <c r="M103" s="50"/>
      <c r="N103" s="50"/>
      <c r="O103" s="50"/>
      <c r="P103" s="50"/>
      <c r="Q103" s="50"/>
      <c r="R103" s="50"/>
      <c r="S103" s="50"/>
      <c r="T103" s="50"/>
      <c r="U103" s="50"/>
      <c r="V103" s="50"/>
      <c r="W103" s="50"/>
      <c r="X103" s="50"/>
      <c r="Y103" s="50"/>
      <c r="Z103" s="50"/>
      <c r="AA103" s="50"/>
      <c r="AB103" s="50"/>
    </row>
    <row r="104" customFormat="false" ht="15.75" hidden="false" customHeight="false" outlineLevel="0" collapsed="false">
      <c r="A104" s="71"/>
      <c r="B104" s="71"/>
      <c r="C104" s="5" t="s">
        <v>8</v>
      </c>
      <c r="D104" s="48"/>
      <c r="E104" s="74" t="n">
        <f aca="false">IFERROR(__xludf.dummyfunction("COUNTA(SPLIT(D104,"" ""))/COUNTA(SPLIT($B$47,"" ""))"),0.00242718446601942)</f>
        <v>0.002427184466</v>
      </c>
      <c r="F104" s="5"/>
      <c r="G104" s="5"/>
      <c r="H104" s="5"/>
      <c r="I104" s="5"/>
      <c r="J104" s="5"/>
      <c r="K104" s="50"/>
      <c r="L104" s="50"/>
      <c r="M104" s="50"/>
      <c r="N104" s="50"/>
      <c r="O104" s="50"/>
      <c r="P104" s="50"/>
      <c r="Q104" s="50"/>
      <c r="R104" s="50"/>
      <c r="S104" s="50"/>
      <c r="T104" s="50"/>
      <c r="U104" s="50"/>
      <c r="V104" s="50"/>
      <c r="W104" s="50"/>
      <c r="X104" s="50"/>
      <c r="Y104" s="50"/>
      <c r="Z104" s="50"/>
      <c r="AA104" s="50"/>
      <c r="AB104" s="50"/>
    </row>
    <row r="105" customFormat="false" ht="15.75" hidden="false" customHeight="false" outlineLevel="0" collapsed="false">
      <c r="A105" s="71"/>
      <c r="B105" s="71"/>
      <c r="C105" s="5" t="s">
        <v>20</v>
      </c>
      <c r="D105" s="48"/>
      <c r="E105" s="75" t="n">
        <f aca="false">IFERROR(__xludf.dummyfunction("COUNTA(SPLIT(D105,"" ""))/COUNTA(SPLIT($B$47,"" ""))"),0.00242718446601942)</f>
        <v>0.002427184466</v>
      </c>
      <c r="F105" s="5"/>
      <c r="G105" s="5"/>
      <c r="H105" s="5"/>
      <c r="I105" s="5"/>
      <c r="J105" s="5"/>
      <c r="K105" s="50"/>
      <c r="L105" s="50"/>
      <c r="M105" s="50"/>
      <c r="N105" s="50"/>
      <c r="O105" s="50"/>
      <c r="P105" s="50"/>
      <c r="Q105" s="50"/>
      <c r="R105" s="50"/>
      <c r="S105" s="50"/>
      <c r="T105" s="50"/>
      <c r="U105" s="50"/>
      <c r="V105" s="50"/>
      <c r="W105" s="50"/>
      <c r="X105" s="50"/>
      <c r="Y105" s="50"/>
      <c r="Z105" s="50"/>
      <c r="AA105" s="50"/>
      <c r="AB105" s="50"/>
    </row>
    <row r="106" customFormat="false" ht="15.75" hidden="false" customHeight="false" outlineLevel="0" collapsed="false">
      <c r="A106" s="50"/>
      <c r="B106" s="50"/>
      <c r="C106" s="5"/>
      <c r="D106" s="48"/>
      <c r="E106" s="50"/>
      <c r="F106" s="5"/>
      <c r="G106" s="5"/>
      <c r="H106" s="5"/>
      <c r="I106" s="5"/>
      <c r="J106" s="5"/>
      <c r="K106" s="50"/>
      <c r="L106" s="50"/>
      <c r="M106" s="50"/>
      <c r="N106" s="50"/>
      <c r="O106" s="50"/>
      <c r="P106" s="50"/>
      <c r="Q106" s="50"/>
      <c r="R106" s="50"/>
      <c r="S106" s="50"/>
      <c r="T106" s="50"/>
      <c r="U106" s="50"/>
      <c r="V106" s="50"/>
      <c r="W106" s="50"/>
      <c r="X106" s="50"/>
      <c r="Y106" s="50"/>
      <c r="Z106" s="50"/>
      <c r="AA106" s="50"/>
      <c r="AB106" s="50"/>
    </row>
    <row r="107" customFormat="false" ht="15.75" hidden="false" customHeight="false" outlineLevel="0" collapsed="false">
      <c r="A107" s="71"/>
      <c r="B107" s="54"/>
      <c r="C107" s="55" t="s">
        <v>18</v>
      </c>
      <c r="D107" s="56"/>
      <c r="E107" s="72" t="n">
        <f aca="false">IFERROR(__xludf.dummyfunction("COUNTA(SPLIT(D107,"" ""))/COUNTA(SPLIT($B$47,"" ""))"),0.00242718446601942)</f>
        <v>0.002427184466</v>
      </c>
      <c r="F107" s="55"/>
      <c r="G107" s="55"/>
      <c r="H107" s="55"/>
      <c r="I107" s="55"/>
      <c r="J107" s="55"/>
      <c r="K107" s="58"/>
      <c r="L107" s="58"/>
      <c r="M107" s="58"/>
      <c r="N107" s="58"/>
      <c r="O107" s="58"/>
      <c r="P107" s="58"/>
      <c r="Q107" s="58"/>
      <c r="R107" s="58"/>
      <c r="S107" s="58"/>
      <c r="T107" s="58"/>
      <c r="U107" s="58"/>
      <c r="V107" s="58"/>
      <c r="W107" s="58"/>
      <c r="X107" s="58"/>
      <c r="Y107" s="58"/>
      <c r="Z107" s="58"/>
      <c r="AA107" s="58"/>
      <c r="AB107" s="58"/>
    </row>
    <row r="108" customFormat="false" ht="15.75" hidden="false" customHeight="false" outlineLevel="0" collapsed="false">
      <c r="A108" s="71"/>
      <c r="B108" s="71"/>
      <c r="C108" s="5" t="s">
        <v>19</v>
      </c>
      <c r="D108" s="48"/>
      <c r="E108" s="73" t="n">
        <f aca="false">IFERROR(__xludf.dummyfunction("COUNTA(SPLIT(D108,"" ""))/COUNTA(SPLIT($B$47,"" ""))"),0.00242718446601942)</f>
        <v>0.002427184466</v>
      </c>
      <c r="F108" s="5"/>
      <c r="G108" s="5"/>
      <c r="H108" s="5"/>
      <c r="I108" s="5"/>
      <c r="J108" s="5"/>
      <c r="K108" s="50"/>
      <c r="L108" s="50"/>
      <c r="M108" s="50"/>
      <c r="N108" s="50"/>
      <c r="O108" s="50"/>
      <c r="P108" s="50"/>
      <c r="Q108" s="50"/>
      <c r="R108" s="50"/>
      <c r="S108" s="50"/>
      <c r="T108" s="50"/>
      <c r="U108" s="50"/>
      <c r="V108" s="50"/>
      <c r="W108" s="50"/>
      <c r="X108" s="50"/>
      <c r="Y108" s="50"/>
      <c r="Z108" s="50"/>
      <c r="AA108" s="50"/>
      <c r="AB108" s="50"/>
    </row>
    <row r="109" customFormat="false" ht="15.75" hidden="false" customHeight="false" outlineLevel="0" collapsed="false">
      <c r="A109" s="71"/>
      <c r="B109" s="71"/>
      <c r="C109" s="5" t="s">
        <v>8</v>
      </c>
      <c r="D109" s="48"/>
      <c r="E109" s="74" t="n">
        <f aca="false">IFERROR(__xludf.dummyfunction("COUNTA(SPLIT(D109,"" ""))/COUNTA(SPLIT($B$47,"" ""))"),0.00242718446601942)</f>
        <v>0.002427184466</v>
      </c>
      <c r="F109" s="5"/>
      <c r="G109" s="5"/>
      <c r="H109" s="5"/>
      <c r="I109" s="5"/>
      <c r="J109" s="5"/>
      <c r="K109" s="50"/>
      <c r="L109" s="50"/>
      <c r="M109" s="50"/>
      <c r="N109" s="50"/>
      <c r="O109" s="50"/>
      <c r="P109" s="50"/>
      <c r="Q109" s="50"/>
      <c r="R109" s="50"/>
      <c r="S109" s="50"/>
      <c r="T109" s="50"/>
      <c r="U109" s="50"/>
      <c r="V109" s="50"/>
      <c r="W109" s="50"/>
      <c r="X109" s="50"/>
      <c r="Y109" s="50"/>
      <c r="Z109" s="50"/>
      <c r="AA109" s="50"/>
      <c r="AB109" s="50"/>
    </row>
    <row r="110" customFormat="false" ht="15.75" hidden="false" customHeight="false" outlineLevel="0" collapsed="false">
      <c r="A110" s="71"/>
      <c r="B110" s="71"/>
      <c r="C110" s="5" t="s">
        <v>20</v>
      </c>
      <c r="D110" s="48"/>
      <c r="E110" s="75" t="n">
        <f aca="false">IFERROR(__xludf.dummyfunction("COUNTA(SPLIT(D110,"" ""))/COUNTA(SPLIT($B$47,"" ""))"),0.00242718446601942)</f>
        <v>0.002427184466</v>
      </c>
      <c r="F110" s="5"/>
      <c r="G110" s="5"/>
      <c r="H110" s="5"/>
      <c r="I110" s="5"/>
      <c r="J110" s="5"/>
      <c r="K110" s="50"/>
      <c r="L110" s="50"/>
      <c r="M110" s="50"/>
      <c r="N110" s="50"/>
      <c r="O110" s="50"/>
      <c r="P110" s="50"/>
      <c r="Q110" s="50"/>
      <c r="R110" s="50"/>
      <c r="S110" s="50"/>
      <c r="T110" s="50"/>
      <c r="U110" s="50"/>
      <c r="V110" s="50"/>
      <c r="W110" s="50"/>
      <c r="X110" s="50"/>
      <c r="Y110" s="50"/>
      <c r="Z110" s="50"/>
      <c r="AA110" s="50"/>
      <c r="AB110" s="50"/>
    </row>
    <row r="111" customFormat="false" ht="15.75" hidden="false" customHeight="false" outlineLevel="0" collapsed="false">
      <c r="A111" s="50"/>
      <c r="B111" s="50"/>
      <c r="C111" s="5"/>
      <c r="D111" s="48"/>
      <c r="E111" s="50"/>
      <c r="F111" s="5"/>
      <c r="G111" s="5"/>
      <c r="H111" s="5"/>
      <c r="I111" s="5"/>
      <c r="J111" s="5"/>
      <c r="K111" s="50"/>
      <c r="L111" s="50"/>
      <c r="M111" s="50"/>
      <c r="N111" s="50"/>
      <c r="O111" s="50"/>
      <c r="P111" s="50"/>
      <c r="Q111" s="50"/>
      <c r="R111" s="50"/>
      <c r="S111" s="50"/>
      <c r="T111" s="50"/>
      <c r="U111" s="50"/>
      <c r="V111" s="50"/>
      <c r="W111" s="50"/>
      <c r="X111" s="50"/>
      <c r="Y111" s="50"/>
      <c r="Z111" s="50"/>
      <c r="AA111" s="50"/>
      <c r="AB111" s="50"/>
    </row>
    <row r="112" customFormat="false" ht="15.75" hidden="false" customHeight="false" outlineLevel="0" collapsed="false">
      <c r="A112" s="71"/>
      <c r="B112" s="54"/>
      <c r="C112" s="55" t="s">
        <v>18</v>
      </c>
      <c r="D112" s="56"/>
      <c r="E112" s="72" t="n">
        <f aca="false">IFERROR(__xludf.dummyfunction("COUNTA(SPLIT(D112,"" ""))/COUNTA(SPLIT($B$47,"" ""))"),0.00242718446601942)</f>
        <v>0.002427184466</v>
      </c>
      <c r="F112" s="55"/>
      <c r="G112" s="55"/>
      <c r="H112" s="55"/>
      <c r="I112" s="55"/>
      <c r="J112" s="55"/>
      <c r="K112" s="58"/>
      <c r="L112" s="58"/>
      <c r="M112" s="58"/>
      <c r="N112" s="58"/>
      <c r="O112" s="58"/>
      <c r="P112" s="58"/>
      <c r="Q112" s="58"/>
      <c r="R112" s="58"/>
      <c r="S112" s="58"/>
      <c r="T112" s="58"/>
      <c r="U112" s="58"/>
      <c r="V112" s="58"/>
      <c r="W112" s="58"/>
      <c r="X112" s="58"/>
      <c r="Y112" s="58"/>
      <c r="Z112" s="58"/>
      <c r="AA112" s="58"/>
      <c r="AB112" s="58"/>
    </row>
    <row r="113" customFormat="false" ht="15.75" hidden="false" customHeight="false" outlineLevel="0" collapsed="false">
      <c r="A113" s="71"/>
      <c r="B113" s="71"/>
      <c r="C113" s="5" t="s">
        <v>19</v>
      </c>
      <c r="D113" s="48"/>
      <c r="E113" s="73" t="n">
        <f aca="false">IFERROR(__xludf.dummyfunction("COUNTA(SPLIT(D113,"" ""))/COUNTA(SPLIT($B$47,"" ""))"),0.00242718446601942)</f>
        <v>0.002427184466</v>
      </c>
      <c r="F113" s="5"/>
      <c r="G113" s="5"/>
      <c r="H113" s="5"/>
      <c r="I113" s="5"/>
      <c r="J113" s="5"/>
      <c r="K113" s="50"/>
      <c r="L113" s="50"/>
      <c r="M113" s="50"/>
      <c r="N113" s="50"/>
      <c r="O113" s="50"/>
      <c r="P113" s="50"/>
      <c r="Q113" s="50"/>
      <c r="R113" s="50"/>
      <c r="S113" s="50"/>
      <c r="T113" s="50"/>
      <c r="U113" s="50"/>
      <c r="V113" s="50"/>
      <c r="W113" s="50"/>
      <c r="X113" s="50"/>
      <c r="Y113" s="50"/>
      <c r="Z113" s="50"/>
      <c r="AA113" s="50"/>
      <c r="AB113" s="50"/>
    </row>
    <row r="114" customFormat="false" ht="15.75" hidden="false" customHeight="false" outlineLevel="0" collapsed="false">
      <c r="A114" s="71"/>
      <c r="B114" s="71"/>
      <c r="C114" s="5" t="s">
        <v>8</v>
      </c>
      <c r="D114" s="48"/>
      <c r="E114" s="74" t="n">
        <f aca="false">IFERROR(__xludf.dummyfunction("COUNTA(SPLIT(D114,"" ""))/COUNTA(SPLIT($B$47,"" ""))"),0.00242718446601942)</f>
        <v>0.002427184466</v>
      </c>
      <c r="F114" s="5"/>
      <c r="G114" s="5"/>
      <c r="H114" s="5"/>
      <c r="I114" s="5"/>
      <c r="J114" s="5"/>
      <c r="K114" s="50"/>
      <c r="L114" s="50"/>
      <c r="M114" s="50"/>
      <c r="N114" s="50"/>
      <c r="O114" s="50"/>
      <c r="P114" s="50"/>
      <c r="Q114" s="50"/>
      <c r="R114" s="50"/>
      <c r="S114" s="50"/>
      <c r="T114" s="50"/>
      <c r="U114" s="50"/>
      <c r="V114" s="50"/>
      <c r="W114" s="50"/>
      <c r="X114" s="50"/>
      <c r="Y114" s="50"/>
      <c r="Z114" s="50"/>
      <c r="AA114" s="50"/>
      <c r="AB114" s="50"/>
    </row>
    <row r="115" customFormat="false" ht="15.75" hidden="false" customHeight="false" outlineLevel="0" collapsed="false">
      <c r="A115" s="71"/>
      <c r="B115" s="71"/>
      <c r="C115" s="5" t="s">
        <v>20</v>
      </c>
      <c r="D115" s="48"/>
      <c r="E115" s="75" t="n">
        <f aca="false">IFERROR(__xludf.dummyfunction("COUNTA(SPLIT(D115,"" ""))/COUNTA(SPLIT($B$47,"" ""))"),0.00242718446601942)</f>
        <v>0.002427184466</v>
      </c>
      <c r="F115" s="5"/>
      <c r="G115" s="5"/>
      <c r="H115" s="5"/>
      <c r="I115" s="5"/>
      <c r="J115" s="5"/>
      <c r="K115" s="50"/>
      <c r="L115" s="50"/>
      <c r="M115" s="50"/>
      <c r="N115" s="50"/>
      <c r="O115" s="50"/>
      <c r="P115" s="50"/>
      <c r="Q115" s="50"/>
      <c r="R115" s="50"/>
      <c r="S115" s="50"/>
      <c r="T115" s="50"/>
      <c r="U115" s="50"/>
      <c r="V115" s="50"/>
      <c r="W115" s="50"/>
      <c r="X115" s="50"/>
      <c r="Y115" s="50"/>
      <c r="Z115" s="50"/>
      <c r="AA115" s="50"/>
      <c r="AB115" s="50"/>
    </row>
    <row r="116" customFormat="false" ht="15.75" hidden="false" customHeight="false" outlineLevel="0" collapsed="false">
      <c r="A116" s="50"/>
      <c r="B116" s="50"/>
      <c r="C116" s="5"/>
      <c r="D116" s="48"/>
      <c r="E116" s="50"/>
      <c r="F116" s="5"/>
      <c r="G116" s="5"/>
      <c r="H116" s="5"/>
      <c r="I116" s="5"/>
      <c r="J116" s="5"/>
      <c r="K116" s="50"/>
      <c r="L116" s="50"/>
      <c r="M116" s="50"/>
      <c r="N116" s="50"/>
      <c r="O116" s="50"/>
      <c r="P116" s="50"/>
      <c r="Q116" s="50"/>
      <c r="R116" s="50"/>
      <c r="S116" s="50"/>
      <c r="T116" s="50"/>
      <c r="U116" s="50"/>
      <c r="V116" s="50"/>
      <c r="W116" s="50"/>
      <c r="X116" s="50"/>
      <c r="Y116" s="50"/>
      <c r="Z116" s="50"/>
      <c r="AA116" s="50"/>
      <c r="AB116" s="50"/>
    </row>
    <row r="117" customFormat="false" ht="15.75" hidden="false" customHeight="false" outlineLevel="0" collapsed="false">
      <c r="A117" s="71"/>
      <c r="B117" s="54"/>
      <c r="C117" s="55" t="s">
        <v>18</v>
      </c>
      <c r="D117" s="56"/>
      <c r="E117" s="72" t="n">
        <f aca="false">IFERROR(__xludf.dummyfunction("COUNTA(SPLIT(D117,"" ""))/COUNTA(SPLIT($B$47,"" ""))"),0.00242718446601942)</f>
        <v>0.002427184466</v>
      </c>
      <c r="F117" s="55"/>
      <c r="G117" s="55"/>
      <c r="H117" s="55"/>
      <c r="I117" s="55"/>
      <c r="J117" s="55"/>
      <c r="K117" s="58"/>
      <c r="L117" s="58"/>
      <c r="M117" s="58"/>
      <c r="N117" s="58"/>
      <c r="O117" s="58"/>
      <c r="P117" s="58"/>
      <c r="Q117" s="58"/>
      <c r="R117" s="58"/>
      <c r="S117" s="58"/>
      <c r="T117" s="58"/>
      <c r="U117" s="58"/>
      <c r="V117" s="58"/>
      <c r="W117" s="58"/>
      <c r="X117" s="58"/>
      <c r="Y117" s="58"/>
      <c r="Z117" s="58"/>
      <c r="AA117" s="58"/>
      <c r="AB117" s="58"/>
    </row>
    <row r="118" customFormat="false" ht="15.75" hidden="false" customHeight="false" outlineLevel="0" collapsed="false">
      <c r="A118" s="71"/>
      <c r="B118" s="71"/>
      <c r="C118" s="5" t="s">
        <v>19</v>
      </c>
      <c r="D118" s="48"/>
      <c r="E118" s="73" t="n">
        <f aca="false">IFERROR(__xludf.dummyfunction("COUNTA(SPLIT(D118,"" ""))/COUNTA(SPLIT($B$47,"" ""))"),0.00242718446601942)</f>
        <v>0.002427184466</v>
      </c>
      <c r="F118" s="5"/>
      <c r="G118" s="5"/>
      <c r="H118" s="5"/>
      <c r="I118" s="5"/>
      <c r="J118" s="5"/>
      <c r="K118" s="50"/>
      <c r="L118" s="50"/>
      <c r="M118" s="50"/>
      <c r="N118" s="50"/>
      <c r="O118" s="50"/>
      <c r="P118" s="50"/>
      <c r="Q118" s="50"/>
      <c r="R118" s="50"/>
      <c r="S118" s="50"/>
      <c r="T118" s="50"/>
      <c r="U118" s="50"/>
      <c r="V118" s="50"/>
      <c r="W118" s="50"/>
      <c r="X118" s="50"/>
      <c r="Y118" s="50"/>
      <c r="Z118" s="50"/>
      <c r="AA118" s="50"/>
      <c r="AB118" s="50"/>
    </row>
    <row r="119" customFormat="false" ht="15.75" hidden="false" customHeight="false" outlineLevel="0" collapsed="false">
      <c r="A119" s="71"/>
      <c r="B119" s="71"/>
      <c r="C119" s="5" t="s">
        <v>8</v>
      </c>
      <c r="D119" s="48"/>
      <c r="E119" s="74" t="n">
        <f aca="false">IFERROR(__xludf.dummyfunction("COUNTA(SPLIT(D119,"" ""))/COUNTA(SPLIT($B$47,"" ""))"),0.00242718446601942)</f>
        <v>0.002427184466</v>
      </c>
      <c r="F119" s="5"/>
      <c r="G119" s="5"/>
      <c r="H119" s="5"/>
      <c r="I119" s="5"/>
      <c r="J119" s="5"/>
      <c r="K119" s="50"/>
      <c r="L119" s="50"/>
      <c r="M119" s="50"/>
      <c r="N119" s="50"/>
      <c r="O119" s="50"/>
      <c r="P119" s="50"/>
      <c r="Q119" s="50"/>
      <c r="R119" s="50"/>
      <c r="S119" s="50"/>
      <c r="T119" s="50"/>
      <c r="U119" s="50"/>
      <c r="V119" s="50"/>
      <c r="W119" s="50"/>
      <c r="X119" s="50"/>
      <c r="Y119" s="50"/>
      <c r="Z119" s="50"/>
      <c r="AA119" s="50"/>
      <c r="AB119" s="50"/>
    </row>
    <row r="120" customFormat="false" ht="15.75" hidden="false" customHeight="false" outlineLevel="0" collapsed="false">
      <c r="A120" s="71"/>
      <c r="B120" s="71"/>
      <c r="C120" s="5" t="s">
        <v>20</v>
      </c>
      <c r="D120" s="48"/>
      <c r="E120" s="75" t="n">
        <f aca="false">IFERROR(__xludf.dummyfunction("COUNTA(SPLIT(D120,"" ""))/COUNTA(SPLIT($B$47,"" ""))"),0.00242718446601942)</f>
        <v>0.002427184466</v>
      </c>
      <c r="F120" s="5"/>
      <c r="G120" s="5"/>
      <c r="H120" s="5"/>
      <c r="I120" s="5"/>
      <c r="J120" s="5"/>
      <c r="K120" s="50"/>
      <c r="L120" s="50"/>
      <c r="M120" s="50"/>
      <c r="N120" s="50"/>
      <c r="O120" s="50"/>
      <c r="P120" s="50"/>
      <c r="Q120" s="50"/>
      <c r="R120" s="50"/>
      <c r="S120" s="50"/>
      <c r="T120" s="50"/>
      <c r="U120" s="50"/>
      <c r="V120" s="50"/>
      <c r="W120" s="50"/>
      <c r="X120" s="50"/>
      <c r="Y120" s="50"/>
      <c r="Z120" s="50"/>
      <c r="AA120" s="50"/>
      <c r="AB120" s="50"/>
    </row>
    <row r="121" customFormat="false" ht="15.75" hidden="false" customHeight="false" outlineLevel="0" collapsed="false">
      <c r="A121" s="50"/>
      <c r="B121" s="50"/>
      <c r="C121" s="5"/>
      <c r="D121" s="48"/>
      <c r="E121" s="50"/>
      <c r="F121" s="5"/>
      <c r="G121" s="5"/>
      <c r="H121" s="5"/>
      <c r="I121" s="5"/>
      <c r="J121" s="5"/>
      <c r="K121" s="50"/>
      <c r="L121" s="50"/>
      <c r="M121" s="50"/>
      <c r="N121" s="50"/>
      <c r="O121" s="50"/>
      <c r="P121" s="50"/>
      <c r="Q121" s="50"/>
      <c r="R121" s="50"/>
      <c r="S121" s="50"/>
      <c r="T121" s="50"/>
      <c r="U121" s="50"/>
      <c r="V121" s="50"/>
      <c r="W121" s="50"/>
      <c r="X121" s="50"/>
      <c r="Y121" s="50"/>
      <c r="Z121" s="50"/>
      <c r="AA121" s="50"/>
      <c r="AB121" s="50"/>
    </row>
    <row r="122" customFormat="false" ht="15.75" hidden="false" customHeight="false" outlineLevel="0" collapsed="false">
      <c r="A122" s="71"/>
      <c r="B122" s="54"/>
      <c r="C122" s="55" t="s">
        <v>18</v>
      </c>
      <c r="D122" s="56"/>
      <c r="E122" s="72" t="n">
        <f aca="false">IFERROR(__xludf.dummyfunction("COUNTA(SPLIT(D122,"" ""))/COUNTA(SPLIT($B$47,"" ""))"),0.00242718446601942)</f>
        <v>0.002427184466</v>
      </c>
      <c r="F122" s="55"/>
      <c r="G122" s="55"/>
      <c r="H122" s="55"/>
      <c r="I122" s="55"/>
      <c r="J122" s="55"/>
      <c r="K122" s="58"/>
      <c r="L122" s="58"/>
      <c r="M122" s="58"/>
      <c r="N122" s="58"/>
      <c r="O122" s="58"/>
      <c r="P122" s="58"/>
      <c r="Q122" s="58"/>
      <c r="R122" s="58"/>
      <c r="S122" s="58"/>
      <c r="T122" s="58"/>
      <c r="U122" s="58"/>
      <c r="V122" s="58"/>
      <c r="W122" s="58"/>
      <c r="X122" s="58"/>
      <c r="Y122" s="58"/>
      <c r="Z122" s="58"/>
      <c r="AA122" s="58"/>
      <c r="AB122" s="58"/>
    </row>
    <row r="123" customFormat="false" ht="15.75" hidden="false" customHeight="false" outlineLevel="0" collapsed="false">
      <c r="A123" s="71"/>
      <c r="B123" s="71"/>
      <c r="C123" s="5" t="s">
        <v>19</v>
      </c>
      <c r="D123" s="48"/>
      <c r="E123" s="73" t="n">
        <f aca="false">IFERROR(__xludf.dummyfunction("COUNTA(SPLIT(D123,"" ""))/COUNTA(SPLIT($B$47,"" ""))"),0.00242718446601942)</f>
        <v>0.002427184466</v>
      </c>
      <c r="F123" s="5"/>
      <c r="G123" s="5"/>
      <c r="H123" s="5"/>
      <c r="I123" s="5"/>
      <c r="J123" s="5"/>
      <c r="K123" s="50"/>
      <c r="L123" s="50"/>
      <c r="M123" s="50"/>
      <c r="N123" s="50"/>
      <c r="O123" s="50"/>
      <c r="P123" s="50"/>
      <c r="Q123" s="50"/>
      <c r="R123" s="50"/>
      <c r="S123" s="50"/>
      <c r="T123" s="50"/>
      <c r="U123" s="50"/>
      <c r="V123" s="50"/>
      <c r="W123" s="50"/>
      <c r="X123" s="50"/>
      <c r="Y123" s="50"/>
      <c r="Z123" s="50"/>
      <c r="AA123" s="50"/>
      <c r="AB123" s="50"/>
    </row>
    <row r="124" customFormat="false" ht="15.75" hidden="false" customHeight="false" outlineLevel="0" collapsed="false">
      <c r="A124" s="71"/>
      <c r="B124" s="71"/>
      <c r="C124" s="5" t="s">
        <v>8</v>
      </c>
      <c r="D124" s="48"/>
      <c r="E124" s="74" t="n">
        <f aca="false">IFERROR(__xludf.dummyfunction("COUNTA(SPLIT(D124,"" ""))/COUNTA(SPLIT($B$47,"" ""))"),0.00242718446601942)</f>
        <v>0.002427184466</v>
      </c>
      <c r="F124" s="5"/>
      <c r="G124" s="5"/>
      <c r="H124" s="5"/>
      <c r="I124" s="5"/>
      <c r="J124" s="5"/>
      <c r="K124" s="50"/>
      <c r="L124" s="50"/>
      <c r="M124" s="50"/>
      <c r="N124" s="50"/>
      <c r="O124" s="50"/>
      <c r="P124" s="50"/>
      <c r="Q124" s="50"/>
      <c r="R124" s="50"/>
      <c r="S124" s="50"/>
      <c r="T124" s="50"/>
      <c r="U124" s="50"/>
      <c r="V124" s="50"/>
      <c r="W124" s="50"/>
      <c r="X124" s="50"/>
      <c r="Y124" s="50"/>
      <c r="Z124" s="50"/>
      <c r="AA124" s="50"/>
      <c r="AB124" s="50"/>
    </row>
    <row r="125" customFormat="false" ht="15.75" hidden="false" customHeight="false" outlineLevel="0" collapsed="false">
      <c r="A125" s="71"/>
      <c r="B125" s="71"/>
      <c r="C125" s="5" t="s">
        <v>20</v>
      </c>
      <c r="D125" s="48"/>
      <c r="E125" s="75" t="n">
        <f aca="false">IFERROR(__xludf.dummyfunction("COUNTA(SPLIT(D125,"" ""))/COUNTA(SPLIT($B$47,"" ""))"),0.00242718446601942)</f>
        <v>0.002427184466</v>
      </c>
      <c r="F125" s="5"/>
      <c r="G125" s="5"/>
      <c r="H125" s="5"/>
      <c r="I125" s="5"/>
      <c r="J125" s="5"/>
      <c r="K125" s="50"/>
      <c r="L125" s="50"/>
      <c r="M125" s="50"/>
      <c r="N125" s="50"/>
      <c r="O125" s="50"/>
      <c r="P125" s="50"/>
      <c r="Q125" s="50"/>
      <c r="R125" s="50"/>
      <c r="S125" s="50"/>
      <c r="T125" s="50"/>
      <c r="U125" s="50"/>
      <c r="V125" s="50"/>
      <c r="W125" s="50"/>
      <c r="X125" s="50"/>
      <c r="Y125" s="50"/>
      <c r="Z125" s="50"/>
      <c r="AA125" s="50"/>
      <c r="AB125" s="50"/>
    </row>
    <row r="126" customFormat="false" ht="15.75" hidden="false" customHeight="false" outlineLevel="0" collapsed="false">
      <c r="A126" s="50"/>
      <c r="B126" s="50"/>
      <c r="C126" s="5"/>
      <c r="D126" s="48"/>
      <c r="E126" s="50"/>
      <c r="F126" s="5"/>
      <c r="G126" s="5"/>
      <c r="H126" s="5"/>
      <c r="I126" s="5"/>
      <c r="J126" s="5"/>
      <c r="K126" s="50"/>
      <c r="L126" s="50"/>
      <c r="M126" s="50"/>
      <c r="N126" s="50"/>
      <c r="O126" s="50"/>
      <c r="P126" s="50"/>
      <c r="Q126" s="50"/>
      <c r="R126" s="50"/>
      <c r="S126" s="50"/>
      <c r="T126" s="50"/>
      <c r="U126" s="50"/>
      <c r="V126" s="50"/>
      <c r="W126" s="50"/>
      <c r="X126" s="50"/>
      <c r="Y126" s="50"/>
      <c r="Z126" s="50"/>
      <c r="AA126" s="50"/>
      <c r="AB126" s="50"/>
    </row>
    <row r="127" customFormat="false" ht="15.75" hidden="false" customHeight="false" outlineLevel="0" collapsed="false">
      <c r="A127" s="71"/>
      <c r="B127" s="54"/>
      <c r="C127" s="55" t="s">
        <v>18</v>
      </c>
      <c r="D127" s="56"/>
      <c r="E127" s="72" t="n">
        <f aca="false">IFERROR(__xludf.dummyfunction("COUNTA(SPLIT(D127,"" ""))/COUNTA(SPLIT($B$47,"" ""))"),0.00242718446601942)</f>
        <v>0.002427184466</v>
      </c>
      <c r="F127" s="55"/>
      <c r="G127" s="55"/>
      <c r="H127" s="55"/>
      <c r="I127" s="55"/>
      <c r="J127" s="55"/>
      <c r="K127" s="58"/>
      <c r="L127" s="58"/>
      <c r="M127" s="58"/>
      <c r="N127" s="58"/>
      <c r="O127" s="58"/>
      <c r="P127" s="58"/>
      <c r="Q127" s="58"/>
      <c r="R127" s="58"/>
      <c r="S127" s="58"/>
      <c r="T127" s="58"/>
      <c r="U127" s="58"/>
      <c r="V127" s="58"/>
      <c r="W127" s="58"/>
      <c r="X127" s="58"/>
      <c r="Y127" s="58"/>
      <c r="Z127" s="58"/>
      <c r="AA127" s="58"/>
      <c r="AB127" s="58"/>
    </row>
    <row r="128" customFormat="false" ht="15.75" hidden="false" customHeight="false" outlineLevel="0" collapsed="false">
      <c r="A128" s="71"/>
      <c r="B128" s="71"/>
      <c r="C128" s="5" t="s">
        <v>19</v>
      </c>
      <c r="D128" s="48"/>
      <c r="E128" s="73" t="n">
        <f aca="false">IFERROR(__xludf.dummyfunction("COUNTA(SPLIT(D128,"" ""))/COUNTA(SPLIT($B$47,"" ""))"),0.00242718446601942)</f>
        <v>0.002427184466</v>
      </c>
      <c r="F128" s="5"/>
      <c r="G128" s="5"/>
      <c r="H128" s="5"/>
      <c r="I128" s="5"/>
      <c r="J128" s="5"/>
      <c r="K128" s="50"/>
      <c r="L128" s="50"/>
      <c r="M128" s="50"/>
      <c r="N128" s="50"/>
      <c r="O128" s="50"/>
      <c r="P128" s="50"/>
      <c r="Q128" s="50"/>
      <c r="R128" s="50"/>
      <c r="S128" s="50"/>
      <c r="T128" s="50"/>
      <c r="U128" s="50"/>
      <c r="V128" s="50"/>
      <c r="W128" s="50"/>
      <c r="X128" s="50"/>
      <c r="Y128" s="50"/>
      <c r="Z128" s="50"/>
      <c r="AA128" s="50"/>
      <c r="AB128" s="50"/>
    </row>
    <row r="129" customFormat="false" ht="15.75" hidden="false" customHeight="false" outlineLevel="0" collapsed="false">
      <c r="A129" s="71"/>
      <c r="B129" s="71"/>
      <c r="C129" s="5" t="s">
        <v>8</v>
      </c>
      <c r="D129" s="48"/>
      <c r="E129" s="74" t="n">
        <f aca="false">IFERROR(__xludf.dummyfunction("COUNTA(SPLIT(D129,"" ""))/COUNTA(SPLIT($B$47,"" ""))"),0.00242718446601942)</f>
        <v>0.002427184466</v>
      </c>
      <c r="F129" s="5"/>
      <c r="G129" s="5"/>
      <c r="H129" s="5"/>
      <c r="I129" s="5"/>
      <c r="J129" s="5"/>
      <c r="K129" s="50"/>
      <c r="L129" s="50"/>
      <c r="M129" s="50"/>
      <c r="N129" s="50"/>
      <c r="O129" s="50"/>
      <c r="P129" s="50"/>
      <c r="Q129" s="50"/>
      <c r="R129" s="50"/>
      <c r="S129" s="50"/>
      <c r="T129" s="50"/>
      <c r="U129" s="50"/>
      <c r="V129" s="50"/>
      <c r="W129" s="50"/>
      <c r="X129" s="50"/>
      <c r="Y129" s="50"/>
      <c r="Z129" s="50"/>
      <c r="AA129" s="50"/>
      <c r="AB129" s="50"/>
    </row>
    <row r="130" customFormat="false" ht="15.75" hidden="false" customHeight="false" outlineLevel="0" collapsed="false">
      <c r="A130" s="71"/>
      <c r="B130" s="71"/>
      <c r="C130" s="5" t="s">
        <v>20</v>
      </c>
      <c r="D130" s="48"/>
      <c r="E130" s="75" t="n">
        <f aca="false">IFERROR(__xludf.dummyfunction("COUNTA(SPLIT(D130,"" ""))/COUNTA(SPLIT($B$47,"" ""))"),0.00242718446601942)</f>
        <v>0.002427184466</v>
      </c>
      <c r="F130" s="5"/>
      <c r="G130" s="5"/>
      <c r="H130" s="5"/>
      <c r="I130" s="5"/>
      <c r="J130" s="5"/>
      <c r="K130" s="50"/>
      <c r="L130" s="50"/>
      <c r="M130" s="50"/>
      <c r="N130" s="50"/>
      <c r="O130" s="50"/>
      <c r="P130" s="50"/>
      <c r="Q130" s="50"/>
      <c r="R130" s="50"/>
      <c r="S130" s="50"/>
      <c r="T130" s="50"/>
      <c r="U130" s="50"/>
      <c r="V130" s="50"/>
      <c r="W130" s="50"/>
      <c r="X130" s="50"/>
      <c r="Y130" s="50"/>
      <c r="Z130" s="50"/>
      <c r="AA130" s="50"/>
      <c r="AB130" s="50"/>
    </row>
    <row r="131" customFormat="false" ht="15.75" hidden="false" customHeight="false" outlineLevel="0" collapsed="false">
      <c r="A131" s="50"/>
      <c r="B131" s="50"/>
      <c r="C131" s="5"/>
      <c r="D131" s="48"/>
      <c r="E131" s="50"/>
      <c r="F131" s="5"/>
      <c r="G131" s="5"/>
      <c r="H131" s="5"/>
      <c r="I131" s="5"/>
      <c r="J131" s="5"/>
      <c r="K131" s="50"/>
      <c r="L131" s="50"/>
      <c r="M131" s="50"/>
      <c r="N131" s="50"/>
      <c r="O131" s="50"/>
      <c r="P131" s="50"/>
      <c r="Q131" s="50"/>
      <c r="R131" s="50"/>
      <c r="S131" s="50"/>
      <c r="T131" s="50"/>
      <c r="U131" s="50"/>
      <c r="V131" s="50"/>
      <c r="W131" s="50"/>
      <c r="X131" s="50"/>
      <c r="Y131" s="50"/>
      <c r="Z131" s="50"/>
      <c r="AA131" s="50"/>
      <c r="AB131" s="50"/>
    </row>
    <row r="132" customFormat="false" ht="15.75" hidden="false" customHeight="false" outlineLevel="0" collapsed="false">
      <c r="A132" s="71"/>
      <c r="B132" s="54"/>
      <c r="C132" s="55" t="s">
        <v>18</v>
      </c>
      <c r="D132" s="56"/>
      <c r="E132" s="72" t="n">
        <f aca="false">IFERROR(__xludf.dummyfunction("COUNTA(SPLIT(D132,"" ""))/COUNTA(SPLIT($B$47,"" ""))"),0.00242718446601942)</f>
        <v>0.002427184466</v>
      </c>
      <c r="F132" s="55"/>
      <c r="G132" s="55"/>
      <c r="H132" s="55"/>
      <c r="I132" s="55"/>
      <c r="J132" s="55"/>
      <c r="K132" s="58"/>
      <c r="L132" s="58"/>
      <c r="M132" s="58"/>
      <c r="N132" s="58"/>
      <c r="O132" s="58"/>
      <c r="P132" s="58"/>
      <c r="Q132" s="58"/>
      <c r="R132" s="58"/>
      <c r="S132" s="58"/>
      <c r="T132" s="58"/>
      <c r="U132" s="58"/>
      <c r="V132" s="58"/>
      <c r="W132" s="58"/>
      <c r="X132" s="58"/>
      <c r="Y132" s="58"/>
      <c r="Z132" s="58"/>
      <c r="AA132" s="58"/>
      <c r="AB132" s="58"/>
    </row>
    <row r="133" customFormat="false" ht="15.75" hidden="false" customHeight="false" outlineLevel="0" collapsed="false">
      <c r="A133" s="71"/>
      <c r="B133" s="71"/>
      <c r="C133" s="5" t="s">
        <v>19</v>
      </c>
      <c r="D133" s="48"/>
      <c r="E133" s="73" t="n">
        <f aca="false">IFERROR(__xludf.dummyfunction("COUNTA(SPLIT(D133,"" ""))/COUNTA(SPLIT($B$47,"" ""))"),0.00242718446601942)</f>
        <v>0.002427184466</v>
      </c>
      <c r="F133" s="5"/>
      <c r="G133" s="5"/>
      <c r="H133" s="5"/>
      <c r="I133" s="5"/>
      <c r="J133" s="5"/>
      <c r="K133" s="50"/>
      <c r="L133" s="50"/>
      <c r="M133" s="50"/>
      <c r="N133" s="50"/>
      <c r="O133" s="50"/>
      <c r="P133" s="50"/>
      <c r="Q133" s="50"/>
      <c r="R133" s="50"/>
      <c r="S133" s="50"/>
      <c r="T133" s="50"/>
      <c r="U133" s="50"/>
      <c r="V133" s="50"/>
      <c r="W133" s="50"/>
      <c r="X133" s="50"/>
      <c r="Y133" s="50"/>
      <c r="Z133" s="50"/>
      <c r="AA133" s="50"/>
      <c r="AB133" s="50"/>
    </row>
    <row r="134" customFormat="false" ht="15.75" hidden="false" customHeight="false" outlineLevel="0" collapsed="false">
      <c r="A134" s="71"/>
      <c r="B134" s="71"/>
      <c r="C134" s="5" t="s">
        <v>8</v>
      </c>
      <c r="D134" s="48"/>
      <c r="E134" s="74" t="n">
        <f aca="false">IFERROR(__xludf.dummyfunction("COUNTA(SPLIT(D134,"" ""))/COUNTA(SPLIT($B$47,"" ""))"),0.00242718446601942)</f>
        <v>0.002427184466</v>
      </c>
      <c r="F134" s="5"/>
      <c r="G134" s="5"/>
      <c r="H134" s="5"/>
      <c r="I134" s="5"/>
      <c r="J134" s="5"/>
      <c r="K134" s="50"/>
      <c r="L134" s="50"/>
      <c r="M134" s="50"/>
      <c r="N134" s="50"/>
      <c r="O134" s="50"/>
      <c r="P134" s="50"/>
      <c r="Q134" s="50"/>
      <c r="R134" s="50"/>
      <c r="S134" s="50"/>
      <c r="T134" s="50"/>
      <c r="U134" s="50"/>
      <c r="V134" s="50"/>
      <c r="W134" s="50"/>
      <c r="X134" s="50"/>
      <c r="Y134" s="50"/>
      <c r="Z134" s="50"/>
      <c r="AA134" s="50"/>
      <c r="AB134" s="50"/>
    </row>
    <row r="135" customFormat="false" ht="15.75" hidden="false" customHeight="false" outlineLevel="0" collapsed="false">
      <c r="A135" s="71"/>
      <c r="B135" s="71"/>
      <c r="C135" s="5" t="s">
        <v>20</v>
      </c>
      <c r="D135" s="48"/>
      <c r="E135" s="75" t="n">
        <f aca="false">IFERROR(__xludf.dummyfunction("COUNTA(SPLIT(D135,"" ""))/COUNTA(SPLIT($B$47,"" ""))"),0.00242718446601942)</f>
        <v>0.002427184466</v>
      </c>
      <c r="F135" s="5"/>
      <c r="G135" s="5"/>
      <c r="H135" s="5"/>
      <c r="I135" s="5"/>
      <c r="J135" s="5"/>
      <c r="K135" s="50"/>
      <c r="L135" s="50"/>
      <c r="M135" s="50"/>
      <c r="N135" s="50"/>
      <c r="O135" s="50"/>
      <c r="P135" s="50"/>
      <c r="Q135" s="50"/>
      <c r="R135" s="50"/>
      <c r="S135" s="50"/>
      <c r="T135" s="50"/>
      <c r="U135" s="50"/>
      <c r="V135" s="50"/>
      <c r="W135" s="50"/>
      <c r="X135" s="50"/>
      <c r="Y135" s="50"/>
      <c r="Z135" s="50"/>
      <c r="AA135" s="50"/>
      <c r="AB135" s="50"/>
    </row>
    <row r="136" customFormat="false" ht="15.75" hidden="false" customHeight="false" outlineLevel="0" collapsed="false">
      <c r="A136" s="50"/>
      <c r="B136" s="50"/>
      <c r="C136" s="5"/>
      <c r="D136" s="48"/>
      <c r="E136" s="50"/>
      <c r="F136" s="5"/>
      <c r="G136" s="5"/>
      <c r="H136" s="5"/>
      <c r="I136" s="5"/>
      <c r="J136" s="5"/>
      <c r="K136" s="50"/>
      <c r="L136" s="50"/>
      <c r="M136" s="50"/>
      <c r="N136" s="50"/>
      <c r="O136" s="50"/>
      <c r="P136" s="50"/>
      <c r="Q136" s="50"/>
      <c r="R136" s="50"/>
      <c r="S136" s="50"/>
      <c r="T136" s="50"/>
      <c r="U136" s="50"/>
      <c r="V136" s="50"/>
      <c r="W136" s="50"/>
      <c r="X136" s="50"/>
      <c r="Y136" s="50"/>
      <c r="Z136" s="50"/>
      <c r="AA136" s="50"/>
      <c r="AB136" s="50"/>
    </row>
    <row r="137" customFormat="false" ht="15.75" hidden="false" customHeight="false" outlineLevel="0" collapsed="false">
      <c r="A137" s="71"/>
      <c r="B137" s="54"/>
      <c r="C137" s="55" t="s">
        <v>18</v>
      </c>
      <c r="D137" s="56"/>
      <c r="E137" s="72" t="n">
        <f aca="false">IFERROR(__xludf.dummyfunction("COUNTA(SPLIT(D137,"" ""))/COUNTA(SPLIT($B$47,"" ""))"),0.00242718446601942)</f>
        <v>0.002427184466</v>
      </c>
      <c r="F137" s="55"/>
      <c r="G137" s="55"/>
      <c r="H137" s="55"/>
      <c r="I137" s="55"/>
      <c r="J137" s="55"/>
      <c r="K137" s="58"/>
      <c r="L137" s="58"/>
      <c r="M137" s="58"/>
      <c r="N137" s="58"/>
      <c r="O137" s="58"/>
      <c r="P137" s="58"/>
      <c r="Q137" s="58"/>
      <c r="R137" s="58"/>
      <c r="S137" s="58"/>
      <c r="T137" s="58"/>
      <c r="U137" s="58"/>
      <c r="V137" s="58"/>
      <c r="W137" s="58"/>
      <c r="X137" s="58"/>
      <c r="Y137" s="58"/>
      <c r="Z137" s="58"/>
      <c r="AA137" s="58"/>
      <c r="AB137" s="58"/>
    </row>
    <row r="138" customFormat="false" ht="15.75" hidden="false" customHeight="false" outlineLevel="0" collapsed="false">
      <c r="A138" s="71"/>
      <c r="B138" s="71"/>
      <c r="C138" s="5" t="s">
        <v>19</v>
      </c>
      <c r="D138" s="48"/>
      <c r="E138" s="73" t="n">
        <f aca="false">IFERROR(__xludf.dummyfunction("COUNTA(SPLIT(D138,"" ""))/COUNTA(SPLIT($B$47,"" ""))"),0.00242718446601942)</f>
        <v>0.002427184466</v>
      </c>
      <c r="F138" s="5"/>
      <c r="G138" s="5"/>
      <c r="H138" s="5"/>
      <c r="I138" s="5"/>
      <c r="J138" s="5"/>
      <c r="K138" s="50"/>
      <c r="L138" s="50"/>
      <c r="M138" s="50"/>
      <c r="N138" s="50"/>
      <c r="O138" s="50"/>
      <c r="P138" s="50"/>
      <c r="Q138" s="50"/>
      <c r="R138" s="50"/>
      <c r="S138" s="50"/>
      <c r="T138" s="50"/>
      <c r="U138" s="50"/>
      <c r="V138" s="50"/>
      <c r="W138" s="50"/>
      <c r="X138" s="50"/>
      <c r="Y138" s="50"/>
      <c r="Z138" s="50"/>
      <c r="AA138" s="50"/>
      <c r="AB138" s="50"/>
    </row>
    <row r="139" customFormat="false" ht="15.75" hidden="false" customHeight="false" outlineLevel="0" collapsed="false">
      <c r="A139" s="71"/>
      <c r="B139" s="71"/>
      <c r="C139" s="5" t="s">
        <v>8</v>
      </c>
      <c r="D139" s="48"/>
      <c r="E139" s="74" t="n">
        <f aca="false">IFERROR(__xludf.dummyfunction("COUNTA(SPLIT(D139,"" ""))/COUNTA(SPLIT($B$47,"" ""))"),0.00242718446601942)</f>
        <v>0.002427184466</v>
      </c>
      <c r="F139" s="5"/>
      <c r="G139" s="5"/>
      <c r="H139" s="5"/>
      <c r="I139" s="5"/>
      <c r="J139" s="5"/>
      <c r="K139" s="50"/>
      <c r="L139" s="50"/>
      <c r="M139" s="50"/>
      <c r="N139" s="50"/>
      <c r="O139" s="50"/>
      <c r="P139" s="50"/>
      <c r="Q139" s="50"/>
      <c r="R139" s="50"/>
      <c r="S139" s="50"/>
      <c r="T139" s="50"/>
      <c r="U139" s="50"/>
      <c r="V139" s="50"/>
      <c r="W139" s="50"/>
      <c r="X139" s="50"/>
      <c r="Y139" s="50"/>
      <c r="Z139" s="50"/>
      <c r="AA139" s="50"/>
      <c r="AB139" s="50"/>
    </row>
    <row r="140" customFormat="false" ht="15.75" hidden="false" customHeight="false" outlineLevel="0" collapsed="false">
      <c r="A140" s="71"/>
      <c r="B140" s="71"/>
      <c r="C140" s="5" t="s">
        <v>20</v>
      </c>
      <c r="D140" s="48"/>
      <c r="E140" s="75" t="n">
        <f aca="false">IFERROR(__xludf.dummyfunction("COUNTA(SPLIT(D140,"" ""))/COUNTA(SPLIT($B$47,"" ""))"),0.00242718446601942)</f>
        <v>0.002427184466</v>
      </c>
      <c r="F140" s="5"/>
      <c r="G140" s="5"/>
      <c r="H140" s="5"/>
      <c r="I140" s="5"/>
      <c r="J140" s="5"/>
      <c r="K140" s="50"/>
      <c r="L140" s="50"/>
      <c r="M140" s="50"/>
      <c r="N140" s="50"/>
      <c r="O140" s="50"/>
      <c r="P140" s="50"/>
      <c r="Q140" s="50"/>
      <c r="R140" s="50"/>
      <c r="S140" s="50"/>
      <c r="T140" s="50"/>
      <c r="U140" s="50"/>
      <c r="V140" s="50"/>
      <c r="W140" s="50"/>
      <c r="X140" s="50"/>
      <c r="Y140" s="50"/>
      <c r="Z140" s="50"/>
      <c r="AA140" s="50"/>
      <c r="AB140" s="50"/>
    </row>
    <row r="141" customFormat="false" ht="15.75" hidden="false" customHeight="false" outlineLevel="0" collapsed="false">
      <c r="A141" s="50"/>
      <c r="B141" s="50"/>
      <c r="C141" s="5"/>
      <c r="D141" s="48"/>
      <c r="E141" s="50"/>
      <c r="F141" s="5"/>
      <c r="G141" s="5"/>
      <c r="H141" s="5"/>
      <c r="I141" s="5"/>
      <c r="J141" s="5"/>
      <c r="K141" s="50"/>
      <c r="L141" s="50"/>
      <c r="M141" s="50"/>
      <c r="N141" s="50"/>
      <c r="O141" s="50"/>
      <c r="P141" s="50"/>
      <c r="Q141" s="50"/>
      <c r="R141" s="50"/>
      <c r="S141" s="50"/>
      <c r="T141" s="50"/>
      <c r="U141" s="50"/>
      <c r="V141" s="50"/>
      <c r="W141" s="50"/>
      <c r="X141" s="50"/>
      <c r="Y141" s="50"/>
      <c r="Z141" s="50"/>
      <c r="AA141" s="50"/>
      <c r="AB141" s="50"/>
    </row>
    <row r="142" customFormat="false" ht="15.75" hidden="false" customHeight="false" outlineLevel="0" collapsed="false">
      <c r="A142" s="71"/>
      <c r="B142" s="54"/>
      <c r="C142" s="55" t="s">
        <v>18</v>
      </c>
      <c r="D142" s="56"/>
      <c r="E142" s="72" t="n">
        <f aca="false">IFERROR(__xludf.dummyfunction("COUNTA(SPLIT(D142,"" ""))/COUNTA(SPLIT($B$47,"" ""))"),0.00242718446601942)</f>
        <v>0.002427184466</v>
      </c>
      <c r="F142" s="55"/>
      <c r="G142" s="55"/>
      <c r="H142" s="55"/>
      <c r="I142" s="55"/>
      <c r="J142" s="55"/>
      <c r="K142" s="58"/>
      <c r="L142" s="58"/>
      <c r="M142" s="58"/>
      <c r="N142" s="58"/>
      <c r="O142" s="58"/>
      <c r="P142" s="58"/>
      <c r="Q142" s="58"/>
      <c r="R142" s="58"/>
      <c r="S142" s="58"/>
      <c r="T142" s="58"/>
      <c r="U142" s="58"/>
      <c r="V142" s="58"/>
      <c r="W142" s="58"/>
      <c r="X142" s="58"/>
      <c r="Y142" s="58"/>
      <c r="Z142" s="58"/>
      <c r="AA142" s="58"/>
      <c r="AB142" s="58"/>
    </row>
    <row r="143" customFormat="false" ht="15.75" hidden="false" customHeight="false" outlineLevel="0" collapsed="false">
      <c r="A143" s="71"/>
      <c r="B143" s="71"/>
      <c r="C143" s="5" t="s">
        <v>19</v>
      </c>
      <c r="D143" s="48"/>
      <c r="E143" s="73" t="n">
        <f aca="false">IFERROR(__xludf.dummyfunction("COUNTA(SPLIT(D143,"" ""))/COUNTA(SPLIT($B$47,"" ""))"),0.00242718446601942)</f>
        <v>0.002427184466</v>
      </c>
      <c r="F143" s="5"/>
      <c r="G143" s="5"/>
      <c r="H143" s="5"/>
      <c r="I143" s="5"/>
      <c r="J143" s="5"/>
      <c r="K143" s="50"/>
      <c r="L143" s="50"/>
      <c r="M143" s="50"/>
      <c r="N143" s="50"/>
      <c r="O143" s="50"/>
      <c r="P143" s="50"/>
      <c r="Q143" s="50"/>
      <c r="R143" s="50"/>
      <c r="S143" s="50"/>
      <c r="T143" s="50"/>
      <c r="U143" s="50"/>
      <c r="V143" s="50"/>
      <c r="W143" s="50"/>
      <c r="X143" s="50"/>
      <c r="Y143" s="50"/>
      <c r="Z143" s="50"/>
      <c r="AA143" s="50"/>
      <c r="AB143" s="50"/>
    </row>
    <row r="144" customFormat="false" ht="15.75" hidden="false" customHeight="false" outlineLevel="0" collapsed="false">
      <c r="A144" s="71"/>
      <c r="B144" s="71"/>
      <c r="C144" s="5" t="s">
        <v>8</v>
      </c>
      <c r="D144" s="48"/>
      <c r="E144" s="74" t="n">
        <f aca="false">IFERROR(__xludf.dummyfunction("COUNTA(SPLIT(D144,"" ""))/COUNTA(SPLIT($B$47,"" ""))"),0.00242718446601942)</f>
        <v>0.002427184466</v>
      </c>
      <c r="F144" s="5"/>
      <c r="G144" s="5"/>
      <c r="H144" s="5"/>
      <c r="I144" s="5"/>
      <c r="J144" s="5"/>
      <c r="K144" s="50"/>
      <c r="L144" s="50"/>
      <c r="M144" s="50"/>
      <c r="N144" s="50"/>
      <c r="O144" s="50"/>
      <c r="P144" s="50"/>
      <c r="Q144" s="50"/>
      <c r="R144" s="50"/>
      <c r="S144" s="50"/>
      <c r="T144" s="50"/>
      <c r="U144" s="50"/>
      <c r="V144" s="50"/>
      <c r="W144" s="50"/>
      <c r="X144" s="50"/>
      <c r="Y144" s="50"/>
      <c r="Z144" s="50"/>
      <c r="AA144" s="50"/>
      <c r="AB144" s="50"/>
    </row>
    <row r="145" customFormat="false" ht="15.75" hidden="false" customHeight="false" outlineLevel="0" collapsed="false">
      <c r="A145" s="71"/>
      <c r="B145" s="71"/>
      <c r="C145" s="5" t="s">
        <v>20</v>
      </c>
      <c r="D145" s="48"/>
      <c r="E145" s="75" t="n">
        <f aca="false">IFERROR(__xludf.dummyfunction("COUNTA(SPLIT(D145,"" ""))/COUNTA(SPLIT($B$47,"" ""))"),0.00242718446601942)</f>
        <v>0.002427184466</v>
      </c>
      <c r="F145" s="5"/>
      <c r="G145" s="5"/>
      <c r="H145" s="5"/>
      <c r="I145" s="5"/>
      <c r="J145" s="5"/>
      <c r="K145" s="50"/>
      <c r="L145" s="50"/>
      <c r="M145" s="50"/>
      <c r="N145" s="50"/>
      <c r="O145" s="50"/>
      <c r="P145" s="50"/>
      <c r="Q145" s="50"/>
      <c r="R145" s="50"/>
      <c r="S145" s="50"/>
      <c r="T145" s="50"/>
      <c r="U145" s="50"/>
      <c r="V145" s="50"/>
      <c r="W145" s="50"/>
      <c r="X145" s="50"/>
      <c r="Y145" s="50"/>
      <c r="Z145" s="50"/>
      <c r="AA145" s="50"/>
      <c r="AB145" s="50"/>
    </row>
    <row r="146" customFormat="false" ht="15.75" hidden="false" customHeight="false" outlineLevel="0" collapsed="false">
      <c r="A146" s="50"/>
      <c r="B146" s="50"/>
      <c r="C146" s="5"/>
      <c r="D146" s="48"/>
      <c r="E146" s="50"/>
      <c r="F146" s="5"/>
      <c r="G146" s="5"/>
      <c r="H146" s="5"/>
      <c r="I146" s="5"/>
      <c r="J146" s="5"/>
      <c r="K146" s="50"/>
      <c r="L146" s="50"/>
      <c r="M146" s="50"/>
      <c r="N146" s="50"/>
      <c r="O146" s="50"/>
      <c r="P146" s="50"/>
      <c r="Q146" s="50"/>
      <c r="R146" s="50"/>
      <c r="S146" s="50"/>
      <c r="T146" s="50"/>
      <c r="U146" s="50"/>
      <c r="V146" s="50"/>
      <c r="W146" s="50"/>
      <c r="X146" s="50"/>
      <c r="Y146" s="50"/>
      <c r="Z146" s="50"/>
      <c r="AA146" s="50"/>
      <c r="AB146" s="50"/>
    </row>
    <row r="147" customFormat="false" ht="15.75" hidden="false" customHeight="false" outlineLevel="0" collapsed="false">
      <c r="A147" s="71"/>
      <c r="B147" s="54"/>
      <c r="C147" s="55" t="s">
        <v>18</v>
      </c>
      <c r="D147" s="56"/>
      <c r="E147" s="72" t="n">
        <f aca="false">IFERROR(__xludf.dummyfunction("COUNTA(SPLIT(D147,"" ""))/COUNTA(SPLIT($B$47,"" ""))"),0.00242718446601942)</f>
        <v>0.002427184466</v>
      </c>
      <c r="F147" s="55"/>
      <c r="G147" s="55"/>
      <c r="H147" s="55"/>
      <c r="I147" s="55"/>
      <c r="J147" s="55"/>
      <c r="K147" s="58"/>
      <c r="L147" s="58"/>
      <c r="M147" s="58"/>
      <c r="N147" s="58"/>
      <c r="O147" s="58"/>
      <c r="P147" s="58"/>
      <c r="Q147" s="58"/>
      <c r="R147" s="58"/>
      <c r="S147" s="58"/>
      <c r="T147" s="58"/>
      <c r="U147" s="58"/>
      <c r="V147" s="58"/>
      <c r="W147" s="58"/>
      <c r="X147" s="58"/>
      <c r="Y147" s="58"/>
      <c r="Z147" s="58"/>
      <c r="AA147" s="58"/>
      <c r="AB147" s="58"/>
    </row>
    <row r="148" customFormat="false" ht="15.75" hidden="false" customHeight="false" outlineLevel="0" collapsed="false">
      <c r="A148" s="71"/>
      <c r="B148" s="71"/>
      <c r="C148" s="5" t="s">
        <v>19</v>
      </c>
      <c r="D148" s="48"/>
      <c r="E148" s="73" t="n">
        <f aca="false">IFERROR(__xludf.dummyfunction("COUNTA(SPLIT(D148,"" ""))/COUNTA(SPLIT($B$47,"" ""))"),0.00242718446601942)</f>
        <v>0.002427184466</v>
      </c>
      <c r="F148" s="5"/>
      <c r="G148" s="5"/>
      <c r="H148" s="5"/>
      <c r="I148" s="5"/>
      <c r="J148" s="5"/>
      <c r="K148" s="50"/>
      <c r="L148" s="50"/>
      <c r="M148" s="50"/>
      <c r="N148" s="50"/>
      <c r="O148" s="50"/>
      <c r="P148" s="50"/>
      <c r="Q148" s="50"/>
      <c r="R148" s="50"/>
      <c r="S148" s="50"/>
      <c r="T148" s="50"/>
      <c r="U148" s="50"/>
      <c r="V148" s="50"/>
      <c r="W148" s="50"/>
      <c r="X148" s="50"/>
      <c r="Y148" s="50"/>
      <c r="Z148" s="50"/>
      <c r="AA148" s="50"/>
      <c r="AB148" s="50"/>
    </row>
    <row r="149" customFormat="false" ht="15.75" hidden="false" customHeight="false" outlineLevel="0" collapsed="false">
      <c r="A149" s="71"/>
      <c r="B149" s="71"/>
      <c r="C149" s="5" t="s">
        <v>8</v>
      </c>
      <c r="D149" s="48"/>
      <c r="E149" s="74" t="n">
        <f aca="false">IFERROR(__xludf.dummyfunction("COUNTA(SPLIT(D149,"" ""))/COUNTA(SPLIT($B$47,"" ""))"),0.00242718446601942)</f>
        <v>0.002427184466</v>
      </c>
      <c r="F149" s="5"/>
      <c r="G149" s="5"/>
      <c r="H149" s="5"/>
      <c r="I149" s="5"/>
      <c r="J149" s="5"/>
      <c r="K149" s="50"/>
      <c r="L149" s="50"/>
      <c r="M149" s="50"/>
      <c r="N149" s="50"/>
      <c r="O149" s="50"/>
      <c r="P149" s="50"/>
      <c r="Q149" s="50"/>
      <c r="R149" s="50"/>
      <c r="S149" s="50"/>
      <c r="T149" s="50"/>
      <c r="U149" s="50"/>
      <c r="V149" s="50"/>
      <c r="W149" s="50"/>
      <c r="X149" s="50"/>
      <c r="Y149" s="50"/>
      <c r="Z149" s="50"/>
      <c r="AA149" s="50"/>
      <c r="AB149" s="50"/>
    </row>
    <row r="150" customFormat="false" ht="15.75" hidden="false" customHeight="false" outlineLevel="0" collapsed="false">
      <c r="A150" s="71"/>
      <c r="B150" s="71"/>
      <c r="C150" s="5" t="s">
        <v>20</v>
      </c>
      <c r="D150" s="48"/>
      <c r="E150" s="75" t="n">
        <f aca="false">IFERROR(__xludf.dummyfunction("COUNTA(SPLIT(D150,"" ""))/COUNTA(SPLIT($B$47,"" ""))"),0.00242718446601942)</f>
        <v>0.002427184466</v>
      </c>
      <c r="F150" s="5"/>
      <c r="G150" s="5"/>
      <c r="H150" s="5"/>
      <c r="I150" s="5"/>
      <c r="J150" s="5"/>
      <c r="K150" s="50"/>
      <c r="L150" s="50"/>
      <c r="M150" s="50"/>
      <c r="N150" s="50"/>
      <c r="O150" s="50"/>
      <c r="P150" s="50"/>
      <c r="Q150" s="50"/>
      <c r="R150" s="50"/>
      <c r="S150" s="50"/>
      <c r="T150" s="50"/>
      <c r="U150" s="50"/>
      <c r="V150" s="50"/>
      <c r="W150" s="50"/>
      <c r="X150" s="50"/>
      <c r="Y150" s="50"/>
      <c r="Z150" s="50"/>
      <c r="AA150" s="50"/>
      <c r="AB150" s="50"/>
    </row>
    <row r="151" customFormat="false" ht="15.75" hidden="false" customHeight="false" outlineLevel="0" collapsed="false">
      <c r="A151" s="50"/>
      <c r="B151" s="50"/>
      <c r="C151" s="5"/>
      <c r="D151" s="48"/>
      <c r="E151" s="50"/>
      <c r="F151" s="5"/>
      <c r="G151" s="5"/>
      <c r="H151" s="5"/>
      <c r="I151" s="5"/>
      <c r="J151" s="5"/>
      <c r="K151" s="50"/>
      <c r="L151" s="50"/>
      <c r="M151" s="50"/>
      <c r="N151" s="50"/>
      <c r="O151" s="50"/>
      <c r="P151" s="50"/>
      <c r="Q151" s="50"/>
      <c r="R151" s="50"/>
      <c r="S151" s="50"/>
      <c r="T151" s="50"/>
      <c r="U151" s="50"/>
      <c r="V151" s="50"/>
      <c r="W151" s="50"/>
      <c r="X151" s="50"/>
      <c r="Y151" s="50"/>
      <c r="Z151" s="50"/>
      <c r="AA151" s="50"/>
      <c r="AB151" s="50"/>
    </row>
    <row r="152" customFormat="false" ht="15.75" hidden="false" customHeight="false" outlineLevel="0" collapsed="false">
      <c r="A152" s="71"/>
      <c r="B152" s="54"/>
      <c r="C152" s="55" t="s">
        <v>18</v>
      </c>
      <c r="D152" s="56"/>
      <c r="E152" s="72" t="n">
        <f aca="false">IFERROR(__xludf.dummyfunction("COUNTA(SPLIT(D152,"" ""))/COUNTA(SPLIT($B$47,"" ""))"),0.00242718446601942)</f>
        <v>0.002427184466</v>
      </c>
      <c r="F152" s="55"/>
      <c r="G152" s="55"/>
      <c r="H152" s="55"/>
      <c r="I152" s="55"/>
      <c r="J152" s="55"/>
      <c r="K152" s="58"/>
      <c r="L152" s="58"/>
      <c r="M152" s="58"/>
      <c r="N152" s="58"/>
      <c r="O152" s="58"/>
      <c r="P152" s="58"/>
      <c r="Q152" s="58"/>
      <c r="R152" s="58"/>
      <c r="S152" s="58"/>
      <c r="T152" s="58"/>
      <c r="U152" s="58"/>
      <c r="V152" s="58"/>
      <c r="W152" s="58"/>
      <c r="X152" s="58"/>
      <c r="Y152" s="58"/>
      <c r="Z152" s="58"/>
      <c r="AA152" s="58"/>
      <c r="AB152" s="58"/>
    </row>
    <row r="153" customFormat="false" ht="15.75" hidden="false" customHeight="false" outlineLevel="0" collapsed="false">
      <c r="A153" s="71"/>
      <c r="B153" s="71"/>
      <c r="C153" s="5" t="s">
        <v>19</v>
      </c>
      <c r="D153" s="48"/>
      <c r="E153" s="73" t="n">
        <f aca="false">IFERROR(__xludf.dummyfunction("COUNTA(SPLIT(D153,"" ""))/COUNTA(SPLIT($B$47,"" ""))"),0.00242718446601942)</f>
        <v>0.002427184466</v>
      </c>
      <c r="F153" s="5"/>
      <c r="G153" s="5"/>
      <c r="H153" s="5"/>
      <c r="I153" s="5"/>
      <c r="J153" s="5"/>
      <c r="K153" s="50"/>
      <c r="L153" s="50"/>
      <c r="M153" s="50"/>
      <c r="N153" s="50"/>
      <c r="O153" s="50"/>
      <c r="P153" s="50"/>
      <c r="Q153" s="50"/>
      <c r="R153" s="50"/>
      <c r="S153" s="50"/>
      <c r="T153" s="50"/>
      <c r="U153" s="50"/>
      <c r="V153" s="50"/>
      <c r="W153" s="50"/>
      <c r="X153" s="50"/>
      <c r="Y153" s="50"/>
      <c r="Z153" s="50"/>
      <c r="AA153" s="50"/>
      <c r="AB153" s="50"/>
    </row>
    <row r="154" customFormat="false" ht="15.75" hidden="false" customHeight="false" outlineLevel="0" collapsed="false">
      <c r="A154" s="71"/>
      <c r="B154" s="71"/>
      <c r="C154" s="5" t="s">
        <v>8</v>
      </c>
      <c r="D154" s="48"/>
      <c r="E154" s="74" t="n">
        <f aca="false">IFERROR(__xludf.dummyfunction("COUNTA(SPLIT(D154,"" ""))/COUNTA(SPLIT($B$47,"" ""))"),0.00242718446601942)</f>
        <v>0.002427184466</v>
      </c>
      <c r="F154" s="5"/>
      <c r="G154" s="5"/>
      <c r="H154" s="5"/>
      <c r="I154" s="5"/>
      <c r="J154" s="5"/>
      <c r="K154" s="50"/>
      <c r="L154" s="50"/>
      <c r="M154" s="50"/>
      <c r="N154" s="50"/>
      <c r="O154" s="50"/>
      <c r="P154" s="50"/>
      <c r="Q154" s="50"/>
      <c r="R154" s="50"/>
      <c r="S154" s="50"/>
      <c r="T154" s="50"/>
      <c r="U154" s="50"/>
      <c r="V154" s="50"/>
      <c r="W154" s="50"/>
      <c r="X154" s="50"/>
      <c r="Y154" s="50"/>
      <c r="Z154" s="50"/>
      <c r="AA154" s="50"/>
      <c r="AB154" s="50"/>
    </row>
    <row r="155" customFormat="false" ht="15.75" hidden="false" customHeight="false" outlineLevel="0" collapsed="false">
      <c r="A155" s="71"/>
      <c r="B155" s="71"/>
      <c r="C155" s="5" t="s">
        <v>20</v>
      </c>
      <c r="D155" s="48"/>
      <c r="E155" s="75" t="n">
        <f aca="false">IFERROR(__xludf.dummyfunction("COUNTA(SPLIT(D155,"" ""))/COUNTA(SPLIT($B$47,"" ""))"),0.00242718446601942)</f>
        <v>0.002427184466</v>
      </c>
      <c r="F155" s="5"/>
      <c r="G155" s="5"/>
      <c r="H155" s="5"/>
      <c r="I155" s="5"/>
      <c r="J155" s="5"/>
      <c r="K155" s="50"/>
      <c r="L155" s="50"/>
      <c r="M155" s="50"/>
      <c r="N155" s="50"/>
      <c r="O155" s="50"/>
      <c r="P155" s="50"/>
      <c r="Q155" s="50"/>
      <c r="R155" s="50"/>
      <c r="S155" s="50"/>
      <c r="T155" s="50"/>
      <c r="U155" s="50"/>
      <c r="V155" s="50"/>
      <c r="W155" s="50"/>
      <c r="X155" s="50"/>
      <c r="Y155" s="50"/>
      <c r="Z155" s="50"/>
      <c r="AA155" s="50"/>
      <c r="AB155" s="50"/>
    </row>
    <row r="156" customFormat="false" ht="15.75" hidden="false" customHeight="false" outlineLevel="0" collapsed="false">
      <c r="A156" s="50"/>
      <c r="B156" s="50"/>
      <c r="C156" s="5"/>
      <c r="D156" s="48"/>
      <c r="E156" s="50"/>
      <c r="F156" s="5"/>
      <c r="G156" s="5"/>
      <c r="H156" s="5"/>
      <c r="I156" s="5"/>
      <c r="J156" s="5"/>
      <c r="K156" s="50"/>
      <c r="L156" s="50"/>
      <c r="M156" s="50"/>
      <c r="N156" s="50"/>
      <c r="O156" s="50"/>
      <c r="P156" s="50"/>
      <c r="Q156" s="50"/>
      <c r="R156" s="50"/>
      <c r="S156" s="50"/>
      <c r="T156" s="50"/>
      <c r="U156" s="50"/>
      <c r="V156" s="50"/>
      <c r="W156" s="50"/>
      <c r="X156" s="50"/>
      <c r="Y156" s="50"/>
      <c r="Z156" s="50"/>
      <c r="AA156" s="50"/>
      <c r="AB156" s="50"/>
    </row>
    <row r="157" customFormat="false" ht="15.75" hidden="false" customHeight="false" outlineLevel="0" collapsed="false">
      <c r="A157" s="71"/>
      <c r="B157" s="54"/>
      <c r="C157" s="55" t="s">
        <v>18</v>
      </c>
      <c r="D157" s="56"/>
      <c r="E157" s="72" t="n">
        <f aca="false">IFERROR(__xludf.dummyfunction("COUNTA(SPLIT(D157,"" ""))/COUNTA(SPLIT($B$47,"" ""))"),0.00242718446601942)</f>
        <v>0.002427184466</v>
      </c>
      <c r="F157" s="55"/>
      <c r="G157" s="55"/>
      <c r="H157" s="55"/>
      <c r="I157" s="55"/>
      <c r="J157" s="55"/>
      <c r="K157" s="58"/>
      <c r="L157" s="58"/>
      <c r="M157" s="58"/>
      <c r="N157" s="58"/>
      <c r="O157" s="58"/>
      <c r="P157" s="58"/>
      <c r="Q157" s="58"/>
      <c r="R157" s="58"/>
      <c r="S157" s="58"/>
      <c r="T157" s="58"/>
      <c r="U157" s="58"/>
      <c r="V157" s="58"/>
      <c r="W157" s="58"/>
      <c r="X157" s="58"/>
      <c r="Y157" s="58"/>
      <c r="Z157" s="58"/>
      <c r="AA157" s="58"/>
      <c r="AB157" s="58"/>
    </row>
    <row r="158" customFormat="false" ht="15.75" hidden="false" customHeight="false" outlineLevel="0" collapsed="false">
      <c r="A158" s="71"/>
      <c r="B158" s="71"/>
      <c r="C158" s="5" t="s">
        <v>19</v>
      </c>
      <c r="D158" s="48"/>
      <c r="E158" s="73" t="n">
        <f aca="false">IFERROR(__xludf.dummyfunction("COUNTA(SPLIT(D158,"" ""))/COUNTA(SPLIT($B$47,"" ""))"),0.00242718446601942)</f>
        <v>0.002427184466</v>
      </c>
      <c r="F158" s="5"/>
      <c r="G158" s="5"/>
      <c r="H158" s="5"/>
      <c r="I158" s="5"/>
      <c r="J158" s="5"/>
      <c r="K158" s="50"/>
      <c r="L158" s="50"/>
      <c r="M158" s="50"/>
      <c r="N158" s="50"/>
      <c r="O158" s="50"/>
      <c r="P158" s="50"/>
      <c r="Q158" s="50"/>
      <c r="R158" s="50"/>
      <c r="S158" s="50"/>
      <c r="T158" s="50"/>
      <c r="U158" s="50"/>
      <c r="V158" s="50"/>
      <c r="W158" s="50"/>
      <c r="X158" s="50"/>
      <c r="Y158" s="50"/>
      <c r="Z158" s="50"/>
      <c r="AA158" s="50"/>
      <c r="AB158" s="50"/>
    </row>
    <row r="159" customFormat="false" ht="15.75" hidden="false" customHeight="false" outlineLevel="0" collapsed="false">
      <c r="A159" s="71"/>
      <c r="B159" s="71"/>
      <c r="C159" s="5" t="s">
        <v>8</v>
      </c>
      <c r="D159" s="48"/>
      <c r="E159" s="74" t="n">
        <f aca="false">IFERROR(__xludf.dummyfunction("COUNTA(SPLIT(D159,"" ""))/COUNTA(SPLIT($B$47,"" ""))"),0.00242718446601942)</f>
        <v>0.002427184466</v>
      </c>
      <c r="F159" s="5"/>
      <c r="G159" s="5"/>
      <c r="H159" s="5"/>
      <c r="I159" s="5"/>
      <c r="J159" s="5"/>
      <c r="K159" s="50"/>
      <c r="L159" s="50"/>
      <c r="M159" s="50"/>
      <c r="N159" s="50"/>
      <c r="O159" s="50"/>
      <c r="P159" s="50"/>
      <c r="Q159" s="50"/>
      <c r="R159" s="50"/>
      <c r="S159" s="50"/>
      <c r="T159" s="50"/>
      <c r="U159" s="50"/>
      <c r="V159" s="50"/>
      <c r="W159" s="50"/>
      <c r="X159" s="50"/>
      <c r="Y159" s="50"/>
      <c r="Z159" s="50"/>
      <c r="AA159" s="50"/>
      <c r="AB159" s="50"/>
    </row>
    <row r="160" customFormat="false" ht="15.75" hidden="false" customHeight="false" outlineLevel="0" collapsed="false">
      <c r="A160" s="71"/>
      <c r="B160" s="71"/>
      <c r="C160" s="5" t="s">
        <v>20</v>
      </c>
      <c r="D160" s="48"/>
      <c r="E160" s="75" t="n">
        <f aca="false">IFERROR(__xludf.dummyfunction("COUNTA(SPLIT(D160,"" ""))/COUNTA(SPLIT($B$47,"" ""))"),0.00242718446601942)</f>
        <v>0.002427184466</v>
      </c>
      <c r="F160" s="5"/>
      <c r="G160" s="5"/>
      <c r="H160" s="5"/>
      <c r="I160" s="5"/>
      <c r="J160" s="5"/>
      <c r="K160" s="50"/>
      <c r="L160" s="50"/>
      <c r="M160" s="50"/>
      <c r="N160" s="50"/>
      <c r="O160" s="50"/>
      <c r="P160" s="50"/>
      <c r="Q160" s="50"/>
      <c r="R160" s="50"/>
      <c r="S160" s="50"/>
      <c r="T160" s="50"/>
      <c r="U160" s="50"/>
      <c r="V160" s="50"/>
      <c r="W160" s="50"/>
      <c r="X160" s="50"/>
      <c r="Y160" s="50"/>
      <c r="Z160" s="50"/>
      <c r="AA160" s="50"/>
      <c r="AB160" s="50"/>
    </row>
    <row r="161" customFormat="false" ht="15.75" hidden="false" customHeight="false" outlineLevel="0" collapsed="false">
      <c r="A161" s="50"/>
      <c r="B161" s="50"/>
      <c r="C161" s="5"/>
      <c r="D161" s="48"/>
      <c r="E161" s="50"/>
      <c r="F161" s="5"/>
      <c r="G161" s="5"/>
      <c r="H161" s="5"/>
      <c r="I161" s="5"/>
      <c r="J161" s="5"/>
      <c r="K161" s="50"/>
      <c r="L161" s="50"/>
      <c r="M161" s="50"/>
      <c r="N161" s="50"/>
      <c r="O161" s="50"/>
      <c r="P161" s="50"/>
      <c r="Q161" s="50"/>
      <c r="R161" s="50"/>
      <c r="S161" s="50"/>
      <c r="T161" s="50"/>
      <c r="U161" s="50"/>
      <c r="V161" s="50"/>
      <c r="W161" s="50"/>
      <c r="X161" s="50"/>
      <c r="Y161" s="50"/>
      <c r="Z161" s="50"/>
      <c r="AA161" s="50"/>
      <c r="AB161" s="50"/>
    </row>
    <row r="162" customFormat="false" ht="15.75" hidden="false" customHeight="false" outlineLevel="0" collapsed="false">
      <c r="A162" s="71"/>
      <c r="B162" s="54"/>
      <c r="C162" s="55" t="s">
        <v>18</v>
      </c>
      <c r="D162" s="56"/>
      <c r="E162" s="72" t="n">
        <f aca="false">IFERROR(__xludf.dummyfunction("COUNTA(SPLIT(D162,"" ""))/COUNTA(SPLIT($B$47,"" ""))"),0.00242718446601942)</f>
        <v>0.002427184466</v>
      </c>
      <c r="F162" s="55"/>
      <c r="G162" s="55"/>
      <c r="H162" s="55"/>
      <c r="I162" s="55"/>
      <c r="J162" s="55"/>
      <c r="K162" s="58"/>
      <c r="L162" s="58"/>
      <c r="M162" s="58"/>
      <c r="N162" s="58"/>
      <c r="O162" s="58"/>
      <c r="P162" s="58"/>
      <c r="Q162" s="58"/>
      <c r="R162" s="58"/>
      <c r="S162" s="58"/>
      <c r="T162" s="58"/>
      <c r="U162" s="58"/>
      <c r="V162" s="58"/>
      <c r="W162" s="58"/>
      <c r="X162" s="58"/>
      <c r="Y162" s="58"/>
      <c r="Z162" s="58"/>
      <c r="AA162" s="58"/>
      <c r="AB162" s="58"/>
    </row>
    <row r="163" customFormat="false" ht="15.75" hidden="false" customHeight="false" outlineLevel="0" collapsed="false">
      <c r="A163" s="71"/>
      <c r="B163" s="71"/>
      <c r="C163" s="5" t="s">
        <v>19</v>
      </c>
      <c r="D163" s="48"/>
      <c r="E163" s="73" t="n">
        <f aca="false">IFERROR(__xludf.dummyfunction("COUNTA(SPLIT(D163,"" ""))/COUNTA(SPLIT($B$47,"" ""))"),0.00242718446601942)</f>
        <v>0.002427184466</v>
      </c>
      <c r="F163" s="5"/>
      <c r="G163" s="5"/>
      <c r="H163" s="5"/>
      <c r="I163" s="5"/>
      <c r="J163" s="5"/>
      <c r="K163" s="50"/>
      <c r="L163" s="50"/>
      <c r="M163" s="50"/>
      <c r="N163" s="50"/>
      <c r="O163" s="50"/>
      <c r="P163" s="50"/>
      <c r="Q163" s="50"/>
      <c r="R163" s="50"/>
      <c r="S163" s="50"/>
      <c r="T163" s="50"/>
      <c r="U163" s="50"/>
      <c r="V163" s="50"/>
      <c r="W163" s="50"/>
      <c r="X163" s="50"/>
      <c r="Y163" s="50"/>
      <c r="Z163" s="50"/>
      <c r="AA163" s="50"/>
      <c r="AB163" s="50"/>
    </row>
    <row r="164" customFormat="false" ht="15.75" hidden="false" customHeight="false" outlineLevel="0" collapsed="false">
      <c r="A164" s="71"/>
      <c r="B164" s="71"/>
      <c r="C164" s="5" t="s">
        <v>8</v>
      </c>
      <c r="D164" s="48"/>
      <c r="E164" s="74" t="n">
        <f aca="false">IFERROR(__xludf.dummyfunction("COUNTA(SPLIT(D164,"" ""))/COUNTA(SPLIT($B$47,"" ""))"),0.00242718446601942)</f>
        <v>0.002427184466</v>
      </c>
      <c r="F164" s="5"/>
      <c r="G164" s="5"/>
      <c r="H164" s="5"/>
      <c r="I164" s="5"/>
      <c r="J164" s="5"/>
      <c r="K164" s="50"/>
      <c r="L164" s="50"/>
      <c r="M164" s="50"/>
      <c r="N164" s="50"/>
      <c r="O164" s="50"/>
      <c r="P164" s="50"/>
      <c r="Q164" s="50"/>
      <c r="R164" s="50"/>
      <c r="S164" s="50"/>
      <c r="T164" s="50"/>
      <c r="U164" s="50"/>
      <c r="V164" s="50"/>
      <c r="W164" s="50"/>
      <c r="X164" s="50"/>
      <c r="Y164" s="50"/>
      <c r="Z164" s="50"/>
      <c r="AA164" s="50"/>
      <c r="AB164" s="50"/>
    </row>
    <row r="165" customFormat="false" ht="15.75" hidden="false" customHeight="false" outlineLevel="0" collapsed="false">
      <c r="A165" s="71"/>
      <c r="B165" s="71"/>
      <c r="C165" s="5" t="s">
        <v>20</v>
      </c>
      <c r="D165" s="48"/>
      <c r="E165" s="75" t="n">
        <f aca="false">IFERROR(__xludf.dummyfunction("COUNTA(SPLIT(D165,"" ""))/COUNTA(SPLIT($B$47,"" ""))"),0.00242718446601942)</f>
        <v>0.002427184466</v>
      </c>
      <c r="F165" s="5"/>
      <c r="G165" s="5"/>
      <c r="H165" s="5"/>
      <c r="I165" s="5"/>
      <c r="J165" s="5"/>
      <c r="K165" s="50"/>
      <c r="L165" s="50"/>
      <c r="M165" s="50"/>
      <c r="N165" s="50"/>
      <c r="O165" s="50"/>
      <c r="P165" s="50"/>
      <c r="Q165" s="50"/>
      <c r="R165" s="50"/>
      <c r="S165" s="50"/>
      <c r="T165" s="50"/>
      <c r="U165" s="50"/>
      <c r="V165" s="50"/>
      <c r="W165" s="50"/>
      <c r="X165" s="50"/>
      <c r="Y165" s="50"/>
      <c r="Z165" s="50"/>
      <c r="AA165" s="50"/>
      <c r="AB165" s="50"/>
    </row>
    <row r="166" customFormat="false" ht="15.75" hidden="false" customHeight="false" outlineLevel="0" collapsed="false">
      <c r="A166" s="50"/>
      <c r="B166" s="50"/>
      <c r="C166" s="5"/>
      <c r="D166" s="48"/>
      <c r="E166" s="50"/>
      <c r="F166" s="5"/>
      <c r="G166" s="5"/>
      <c r="H166" s="5"/>
      <c r="I166" s="5"/>
      <c r="J166" s="5"/>
      <c r="K166" s="50"/>
      <c r="L166" s="50"/>
      <c r="M166" s="50"/>
      <c r="N166" s="50"/>
      <c r="O166" s="50"/>
      <c r="P166" s="50"/>
      <c r="Q166" s="50"/>
      <c r="R166" s="50"/>
      <c r="S166" s="50"/>
      <c r="T166" s="50"/>
      <c r="U166" s="50"/>
      <c r="V166" s="50"/>
      <c r="W166" s="50"/>
      <c r="X166" s="50"/>
      <c r="Y166" s="50"/>
      <c r="Z166" s="50"/>
      <c r="AA166" s="50"/>
      <c r="AB166" s="50"/>
    </row>
    <row r="167" customFormat="false" ht="15.75" hidden="false" customHeight="false" outlineLevel="0" collapsed="false">
      <c r="A167" s="50"/>
      <c r="B167" s="50"/>
      <c r="C167" s="5"/>
      <c r="D167" s="48"/>
      <c r="E167" s="50"/>
      <c r="F167" s="5"/>
      <c r="G167" s="5"/>
      <c r="H167" s="5"/>
      <c r="I167" s="5"/>
      <c r="J167" s="5"/>
      <c r="K167" s="50"/>
      <c r="L167" s="50"/>
      <c r="M167" s="50"/>
      <c r="N167" s="50"/>
      <c r="O167" s="50"/>
      <c r="P167" s="50"/>
      <c r="Q167" s="50"/>
      <c r="R167" s="50"/>
      <c r="S167" s="50"/>
      <c r="T167" s="50"/>
      <c r="U167" s="50"/>
      <c r="V167" s="50"/>
      <c r="W167" s="50"/>
      <c r="X167" s="50"/>
      <c r="Y167" s="50"/>
      <c r="Z167" s="50"/>
      <c r="AA167" s="50"/>
      <c r="AB167" s="50"/>
    </row>
    <row r="168" customFormat="false" ht="15.75" hidden="false" customHeight="false" outlineLevel="0" collapsed="false">
      <c r="A168" s="50"/>
      <c r="B168" s="50"/>
      <c r="C168" s="5"/>
      <c r="D168" s="48"/>
      <c r="E168" s="50"/>
      <c r="F168" s="5"/>
      <c r="G168" s="5"/>
      <c r="H168" s="5"/>
      <c r="I168" s="5"/>
      <c r="J168" s="5"/>
      <c r="K168" s="50"/>
      <c r="L168" s="50"/>
      <c r="M168" s="50"/>
      <c r="N168" s="50"/>
      <c r="O168" s="50"/>
      <c r="P168" s="50"/>
      <c r="Q168" s="50"/>
      <c r="R168" s="50"/>
      <c r="S168" s="50"/>
      <c r="T168" s="50"/>
      <c r="U168" s="50"/>
      <c r="V168" s="50"/>
      <c r="W168" s="50"/>
      <c r="X168" s="50"/>
      <c r="Y168" s="50"/>
      <c r="Z168" s="50"/>
      <c r="AA168" s="50"/>
      <c r="AB168" s="50"/>
    </row>
    <row r="169" customFormat="false" ht="15.75" hidden="false" customHeight="false" outlineLevel="0" collapsed="false">
      <c r="A169" s="50"/>
      <c r="B169" s="50"/>
      <c r="C169" s="5"/>
      <c r="D169" s="48"/>
      <c r="E169" s="50"/>
      <c r="F169" s="5"/>
      <c r="G169" s="5"/>
      <c r="H169" s="5"/>
      <c r="I169" s="5"/>
      <c r="J169" s="5"/>
      <c r="K169" s="50"/>
      <c r="L169" s="50"/>
      <c r="M169" s="50"/>
      <c r="N169" s="50"/>
      <c r="O169" s="50"/>
      <c r="P169" s="50"/>
      <c r="Q169" s="50"/>
      <c r="R169" s="50"/>
      <c r="S169" s="50"/>
      <c r="T169" s="50"/>
      <c r="U169" s="50"/>
      <c r="V169" s="50"/>
      <c r="W169" s="50"/>
      <c r="X169" s="50"/>
      <c r="Y169" s="50"/>
      <c r="Z169" s="50"/>
      <c r="AA169" s="50"/>
      <c r="AB169" s="50"/>
    </row>
    <row r="170" customFormat="false" ht="15.75" hidden="false" customHeight="false" outlineLevel="0" collapsed="false">
      <c r="A170" s="50"/>
      <c r="B170" s="50"/>
      <c r="C170" s="5"/>
      <c r="D170" s="48"/>
      <c r="E170" s="50"/>
      <c r="F170" s="5"/>
      <c r="G170" s="5"/>
      <c r="H170" s="5"/>
      <c r="I170" s="5"/>
      <c r="J170" s="5"/>
      <c r="K170" s="50"/>
      <c r="L170" s="50"/>
      <c r="M170" s="50"/>
      <c r="N170" s="50"/>
      <c r="O170" s="50"/>
      <c r="P170" s="50"/>
      <c r="Q170" s="50"/>
      <c r="R170" s="50"/>
      <c r="S170" s="50"/>
      <c r="T170" s="50"/>
      <c r="U170" s="50"/>
      <c r="V170" s="50"/>
      <c r="W170" s="50"/>
      <c r="X170" s="50"/>
      <c r="Y170" s="50"/>
      <c r="Z170" s="50"/>
      <c r="AA170" s="50"/>
      <c r="AB170" s="50"/>
    </row>
    <row r="171" customFormat="false" ht="15.75" hidden="false" customHeight="false" outlineLevel="0" collapsed="false">
      <c r="A171" s="50"/>
      <c r="B171" s="50"/>
      <c r="C171" s="5"/>
      <c r="D171" s="48"/>
      <c r="E171" s="50"/>
      <c r="F171" s="5"/>
      <c r="G171" s="5"/>
      <c r="H171" s="5"/>
      <c r="I171" s="5"/>
      <c r="J171" s="5"/>
      <c r="K171" s="50"/>
      <c r="L171" s="50"/>
      <c r="M171" s="50"/>
      <c r="N171" s="50"/>
      <c r="O171" s="50"/>
      <c r="P171" s="50"/>
      <c r="Q171" s="50"/>
      <c r="R171" s="50"/>
      <c r="S171" s="50"/>
      <c r="T171" s="50"/>
      <c r="U171" s="50"/>
      <c r="V171" s="50"/>
      <c r="W171" s="50"/>
      <c r="X171" s="50"/>
      <c r="Y171" s="50"/>
      <c r="Z171" s="50"/>
      <c r="AA171" s="50"/>
      <c r="AB171" s="50"/>
    </row>
    <row r="172" customFormat="false" ht="15.75" hidden="false" customHeight="false" outlineLevel="0" collapsed="false">
      <c r="A172" s="50"/>
      <c r="B172" s="50"/>
      <c r="C172" s="5"/>
      <c r="D172" s="48"/>
      <c r="E172" s="50"/>
      <c r="F172" s="5"/>
      <c r="G172" s="5"/>
      <c r="H172" s="5"/>
      <c r="I172" s="5"/>
      <c r="J172" s="5"/>
      <c r="K172" s="50"/>
      <c r="L172" s="50"/>
      <c r="M172" s="50"/>
      <c r="N172" s="50"/>
      <c r="O172" s="50"/>
      <c r="P172" s="50"/>
      <c r="Q172" s="50"/>
      <c r="R172" s="50"/>
      <c r="S172" s="50"/>
      <c r="T172" s="50"/>
      <c r="U172" s="50"/>
      <c r="V172" s="50"/>
      <c r="W172" s="50"/>
      <c r="X172" s="50"/>
      <c r="Y172" s="50"/>
      <c r="Z172" s="50"/>
      <c r="AA172" s="50"/>
      <c r="AB172" s="50"/>
    </row>
    <row r="173" customFormat="false" ht="15.75" hidden="false" customHeight="false" outlineLevel="0" collapsed="false">
      <c r="A173" s="50"/>
      <c r="B173" s="50"/>
      <c r="C173" s="5"/>
      <c r="D173" s="48"/>
      <c r="E173" s="50"/>
      <c r="F173" s="5"/>
      <c r="G173" s="5"/>
      <c r="H173" s="5"/>
      <c r="I173" s="5"/>
      <c r="J173" s="5"/>
      <c r="K173" s="50"/>
      <c r="L173" s="50"/>
      <c r="M173" s="50"/>
      <c r="N173" s="50"/>
      <c r="O173" s="50"/>
      <c r="P173" s="50"/>
      <c r="Q173" s="50"/>
      <c r="R173" s="50"/>
      <c r="S173" s="50"/>
      <c r="T173" s="50"/>
      <c r="U173" s="50"/>
      <c r="V173" s="50"/>
      <c r="W173" s="50"/>
      <c r="X173" s="50"/>
      <c r="Y173" s="50"/>
      <c r="Z173" s="50"/>
      <c r="AA173" s="50"/>
      <c r="AB173" s="50"/>
    </row>
    <row r="174" customFormat="false" ht="15.75" hidden="false" customHeight="false" outlineLevel="0" collapsed="false">
      <c r="A174" s="50"/>
      <c r="B174" s="50"/>
      <c r="C174" s="5"/>
      <c r="D174" s="48"/>
      <c r="E174" s="50"/>
      <c r="F174" s="5"/>
      <c r="G174" s="5"/>
      <c r="H174" s="5"/>
      <c r="I174" s="5"/>
      <c r="J174" s="5"/>
      <c r="K174" s="50"/>
      <c r="L174" s="50"/>
      <c r="M174" s="50"/>
      <c r="N174" s="50"/>
      <c r="O174" s="50"/>
      <c r="P174" s="50"/>
      <c r="Q174" s="50"/>
      <c r="R174" s="50"/>
      <c r="S174" s="50"/>
      <c r="T174" s="50"/>
      <c r="U174" s="50"/>
      <c r="V174" s="50"/>
      <c r="W174" s="50"/>
      <c r="X174" s="50"/>
      <c r="Y174" s="50"/>
      <c r="Z174" s="50"/>
      <c r="AA174" s="50"/>
      <c r="AB174" s="50"/>
    </row>
    <row r="175" customFormat="false" ht="15.75" hidden="false" customHeight="false" outlineLevel="0" collapsed="false">
      <c r="A175" s="50"/>
      <c r="B175" s="50"/>
      <c r="C175" s="5"/>
      <c r="D175" s="48"/>
      <c r="E175" s="50"/>
      <c r="F175" s="5"/>
      <c r="G175" s="5"/>
      <c r="H175" s="5"/>
      <c r="I175" s="5"/>
      <c r="J175" s="5"/>
      <c r="K175" s="50"/>
      <c r="L175" s="50"/>
      <c r="M175" s="50"/>
      <c r="N175" s="50"/>
      <c r="O175" s="50"/>
      <c r="P175" s="50"/>
      <c r="Q175" s="50"/>
      <c r="R175" s="50"/>
      <c r="S175" s="50"/>
      <c r="T175" s="50"/>
      <c r="U175" s="50"/>
      <c r="V175" s="50"/>
      <c r="W175" s="50"/>
      <c r="X175" s="50"/>
      <c r="Y175" s="50"/>
      <c r="Z175" s="50"/>
      <c r="AA175" s="50"/>
      <c r="AB175" s="50"/>
    </row>
    <row r="176" customFormat="false" ht="15.75" hidden="false" customHeight="false" outlineLevel="0" collapsed="false">
      <c r="A176" s="50"/>
      <c r="B176" s="50"/>
      <c r="C176" s="5"/>
      <c r="D176" s="48"/>
      <c r="E176" s="50"/>
      <c r="F176" s="5"/>
      <c r="G176" s="5"/>
      <c r="H176" s="5"/>
      <c r="I176" s="5"/>
      <c r="J176" s="5"/>
      <c r="K176" s="50"/>
      <c r="L176" s="50"/>
      <c r="M176" s="50"/>
      <c r="N176" s="50"/>
      <c r="O176" s="50"/>
      <c r="P176" s="50"/>
      <c r="Q176" s="50"/>
      <c r="R176" s="50"/>
      <c r="S176" s="50"/>
      <c r="T176" s="50"/>
      <c r="U176" s="50"/>
      <c r="V176" s="50"/>
      <c r="W176" s="50"/>
      <c r="X176" s="50"/>
      <c r="Y176" s="50"/>
      <c r="Z176" s="50"/>
      <c r="AA176" s="50"/>
      <c r="AB176" s="50"/>
    </row>
    <row r="177" customFormat="false" ht="15.75" hidden="false" customHeight="false" outlineLevel="0" collapsed="false">
      <c r="A177" s="50"/>
      <c r="B177" s="50"/>
      <c r="C177" s="5"/>
      <c r="D177" s="48"/>
      <c r="E177" s="50"/>
      <c r="F177" s="5"/>
      <c r="G177" s="5"/>
      <c r="H177" s="5"/>
      <c r="I177" s="5"/>
      <c r="J177" s="5"/>
      <c r="K177" s="50"/>
      <c r="L177" s="50"/>
      <c r="M177" s="50"/>
      <c r="N177" s="50"/>
      <c r="O177" s="50"/>
      <c r="P177" s="50"/>
      <c r="Q177" s="50"/>
      <c r="R177" s="50"/>
      <c r="S177" s="50"/>
      <c r="T177" s="50"/>
      <c r="U177" s="50"/>
      <c r="V177" s="50"/>
      <c r="W177" s="50"/>
      <c r="X177" s="50"/>
      <c r="Y177" s="50"/>
      <c r="Z177" s="50"/>
      <c r="AA177" s="50"/>
      <c r="AB177" s="50"/>
    </row>
    <row r="178" customFormat="false" ht="15.75" hidden="false" customHeight="false" outlineLevel="0" collapsed="false">
      <c r="A178" s="50"/>
      <c r="B178" s="50"/>
      <c r="C178" s="5"/>
      <c r="D178" s="48"/>
      <c r="E178" s="50"/>
      <c r="F178" s="5"/>
      <c r="G178" s="5"/>
      <c r="H178" s="5"/>
      <c r="I178" s="5"/>
      <c r="J178" s="5"/>
      <c r="K178" s="50"/>
      <c r="L178" s="50"/>
      <c r="M178" s="50"/>
      <c r="N178" s="50"/>
      <c r="O178" s="50"/>
      <c r="P178" s="50"/>
      <c r="Q178" s="50"/>
      <c r="R178" s="50"/>
      <c r="S178" s="50"/>
      <c r="T178" s="50"/>
      <c r="U178" s="50"/>
      <c r="V178" s="50"/>
      <c r="W178" s="50"/>
      <c r="X178" s="50"/>
      <c r="Y178" s="50"/>
      <c r="Z178" s="50"/>
      <c r="AA178" s="50"/>
      <c r="AB178" s="50"/>
    </row>
    <row r="179" customFormat="false" ht="15.75" hidden="false" customHeight="false" outlineLevel="0" collapsed="false">
      <c r="A179" s="50"/>
      <c r="B179" s="50"/>
      <c r="C179" s="5"/>
      <c r="D179" s="48"/>
      <c r="E179" s="50"/>
      <c r="F179" s="5"/>
      <c r="G179" s="5"/>
      <c r="H179" s="5"/>
      <c r="I179" s="5"/>
      <c r="J179" s="5"/>
      <c r="K179" s="50"/>
      <c r="L179" s="50"/>
      <c r="M179" s="50"/>
      <c r="N179" s="50"/>
      <c r="O179" s="50"/>
      <c r="P179" s="50"/>
      <c r="Q179" s="50"/>
      <c r="R179" s="50"/>
      <c r="S179" s="50"/>
      <c r="T179" s="50"/>
      <c r="U179" s="50"/>
      <c r="V179" s="50"/>
      <c r="W179" s="50"/>
      <c r="X179" s="50"/>
      <c r="Y179" s="50"/>
      <c r="Z179" s="50"/>
      <c r="AA179" s="50"/>
      <c r="AB179" s="50"/>
    </row>
    <row r="180" customFormat="false" ht="15.75" hidden="false" customHeight="false" outlineLevel="0" collapsed="false">
      <c r="A180" s="50"/>
      <c r="B180" s="50"/>
      <c r="C180" s="5"/>
      <c r="D180" s="48"/>
      <c r="E180" s="50"/>
      <c r="F180" s="5"/>
      <c r="G180" s="5"/>
      <c r="H180" s="5"/>
      <c r="I180" s="5"/>
      <c r="J180" s="5"/>
      <c r="K180" s="50"/>
      <c r="L180" s="50"/>
      <c r="M180" s="50"/>
      <c r="N180" s="50"/>
      <c r="O180" s="50"/>
      <c r="P180" s="50"/>
      <c r="Q180" s="50"/>
      <c r="R180" s="50"/>
      <c r="S180" s="50"/>
      <c r="T180" s="50"/>
      <c r="U180" s="50"/>
      <c r="V180" s="50"/>
      <c r="W180" s="50"/>
      <c r="X180" s="50"/>
      <c r="Y180" s="50"/>
      <c r="Z180" s="50"/>
      <c r="AA180" s="50"/>
      <c r="AB180" s="50"/>
    </row>
    <row r="181" customFormat="false" ht="15.75" hidden="false" customHeight="false" outlineLevel="0" collapsed="false">
      <c r="A181" s="50"/>
      <c r="B181" s="50"/>
      <c r="C181" s="5"/>
      <c r="D181" s="48"/>
      <c r="E181" s="50"/>
      <c r="F181" s="5"/>
      <c r="G181" s="5"/>
      <c r="H181" s="5"/>
      <c r="I181" s="5"/>
      <c r="J181" s="5"/>
      <c r="K181" s="50"/>
      <c r="L181" s="50"/>
      <c r="M181" s="50"/>
      <c r="N181" s="50"/>
      <c r="O181" s="50"/>
      <c r="P181" s="50"/>
      <c r="Q181" s="50"/>
      <c r="R181" s="50"/>
      <c r="S181" s="50"/>
      <c r="T181" s="50"/>
      <c r="U181" s="50"/>
      <c r="V181" s="50"/>
      <c r="W181" s="50"/>
      <c r="X181" s="50"/>
      <c r="Y181" s="50"/>
      <c r="Z181" s="50"/>
      <c r="AA181" s="50"/>
      <c r="AB181" s="50"/>
    </row>
    <row r="182" customFormat="false" ht="15.75" hidden="false" customHeight="false" outlineLevel="0" collapsed="false">
      <c r="A182" s="50"/>
      <c r="B182" s="50"/>
      <c r="C182" s="5"/>
      <c r="D182" s="48"/>
      <c r="E182" s="50"/>
      <c r="F182" s="5"/>
      <c r="G182" s="5"/>
      <c r="H182" s="5"/>
      <c r="I182" s="5"/>
      <c r="J182" s="5"/>
      <c r="K182" s="50"/>
      <c r="L182" s="50"/>
      <c r="M182" s="50"/>
      <c r="N182" s="50"/>
      <c r="O182" s="50"/>
      <c r="P182" s="50"/>
      <c r="Q182" s="50"/>
      <c r="R182" s="50"/>
      <c r="S182" s="50"/>
      <c r="T182" s="50"/>
      <c r="U182" s="50"/>
      <c r="V182" s="50"/>
      <c r="W182" s="50"/>
      <c r="X182" s="50"/>
      <c r="Y182" s="50"/>
      <c r="Z182" s="50"/>
      <c r="AA182" s="50"/>
      <c r="AB182" s="50"/>
    </row>
    <row r="183" customFormat="false" ht="15.75" hidden="false" customHeight="false" outlineLevel="0" collapsed="false">
      <c r="A183" s="50"/>
      <c r="B183" s="50"/>
      <c r="C183" s="5"/>
      <c r="D183" s="48"/>
      <c r="E183" s="50"/>
      <c r="F183" s="5"/>
      <c r="G183" s="5"/>
      <c r="H183" s="5"/>
      <c r="I183" s="5"/>
      <c r="J183" s="5"/>
      <c r="K183" s="50"/>
      <c r="L183" s="50"/>
      <c r="M183" s="50"/>
      <c r="N183" s="50"/>
      <c r="O183" s="50"/>
      <c r="P183" s="50"/>
      <c r="Q183" s="50"/>
      <c r="R183" s="50"/>
      <c r="S183" s="50"/>
      <c r="T183" s="50"/>
      <c r="U183" s="50"/>
      <c r="V183" s="50"/>
      <c r="W183" s="50"/>
      <c r="X183" s="50"/>
      <c r="Y183" s="50"/>
      <c r="Z183" s="50"/>
      <c r="AA183" s="50"/>
      <c r="AB183" s="50"/>
    </row>
    <row r="184" customFormat="false" ht="15.75" hidden="false" customHeight="false" outlineLevel="0" collapsed="false">
      <c r="A184" s="50"/>
      <c r="B184" s="50"/>
      <c r="C184" s="5"/>
      <c r="D184" s="48"/>
      <c r="E184" s="50"/>
      <c r="F184" s="5"/>
      <c r="G184" s="5"/>
      <c r="H184" s="5"/>
      <c r="I184" s="5"/>
      <c r="J184" s="5"/>
      <c r="K184" s="50"/>
      <c r="L184" s="50"/>
      <c r="M184" s="50"/>
      <c r="N184" s="50"/>
      <c r="O184" s="50"/>
      <c r="P184" s="50"/>
      <c r="Q184" s="50"/>
      <c r="R184" s="50"/>
      <c r="S184" s="50"/>
      <c r="T184" s="50"/>
      <c r="U184" s="50"/>
      <c r="V184" s="50"/>
      <c r="W184" s="50"/>
      <c r="X184" s="50"/>
      <c r="Y184" s="50"/>
      <c r="Z184" s="50"/>
      <c r="AA184" s="50"/>
      <c r="AB184" s="50"/>
    </row>
    <row r="185" customFormat="false" ht="15.75" hidden="false" customHeight="false" outlineLevel="0" collapsed="false">
      <c r="A185" s="50"/>
      <c r="B185" s="50"/>
      <c r="C185" s="5"/>
      <c r="D185" s="48"/>
      <c r="E185" s="50"/>
      <c r="F185" s="5"/>
      <c r="G185" s="5"/>
      <c r="H185" s="5"/>
      <c r="I185" s="5"/>
      <c r="J185" s="5"/>
      <c r="K185" s="50"/>
      <c r="L185" s="50"/>
      <c r="M185" s="50"/>
      <c r="N185" s="50"/>
      <c r="O185" s="50"/>
      <c r="P185" s="50"/>
      <c r="Q185" s="50"/>
      <c r="R185" s="50"/>
      <c r="S185" s="50"/>
      <c r="T185" s="50"/>
      <c r="U185" s="50"/>
      <c r="V185" s="50"/>
      <c r="W185" s="50"/>
      <c r="X185" s="50"/>
      <c r="Y185" s="50"/>
      <c r="Z185" s="50"/>
      <c r="AA185" s="50"/>
      <c r="AB185" s="50"/>
    </row>
    <row r="186" customFormat="false" ht="15.75" hidden="false" customHeight="false" outlineLevel="0" collapsed="false">
      <c r="A186" s="50"/>
      <c r="B186" s="50"/>
      <c r="C186" s="5"/>
      <c r="D186" s="48"/>
      <c r="E186" s="50"/>
      <c r="F186" s="5"/>
      <c r="G186" s="5"/>
      <c r="H186" s="5"/>
      <c r="I186" s="5"/>
      <c r="J186" s="5"/>
      <c r="K186" s="50"/>
      <c r="L186" s="50"/>
      <c r="M186" s="50"/>
      <c r="N186" s="50"/>
      <c r="O186" s="50"/>
      <c r="P186" s="50"/>
      <c r="Q186" s="50"/>
      <c r="R186" s="50"/>
      <c r="S186" s="50"/>
      <c r="T186" s="50"/>
      <c r="U186" s="50"/>
      <c r="V186" s="50"/>
      <c r="W186" s="50"/>
      <c r="X186" s="50"/>
      <c r="Y186" s="50"/>
      <c r="Z186" s="50"/>
      <c r="AA186" s="50"/>
      <c r="AB186" s="50"/>
    </row>
    <row r="187" customFormat="false" ht="15.75" hidden="false" customHeight="false" outlineLevel="0" collapsed="false">
      <c r="A187" s="50"/>
      <c r="B187" s="50"/>
      <c r="C187" s="5"/>
      <c r="D187" s="48"/>
      <c r="E187" s="50"/>
      <c r="F187" s="5"/>
      <c r="G187" s="5"/>
      <c r="H187" s="5"/>
      <c r="I187" s="5"/>
      <c r="J187" s="5"/>
      <c r="K187" s="50"/>
      <c r="L187" s="50"/>
      <c r="M187" s="50"/>
      <c r="N187" s="50"/>
      <c r="O187" s="50"/>
      <c r="P187" s="50"/>
      <c r="Q187" s="50"/>
      <c r="R187" s="50"/>
      <c r="S187" s="50"/>
      <c r="T187" s="50"/>
      <c r="U187" s="50"/>
      <c r="V187" s="50"/>
      <c r="W187" s="50"/>
      <c r="X187" s="50"/>
      <c r="Y187" s="50"/>
      <c r="Z187" s="50"/>
      <c r="AA187" s="50"/>
      <c r="AB187" s="50"/>
    </row>
    <row r="188" customFormat="false" ht="15.75" hidden="false" customHeight="false" outlineLevel="0" collapsed="false">
      <c r="A188" s="50"/>
      <c r="B188" s="50"/>
      <c r="C188" s="5"/>
      <c r="D188" s="48"/>
      <c r="E188" s="50"/>
      <c r="F188" s="5"/>
      <c r="G188" s="5"/>
      <c r="H188" s="5"/>
      <c r="I188" s="5"/>
      <c r="J188" s="5"/>
      <c r="K188" s="50"/>
      <c r="L188" s="50"/>
      <c r="M188" s="50"/>
      <c r="N188" s="50"/>
      <c r="O188" s="50"/>
      <c r="P188" s="50"/>
      <c r="Q188" s="50"/>
      <c r="R188" s="50"/>
      <c r="S188" s="50"/>
      <c r="T188" s="50"/>
      <c r="U188" s="50"/>
      <c r="V188" s="50"/>
      <c r="W188" s="50"/>
      <c r="X188" s="50"/>
      <c r="Y188" s="50"/>
      <c r="Z188" s="50"/>
      <c r="AA188" s="50"/>
      <c r="AB188" s="50"/>
    </row>
    <row r="189" customFormat="false" ht="15.75" hidden="false" customHeight="false" outlineLevel="0" collapsed="false">
      <c r="A189" s="50"/>
      <c r="B189" s="50"/>
      <c r="C189" s="5"/>
      <c r="D189" s="48"/>
      <c r="E189" s="50"/>
      <c r="F189" s="5"/>
      <c r="G189" s="5"/>
      <c r="H189" s="5"/>
      <c r="I189" s="5"/>
      <c r="J189" s="5"/>
      <c r="K189" s="50"/>
      <c r="L189" s="50"/>
      <c r="M189" s="50"/>
      <c r="N189" s="50"/>
      <c r="O189" s="50"/>
      <c r="P189" s="50"/>
      <c r="Q189" s="50"/>
      <c r="R189" s="50"/>
      <c r="S189" s="50"/>
      <c r="T189" s="50"/>
      <c r="U189" s="50"/>
      <c r="V189" s="50"/>
      <c r="W189" s="50"/>
      <c r="X189" s="50"/>
      <c r="Y189" s="50"/>
      <c r="Z189" s="50"/>
      <c r="AA189" s="50"/>
      <c r="AB189" s="50"/>
    </row>
    <row r="190" customFormat="false" ht="15.75" hidden="false" customHeight="false" outlineLevel="0" collapsed="false">
      <c r="A190" s="50"/>
      <c r="B190" s="50"/>
      <c r="C190" s="5"/>
      <c r="D190" s="48"/>
      <c r="E190" s="50"/>
      <c r="F190" s="5"/>
      <c r="G190" s="5"/>
      <c r="H190" s="5"/>
      <c r="I190" s="5"/>
      <c r="J190" s="5"/>
      <c r="K190" s="50"/>
      <c r="L190" s="50"/>
      <c r="M190" s="50"/>
      <c r="N190" s="50"/>
      <c r="O190" s="50"/>
      <c r="P190" s="50"/>
      <c r="Q190" s="50"/>
      <c r="R190" s="50"/>
      <c r="S190" s="50"/>
      <c r="T190" s="50"/>
      <c r="U190" s="50"/>
      <c r="V190" s="50"/>
      <c r="W190" s="50"/>
      <c r="X190" s="50"/>
      <c r="Y190" s="50"/>
      <c r="Z190" s="50"/>
      <c r="AA190" s="50"/>
      <c r="AB190" s="50"/>
    </row>
    <row r="191" customFormat="false" ht="15.75" hidden="false" customHeight="false" outlineLevel="0" collapsed="false">
      <c r="A191" s="50"/>
      <c r="B191" s="50"/>
      <c r="C191" s="5"/>
      <c r="D191" s="48"/>
      <c r="E191" s="50"/>
      <c r="F191" s="5"/>
      <c r="G191" s="5"/>
      <c r="H191" s="5"/>
      <c r="I191" s="5"/>
      <c r="J191" s="5"/>
      <c r="K191" s="50"/>
      <c r="L191" s="50"/>
      <c r="M191" s="50"/>
      <c r="N191" s="50"/>
      <c r="O191" s="50"/>
      <c r="P191" s="50"/>
      <c r="Q191" s="50"/>
      <c r="R191" s="50"/>
      <c r="S191" s="50"/>
      <c r="T191" s="50"/>
      <c r="U191" s="50"/>
      <c r="V191" s="50"/>
      <c r="W191" s="50"/>
      <c r="X191" s="50"/>
      <c r="Y191" s="50"/>
      <c r="Z191" s="50"/>
      <c r="AA191" s="50"/>
      <c r="AB191" s="50"/>
    </row>
    <row r="192" customFormat="false" ht="15.75" hidden="false" customHeight="false" outlineLevel="0" collapsed="false">
      <c r="A192" s="50"/>
      <c r="B192" s="50"/>
      <c r="C192" s="5"/>
      <c r="D192" s="48"/>
      <c r="E192" s="50"/>
      <c r="F192" s="5"/>
      <c r="G192" s="5"/>
      <c r="H192" s="5"/>
      <c r="I192" s="5"/>
      <c r="J192" s="5"/>
      <c r="K192" s="50"/>
      <c r="L192" s="50"/>
      <c r="M192" s="50"/>
      <c r="N192" s="50"/>
      <c r="O192" s="50"/>
      <c r="P192" s="50"/>
      <c r="Q192" s="50"/>
      <c r="R192" s="50"/>
      <c r="S192" s="50"/>
      <c r="T192" s="50"/>
      <c r="U192" s="50"/>
      <c r="V192" s="50"/>
      <c r="W192" s="50"/>
      <c r="X192" s="50"/>
      <c r="Y192" s="50"/>
      <c r="Z192" s="50"/>
      <c r="AA192" s="50"/>
      <c r="AB192" s="50"/>
    </row>
    <row r="193" customFormat="false" ht="15.75" hidden="false" customHeight="false" outlineLevel="0" collapsed="false">
      <c r="A193" s="50"/>
      <c r="B193" s="50"/>
      <c r="C193" s="5"/>
      <c r="D193" s="48"/>
      <c r="E193" s="50"/>
      <c r="F193" s="5"/>
      <c r="G193" s="5"/>
      <c r="H193" s="5"/>
      <c r="I193" s="5"/>
      <c r="J193" s="5"/>
      <c r="K193" s="50"/>
      <c r="L193" s="50"/>
      <c r="M193" s="50"/>
      <c r="N193" s="50"/>
      <c r="O193" s="50"/>
      <c r="P193" s="50"/>
      <c r="Q193" s="50"/>
      <c r="R193" s="50"/>
      <c r="S193" s="50"/>
      <c r="T193" s="50"/>
      <c r="U193" s="50"/>
      <c r="V193" s="50"/>
      <c r="W193" s="50"/>
      <c r="X193" s="50"/>
      <c r="Y193" s="50"/>
      <c r="Z193" s="50"/>
      <c r="AA193" s="50"/>
      <c r="AB193" s="50"/>
    </row>
    <row r="194" customFormat="false" ht="15.75" hidden="false" customHeight="false" outlineLevel="0" collapsed="false">
      <c r="A194" s="50"/>
      <c r="B194" s="50"/>
      <c r="C194" s="5"/>
      <c r="D194" s="48"/>
      <c r="E194" s="50"/>
      <c r="F194" s="5"/>
      <c r="G194" s="5"/>
      <c r="H194" s="5"/>
      <c r="I194" s="5"/>
      <c r="J194" s="5"/>
      <c r="K194" s="50"/>
      <c r="L194" s="50"/>
      <c r="M194" s="50"/>
      <c r="N194" s="50"/>
      <c r="O194" s="50"/>
      <c r="P194" s="50"/>
      <c r="Q194" s="50"/>
      <c r="R194" s="50"/>
      <c r="S194" s="50"/>
      <c r="T194" s="50"/>
      <c r="U194" s="50"/>
      <c r="V194" s="50"/>
      <c r="W194" s="50"/>
      <c r="X194" s="50"/>
      <c r="Y194" s="50"/>
      <c r="Z194" s="50"/>
      <c r="AA194" s="50"/>
      <c r="AB194" s="50"/>
    </row>
    <row r="195" customFormat="false" ht="15.75" hidden="false" customHeight="false" outlineLevel="0" collapsed="false">
      <c r="A195" s="50"/>
      <c r="B195" s="50"/>
      <c r="C195" s="5"/>
      <c r="D195" s="48"/>
      <c r="E195" s="50"/>
      <c r="F195" s="5"/>
      <c r="G195" s="5"/>
      <c r="H195" s="5"/>
      <c r="I195" s="5"/>
      <c r="J195" s="5"/>
      <c r="K195" s="50"/>
      <c r="L195" s="50"/>
      <c r="M195" s="50"/>
      <c r="N195" s="50"/>
      <c r="O195" s="50"/>
      <c r="P195" s="50"/>
      <c r="Q195" s="50"/>
      <c r="R195" s="50"/>
      <c r="S195" s="50"/>
      <c r="T195" s="50"/>
      <c r="U195" s="50"/>
      <c r="V195" s="50"/>
      <c r="W195" s="50"/>
      <c r="X195" s="50"/>
      <c r="Y195" s="50"/>
      <c r="Z195" s="50"/>
      <c r="AA195" s="50"/>
      <c r="AB195" s="50"/>
    </row>
    <row r="196" customFormat="false" ht="15.75" hidden="false" customHeight="false" outlineLevel="0" collapsed="false">
      <c r="A196" s="50"/>
      <c r="B196" s="50"/>
      <c r="C196" s="5"/>
      <c r="D196" s="48"/>
      <c r="E196" s="50"/>
      <c r="F196" s="5"/>
      <c r="G196" s="5"/>
      <c r="H196" s="5"/>
      <c r="I196" s="5"/>
      <c r="J196" s="5"/>
      <c r="K196" s="50"/>
      <c r="L196" s="50"/>
      <c r="M196" s="50"/>
      <c r="N196" s="50"/>
      <c r="O196" s="50"/>
      <c r="P196" s="50"/>
      <c r="Q196" s="50"/>
      <c r="R196" s="50"/>
      <c r="S196" s="50"/>
      <c r="T196" s="50"/>
      <c r="U196" s="50"/>
      <c r="V196" s="50"/>
      <c r="W196" s="50"/>
      <c r="X196" s="50"/>
      <c r="Y196" s="50"/>
      <c r="Z196" s="50"/>
      <c r="AA196" s="50"/>
      <c r="AB196" s="50"/>
    </row>
    <row r="197" customFormat="false" ht="15.75" hidden="false" customHeight="false" outlineLevel="0" collapsed="false">
      <c r="A197" s="50"/>
      <c r="B197" s="50"/>
      <c r="C197" s="5"/>
      <c r="D197" s="48"/>
      <c r="E197" s="50"/>
      <c r="F197" s="5"/>
      <c r="G197" s="5"/>
      <c r="H197" s="5"/>
      <c r="I197" s="5"/>
      <c r="J197" s="5"/>
      <c r="K197" s="50"/>
      <c r="L197" s="50"/>
      <c r="M197" s="50"/>
      <c r="N197" s="50"/>
      <c r="O197" s="50"/>
      <c r="P197" s="50"/>
      <c r="Q197" s="50"/>
      <c r="R197" s="50"/>
      <c r="S197" s="50"/>
      <c r="T197" s="50"/>
      <c r="U197" s="50"/>
      <c r="V197" s="50"/>
      <c r="W197" s="50"/>
      <c r="X197" s="50"/>
      <c r="Y197" s="50"/>
      <c r="Z197" s="50"/>
      <c r="AA197" s="50"/>
      <c r="AB197" s="50"/>
    </row>
    <row r="198" customFormat="false" ht="15.75" hidden="false" customHeight="false" outlineLevel="0" collapsed="false">
      <c r="A198" s="50"/>
      <c r="B198" s="50"/>
      <c r="C198" s="5"/>
      <c r="D198" s="48"/>
      <c r="E198" s="50"/>
      <c r="F198" s="5"/>
      <c r="G198" s="5"/>
      <c r="H198" s="5"/>
      <c r="I198" s="5"/>
      <c r="J198" s="5"/>
      <c r="K198" s="50"/>
      <c r="L198" s="50"/>
      <c r="M198" s="50"/>
      <c r="N198" s="50"/>
      <c r="O198" s="50"/>
      <c r="P198" s="50"/>
      <c r="Q198" s="50"/>
      <c r="R198" s="50"/>
      <c r="S198" s="50"/>
      <c r="T198" s="50"/>
      <c r="U198" s="50"/>
      <c r="V198" s="50"/>
      <c r="W198" s="50"/>
      <c r="X198" s="50"/>
      <c r="Y198" s="50"/>
      <c r="Z198" s="50"/>
      <c r="AA198" s="50"/>
      <c r="AB198" s="50"/>
    </row>
    <row r="199" customFormat="false" ht="15.75" hidden="false" customHeight="false" outlineLevel="0" collapsed="false">
      <c r="A199" s="50"/>
      <c r="B199" s="50"/>
      <c r="C199" s="5"/>
      <c r="D199" s="48"/>
      <c r="E199" s="50"/>
      <c r="F199" s="5"/>
      <c r="G199" s="5"/>
      <c r="H199" s="5"/>
      <c r="I199" s="5"/>
      <c r="J199" s="5"/>
      <c r="K199" s="50"/>
      <c r="L199" s="50"/>
      <c r="M199" s="50"/>
      <c r="N199" s="50"/>
      <c r="O199" s="50"/>
      <c r="P199" s="50"/>
      <c r="Q199" s="50"/>
      <c r="R199" s="50"/>
      <c r="S199" s="50"/>
      <c r="T199" s="50"/>
      <c r="U199" s="50"/>
      <c r="V199" s="50"/>
      <c r="W199" s="50"/>
      <c r="X199" s="50"/>
      <c r="Y199" s="50"/>
      <c r="Z199" s="50"/>
      <c r="AA199" s="50"/>
      <c r="AB199" s="50"/>
    </row>
    <row r="200" customFormat="false" ht="15.75" hidden="false" customHeight="false" outlineLevel="0" collapsed="false">
      <c r="A200" s="50"/>
      <c r="B200" s="50"/>
      <c r="C200" s="5"/>
      <c r="D200" s="48"/>
      <c r="E200" s="50"/>
      <c r="F200" s="5"/>
      <c r="G200" s="5"/>
      <c r="H200" s="5"/>
      <c r="I200" s="5"/>
      <c r="J200" s="5"/>
      <c r="K200" s="50"/>
      <c r="L200" s="50"/>
      <c r="M200" s="50"/>
      <c r="N200" s="50"/>
      <c r="O200" s="50"/>
      <c r="P200" s="50"/>
      <c r="Q200" s="50"/>
      <c r="R200" s="50"/>
      <c r="S200" s="50"/>
      <c r="T200" s="50"/>
      <c r="U200" s="50"/>
      <c r="V200" s="50"/>
      <c r="W200" s="50"/>
      <c r="X200" s="50"/>
      <c r="Y200" s="50"/>
      <c r="Z200" s="50"/>
      <c r="AA200" s="50"/>
      <c r="AB200" s="50"/>
    </row>
    <row r="201" customFormat="false" ht="15.75" hidden="false" customHeight="false" outlineLevel="0" collapsed="false">
      <c r="A201" s="50"/>
      <c r="B201" s="50"/>
      <c r="C201" s="5"/>
      <c r="D201" s="48"/>
      <c r="E201" s="50"/>
      <c r="F201" s="5"/>
      <c r="G201" s="5"/>
      <c r="H201" s="5"/>
      <c r="I201" s="5"/>
      <c r="J201" s="5"/>
      <c r="K201" s="50"/>
      <c r="L201" s="50"/>
      <c r="M201" s="50"/>
      <c r="N201" s="50"/>
      <c r="O201" s="50"/>
      <c r="P201" s="50"/>
      <c r="Q201" s="50"/>
      <c r="R201" s="50"/>
      <c r="S201" s="50"/>
      <c r="T201" s="50"/>
      <c r="U201" s="50"/>
      <c r="V201" s="50"/>
      <c r="W201" s="50"/>
      <c r="X201" s="50"/>
      <c r="Y201" s="50"/>
      <c r="Z201" s="50"/>
      <c r="AA201" s="50"/>
      <c r="AB201" s="50"/>
    </row>
    <row r="202" customFormat="false" ht="15.75" hidden="false" customHeight="false" outlineLevel="0" collapsed="false">
      <c r="A202" s="50"/>
      <c r="B202" s="50"/>
      <c r="C202" s="5"/>
      <c r="D202" s="48"/>
      <c r="E202" s="50"/>
      <c r="F202" s="5"/>
      <c r="G202" s="5"/>
      <c r="H202" s="5"/>
      <c r="I202" s="5"/>
      <c r="J202" s="5"/>
      <c r="K202" s="50"/>
      <c r="L202" s="50"/>
      <c r="M202" s="50"/>
      <c r="N202" s="50"/>
      <c r="O202" s="50"/>
      <c r="P202" s="50"/>
      <c r="Q202" s="50"/>
      <c r="R202" s="50"/>
      <c r="S202" s="50"/>
      <c r="T202" s="50"/>
      <c r="U202" s="50"/>
      <c r="V202" s="50"/>
      <c r="W202" s="50"/>
      <c r="X202" s="50"/>
      <c r="Y202" s="50"/>
      <c r="Z202" s="50"/>
      <c r="AA202" s="50"/>
      <c r="AB202" s="50"/>
    </row>
    <row r="203" customFormat="false" ht="15.75" hidden="false" customHeight="false" outlineLevel="0" collapsed="false">
      <c r="A203" s="50"/>
      <c r="B203" s="50"/>
      <c r="C203" s="5"/>
      <c r="D203" s="48"/>
      <c r="E203" s="50"/>
      <c r="F203" s="5"/>
      <c r="G203" s="5"/>
      <c r="H203" s="5"/>
      <c r="I203" s="5"/>
      <c r="J203" s="5"/>
      <c r="K203" s="50"/>
      <c r="L203" s="50"/>
      <c r="M203" s="50"/>
      <c r="N203" s="50"/>
      <c r="O203" s="50"/>
      <c r="P203" s="50"/>
      <c r="Q203" s="50"/>
      <c r="R203" s="50"/>
      <c r="S203" s="50"/>
      <c r="T203" s="50"/>
      <c r="U203" s="50"/>
      <c r="V203" s="50"/>
      <c r="W203" s="50"/>
      <c r="X203" s="50"/>
      <c r="Y203" s="50"/>
      <c r="Z203" s="50"/>
      <c r="AA203" s="50"/>
      <c r="AB203" s="50"/>
    </row>
    <row r="204" customFormat="false" ht="15.75" hidden="false" customHeight="false" outlineLevel="0" collapsed="false">
      <c r="A204" s="50"/>
      <c r="B204" s="50"/>
      <c r="C204" s="5"/>
      <c r="D204" s="48"/>
      <c r="E204" s="50"/>
      <c r="F204" s="5"/>
      <c r="G204" s="5"/>
      <c r="H204" s="5"/>
      <c r="I204" s="5"/>
      <c r="J204" s="5"/>
      <c r="K204" s="50"/>
      <c r="L204" s="50"/>
      <c r="M204" s="50"/>
      <c r="N204" s="50"/>
      <c r="O204" s="50"/>
      <c r="P204" s="50"/>
      <c r="Q204" s="50"/>
      <c r="R204" s="50"/>
      <c r="S204" s="50"/>
      <c r="T204" s="50"/>
      <c r="U204" s="50"/>
      <c r="V204" s="50"/>
      <c r="W204" s="50"/>
      <c r="X204" s="50"/>
      <c r="Y204" s="50"/>
      <c r="Z204" s="50"/>
      <c r="AA204" s="50"/>
      <c r="AB204" s="50"/>
    </row>
    <row r="205" customFormat="false" ht="15.75" hidden="false" customHeight="false" outlineLevel="0" collapsed="false">
      <c r="A205" s="50"/>
      <c r="B205" s="50"/>
      <c r="C205" s="5"/>
      <c r="D205" s="48"/>
      <c r="E205" s="50"/>
      <c r="F205" s="5"/>
      <c r="G205" s="5"/>
      <c r="H205" s="5"/>
      <c r="I205" s="5"/>
      <c r="J205" s="5"/>
      <c r="K205" s="50"/>
      <c r="L205" s="50"/>
      <c r="M205" s="50"/>
      <c r="N205" s="50"/>
      <c r="O205" s="50"/>
      <c r="P205" s="50"/>
      <c r="Q205" s="50"/>
      <c r="R205" s="50"/>
      <c r="S205" s="50"/>
      <c r="T205" s="50"/>
      <c r="U205" s="50"/>
      <c r="V205" s="50"/>
      <c r="W205" s="50"/>
      <c r="X205" s="50"/>
      <c r="Y205" s="50"/>
      <c r="Z205" s="50"/>
      <c r="AA205" s="50"/>
      <c r="AB205" s="50"/>
    </row>
    <row r="206" customFormat="false" ht="15.75" hidden="false" customHeight="false" outlineLevel="0" collapsed="false">
      <c r="A206" s="50"/>
      <c r="B206" s="50"/>
      <c r="C206" s="5"/>
      <c r="D206" s="48"/>
      <c r="E206" s="50"/>
      <c r="F206" s="5"/>
      <c r="G206" s="5"/>
      <c r="H206" s="5"/>
      <c r="I206" s="5"/>
      <c r="J206" s="5"/>
      <c r="K206" s="50"/>
      <c r="L206" s="50"/>
      <c r="M206" s="50"/>
      <c r="N206" s="50"/>
      <c r="O206" s="50"/>
      <c r="P206" s="50"/>
      <c r="Q206" s="50"/>
      <c r="R206" s="50"/>
      <c r="S206" s="50"/>
      <c r="T206" s="50"/>
      <c r="U206" s="50"/>
      <c r="V206" s="50"/>
      <c r="W206" s="50"/>
      <c r="X206" s="50"/>
      <c r="Y206" s="50"/>
      <c r="Z206" s="50"/>
      <c r="AA206" s="50"/>
      <c r="AB206" s="50"/>
    </row>
    <row r="207" customFormat="false" ht="15.75" hidden="false" customHeight="false" outlineLevel="0" collapsed="false">
      <c r="A207" s="50"/>
      <c r="B207" s="50"/>
      <c r="C207" s="5"/>
      <c r="D207" s="48"/>
      <c r="E207" s="50"/>
      <c r="F207" s="5"/>
      <c r="G207" s="5"/>
      <c r="H207" s="5"/>
      <c r="I207" s="5"/>
      <c r="J207" s="5"/>
      <c r="K207" s="50"/>
      <c r="L207" s="50"/>
      <c r="M207" s="50"/>
      <c r="N207" s="50"/>
      <c r="O207" s="50"/>
      <c r="P207" s="50"/>
      <c r="Q207" s="50"/>
      <c r="R207" s="50"/>
      <c r="S207" s="50"/>
      <c r="T207" s="50"/>
      <c r="U207" s="50"/>
      <c r="V207" s="50"/>
      <c r="W207" s="50"/>
      <c r="X207" s="50"/>
      <c r="Y207" s="50"/>
      <c r="Z207" s="50"/>
      <c r="AA207" s="50"/>
      <c r="AB207" s="50"/>
    </row>
    <row r="208" customFormat="false" ht="15.75" hidden="false" customHeight="false" outlineLevel="0" collapsed="false">
      <c r="A208" s="50"/>
      <c r="B208" s="50"/>
      <c r="C208" s="5"/>
      <c r="D208" s="48"/>
      <c r="E208" s="50"/>
      <c r="F208" s="5"/>
      <c r="G208" s="5"/>
      <c r="H208" s="5"/>
      <c r="I208" s="5"/>
      <c r="J208" s="5"/>
      <c r="K208" s="50"/>
      <c r="L208" s="50"/>
      <c r="M208" s="50"/>
      <c r="N208" s="50"/>
      <c r="O208" s="50"/>
      <c r="P208" s="50"/>
      <c r="Q208" s="50"/>
      <c r="R208" s="50"/>
      <c r="S208" s="50"/>
      <c r="T208" s="50"/>
      <c r="U208" s="50"/>
      <c r="V208" s="50"/>
      <c r="W208" s="50"/>
      <c r="X208" s="50"/>
      <c r="Y208" s="50"/>
      <c r="Z208" s="50"/>
      <c r="AA208" s="50"/>
      <c r="AB208" s="50"/>
    </row>
    <row r="209" customFormat="false" ht="15.75" hidden="false" customHeight="false" outlineLevel="0" collapsed="false">
      <c r="A209" s="50"/>
      <c r="B209" s="50"/>
      <c r="C209" s="5"/>
      <c r="D209" s="48"/>
      <c r="E209" s="50"/>
      <c r="F209" s="5"/>
      <c r="G209" s="5"/>
      <c r="H209" s="5"/>
      <c r="I209" s="5"/>
      <c r="J209" s="5"/>
      <c r="K209" s="50"/>
      <c r="L209" s="50"/>
      <c r="M209" s="50"/>
      <c r="N209" s="50"/>
      <c r="O209" s="50"/>
      <c r="P209" s="50"/>
      <c r="Q209" s="50"/>
      <c r="R209" s="50"/>
      <c r="S209" s="50"/>
      <c r="T209" s="50"/>
      <c r="U209" s="50"/>
      <c r="V209" s="50"/>
      <c r="W209" s="50"/>
      <c r="X209" s="50"/>
      <c r="Y209" s="50"/>
      <c r="Z209" s="50"/>
      <c r="AA209" s="50"/>
      <c r="AB209" s="50"/>
    </row>
    <row r="210" customFormat="false" ht="15.75" hidden="false" customHeight="false" outlineLevel="0" collapsed="false">
      <c r="A210" s="50"/>
      <c r="B210" s="50"/>
      <c r="C210" s="5"/>
      <c r="D210" s="48"/>
      <c r="E210" s="50"/>
      <c r="F210" s="5"/>
      <c r="G210" s="5"/>
      <c r="H210" s="5"/>
      <c r="I210" s="5"/>
      <c r="J210" s="5"/>
      <c r="K210" s="50"/>
      <c r="L210" s="50"/>
      <c r="M210" s="50"/>
      <c r="N210" s="50"/>
      <c r="O210" s="50"/>
      <c r="P210" s="50"/>
      <c r="Q210" s="50"/>
      <c r="R210" s="50"/>
      <c r="S210" s="50"/>
      <c r="T210" s="50"/>
      <c r="U210" s="50"/>
      <c r="V210" s="50"/>
      <c r="W210" s="50"/>
      <c r="X210" s="50"/>
      <c r="Y210" s="50"/>
      <c r="Z210" s="50"/>
      <c r="AA210" s="50"/>
      <c r="AB210" s="50"/>
    </row>
    <row r="211" customFormat="false" ht="15.75" hidden="false" customHeight="false" outlineLevel="0" collapsed="false">
      <c r="A211" s="50"/>
      <c r="B211" s="50"/>
      <c r="C211" s="5"/>
      <c r="D211" s="48"/>
      <c r="E211" s="50"/>
      <c r="F211" s="5"/>
      <c r="G211" s="5"/>
      <c r="H211" s="5"/>
      <c r="I211" s="5"/>
      <c r="J211" s="5"/>
      <c r="K211" s="50"/>
      <c r="L211" s="50"/>
      <c r="M211" s="50"/>
      <c r="N211" s="50"/>
      <c r="O211" s="50"/>
      <c r="P211" s="50"/>
      <c r="Q211" s="50"/>
      <c r="R211" s="50"/>
      <c r="S211" s="50"/>
      <c r="T211" s="50"/>
      <c r="U211" s="50"/>
      <c r="V211" s="50"/>
      <c r="W211" s="50"/>
      <c r="X211" s="50"/>
      <c r="Y211" s="50"/>
      <c r="Z211" s="50"/>
      <c r="AA211" s="50"/>
      <c r="AB211" s="50"/>
    </row>
    <row r="212" customFormat="false" ht="15.75" hidden="false" customHeight="false" outlineLevel="0" collapsed="false">
      <c r="A212" s="50"/>
      <c r="B212" s="50"/>
      <c r="C212" s="5"/>
      <c r="D212" s="48"/>
      <c r="E212" s="50"/>
      <c r="F212" s="5"/>
      <c r="G212" s="5"/>
      <c r="H212" s="5"/>
      <c r="I212" s="5"/>
      <c r="J212" s="5"/>
      <c r="K212" s="50"/>
      <c r="L212" s="50"/>
      <c r="M212" s="50"/>
      <c r="N212" s="50"/>
      <c r="O212" s="50"/>
      <c r="P212" s="50"/>
      <c r="Q212" s="50"/>
      <c r="R212" s="50"/>
      <c r="S212" s="50"/>
      <c r="T212" s="50"/>
      <c r="U212" s="50"/>
      <c r="V212" s="50"/>
      <c r="W212" s="50"/>
      <c r="X212" s="50"/>
      <c r="Y212" s="50"/>
      <c r="Z212" s="50"/>
      <c r="AA212" s="50"/>
      <c r="AB212" s="50"/>
    </row>
    <row r="213" customFormat="false" ht="15.75" hidden="false" customHeight="false" outlineLevel="0" collapsed="false">
      <c r="A213" s="50"/>
      <c r="B213" s="50"/>
      <c r="C213" s="5"/>
      <c r="D213" s="48"/>
      <c r="E213" s="50"/>
      <c r="F213" s="5"/>
      <c r="G213" s="5"/>
      <c r="H213" s="5"/>
      <c r="I213" s="5"/>
      <c r="J213" s="5"/>
      <c r="K213" s="50"/>
      <c r="L213" s="50"/>
      <c r="M213" s="50"/>
      <c r="N213" s="50"/>
      <c r="O213" s="50"/>
      <c r="P213" s="50"/>
      <c r="Q213" s="50"/>
      <c r="R213" s="50"/>
      <c r="S213" s="50"/>
      <c r="T213" s="50"/>
      <c r="U213" s="50"/>
      <c r="V213" s="50"/>
      <c r="W213" s="50"/>
      <c r="X213" s="50"/>
      <c r="Y213" s="50"/>
      <c r="Z213" s="50"/>
      <c r="AA213" s="50"/>
      <c r="AB213" s="50"/>
    </row>
    <row r="214" customFormat="false" ht="15.75" hidden="false" customHeight="false" outlineLevel="0" collapsed="false">
      <c r="A214" s="50"/>
      <c r="B214" s="50"/>
      <c r="C214" s="5"/>
      <c r="D214" s="48"/>
      <c r="E214" s="50"/>
      <c r="F214" s="5"/>
      <c r="G214" s="5"/>
      <c r="H214" s="5"/>
      <c r="I214" s="5"/>
      <c r="J214" s="5"/>
      <c r="K214" s="50"/>
      <c r="L214" s="50"/>
      <c r="M214" s="50"/>
      <c r="N214" s="50"/>
      <c r="O214" s="50"/>
      <c r="P214" s="50"/>
      <c r="Q214" s="50"/>
      <c r="R214" s="50"/>
      <c r="S214" s="50"/>
      <c r="T214" s="50"/>
      <c r="U214" s="50"/>
      <c r="V214" s="50"/>
      <c r="W214" s="50"/>
      <c r="X214" s="50"/>
      <c r="Y214" s="50"/>
      <c r="Z214" s="50"/>
      <c r="AA214" s="50"/>
      <c r="AB214" s="50"/>
    </row>
    <row r="215" customFormat="false" ht="15.75" hidden="false" customHeight="false" outlineLevel="0" collapsed="false">
      <c r="A215" s="50"/>
      <c r="B215" s="50"/>
      <c r="C215" s="5"/>
      <c r="D215" s="48"/>
      <c r="E215" s="50"/>
      <c r="F215" s="5"/>
      <c r="G215" s="5"/>
      <c r="H215" s="5"/>
      <c r="I215" s="5"/>
      <c r="J215" s="5"/>
      <c r="K215" s="50"/>
      <c r="L215" s="50"/>
      <c r="M215" s="50"/>
      <c r="N215" s="50"/>
      <c r="O215" s="50"/>
      <c r="P215" s="50"/>
      <c r="Q215" s="50"/>
      <c r="R215" s="50"/>
      <c r="S215" s="50"/>
      <c r="T215" s="50"/>
      <c r="U215" s="50"/>
      <c r="V215" s="50"/>
      <c r="W215" s="50"/>
      <c r="X215" s="50"/>
      <c r="Y215" s="50"/>
      <c r="Z215" s="50"/>
      <c r="AA215" s="50"/>
      <c r="AB215" s="50"/>
    </row>
    <row r="216" customFormat="false" ht="15.75" hidden="false" customHeight="false" outlineLevel="0" collapsed="false">
      <c r="A216" s="50"/>
      <c r="B216" s="50"/>
      <c r="C216" s="5"/>
      <c r="D216" s="48"/>
      <c r="E216" s="50"/>
      <c r="F216" s="5"/>
      <c r="G216" s="5"/>
      <c r="H216" s="5"/>
      <c r="I216" s="5"/>
      <c r="J216" s="5"/>
      <c r="K216" s="50"/>
      <c r="L216" s="50"/>
      <c r="M216" s="50"/>
      <c r="N216" s="50"/>
      <c r="O216" s="50"/>
      <c r="P216" s="50"/>
      <c r="Q216" s="50"/>
      <c r="R216" s="50"/>
      <c r="S216" s="50"/>
      <c r="T216" s="50"/>
      <c r="U216" s="50"/>
      <c r="V216" s="50"/>
      <c r="W216" s="50"/>
      <c r="X216" s="50"/>
      <c r="Y216" s="50"/>
      <c r="Z216" s="50"/>
      <c r="AA216" s="50"/>
      <c r="AB216" s="50"/>
    </row>
    <row r="217" customFormat="false" ht="15.75" hidden="false" customHeight="false" outlineLevel="0" collapsed="false">
      <c r="A217" s="50"/>
      <c r="B217" s="50"/>
      <c r="C217" s="5"/>
      <c r="D217" s="48"/>
      <c r="E217" s="50"/>
      <c r="F217" s="5"/>
      <c r="G217" s="5"/>
      <c r="H217" s="5"/>
      <c r="I217" s="5"/>
      <c r="J217" s="5"/>
      <c r="K217" s="50"/>
      <c r="L217" s="50"/>
      <c r="M217" s="50"/>
      <c r="N217" s="50"/>
      <c r="O217" s="50"/>
      <c r="P217" s="50"/>
      <c r="Q217" s="50"/>
      <c r="R217" s="50"/>
      <c r="S217" s="50"/>
      <c r="T217" s="50"/>
      <c r="U217" s="50"/>
      <c r="V217" s="50"/>
      <c r="W217" s="50"/>
      <c r="X217" s="50"/>
      <c r="Y217" s="50"/>
      <c r="Z217" s="50"/>
      <c r="AA217" s="50"/>
      <c r="AB217" s="50"/>
    </row>
    <row r="218" customFormat="false" ht="15.75" hidden="false" customHeight="false" outlineLevel="0" collapsed="false">
      <c r="A218" s="50"/>
      <c r="B218" s="50"/>
      <c r="C218" s="5"/>
      <c r="D218" s="48"/>
      <c r="E218" s="50"/>
      <c r="F218" s="5"/>
      <c r="G218" s="5"/>
      <c r="H218" s="5"/>
      <c r="I218" s="5"/>
      <c r="J218" s="5"/>
      <c r="K218" s="50"/>
      <c r="L218" s="50"/>
      <c r="M218" s="50"/>
      <c r="N218" s="50"/>
      <c r="O218" s="50"/>
      <c r="P218" s="50"/>
      <c r="Q218" s="50"/>
      <c r="R218" s="50"/>
      <c r="S218" s="50"/>
      <c r="T218" s="50"/>
      <c r="U218" s="50"/>
      <c r="V218" s="50"/>
      <c r="W218" s="50"/>
      <c r="X218" s="50"/>
      <c r="Y218" s="50"/>
      <c r="Z218" s="50"/>
      <c r="AA218" s="50"/>
      <c r="AB218" s="50"/>
    </row>
    <row r="219" customFormat="false" ht="15.75" hidden="false" customHeight="false" outlineLevel="0" collapsed="false">
      <c r="A219" s="50"/>
      <c r="B219" s="50"/>
      <c r="C219" s="5"/>
      <c r="D219" s="48"/>
      <c r="E219" s="50"/>
      <c r="F219" s="5"/>
      <c r="G219" s="5"/>
      <c r="H219" s="5"/>
      <c r="I219" s="5"/>
      <c r="J219" s="5"/>
      <c r="K219" s="50"/>
      <c r="L219" s="50"/>
      <c r="M219" s="50"/>
      <c r="N219" s="50"/>
      <c r="O219" s="50"/>
      <c r="P219" s="50"/>
      <c r="Q219" s="50"/>
      <c r="R219" s="50"/>
      <c r="S219" s="50"/>
      <c r="T219" s="50"/>
      <c r="U219" s="50"/>
      <c r="V219" s="50"/>
      <c r="W219" s="50"/>
      <c r="X219" s="50"/>
      <c r="Y219" s="50"/>
      <c r="Z219" s="50"/>
      <c r="AA219" s="50"/>
      <c r="AB219" s="50"/>
    </row>
    <row r="220" customFormat="false" ht="15.75" hidden="false" customHeight="false" outlineLevel="0" collapsed="false">
      <c r="A220" s="50"/>
      <c r="B220" s="50"/>
      <c r="C220" s="5"/>
      <c r="D220" s="48"/>
      <c r="E220" s="50"/>
      <c r="F220" s="5"/>
      <c r="G220" s="5"/>
      <c r="H220" s="5"/>
      <c r="I220" s="5"/>
      <c r="J220" s="5"/>
      <c r="K220" s="50"/>
      <c r="L220" s="50"/>
      <c r="M220" s="50"/>
      <c r="N220" s="50"/>
      <c r="O220" s="50"/>
      <c r="P220" s="50"/>
      <c r="Q220" s="50"/>
      <c r="R220" s="50"/>
      <c r="S220" s="50"/>
      <c r="T220" s="50"/>
      <c r="U220" s="50"/>
      <c r="V220" s="50"/>
      <c r="W220" s="50"/>
      <c r="X220" s="50"/>
      <c r="Y220" s="50"/>
      <c r="Z220" s="50"/>
      <c r="AA220" s="50"/>
      <c r="AB220" s="50"/>
    </row>
    <row r="221" customFormat="false" ht="15.75" hidden="false" customHeight="false" outlineLevel="0" collapsed="false">
      <c r="A221" s="50"/>
      <c r="B221" s="50"/>
      <c r="C221" s="5"/>
      <c r="D221" s="48"/>
      <c r="E221" s="50"/>
      <c r="F221" s="5"/>
      <c r="G221" s="5"/>
      <c r="H221" s="5"/>
      <c r="I221" s="5"/>
      <c r="J221" s="5"/>
      <c r="K221" s="50"/>
      <c r="L221" s="50"/>
      <c r="M221" s="50"/>
      <c r="N221" s="50"/>
      <c r="O221" s="50"/>
      <c r="P221" s="50"/>
      <c r="Q221" s="50"/>
      <c r="R221" s="50"/>
      <c r="S221" s="50"/>
      <c r="T221" s="50"/>
      <c r="U221" s="50"/>
      <c r="V221" s="50"/>
      <c r="W221" s="50"/>
      <c r="X221" s="50"/>
      <c r="Y221" s="50"/>
      <c r="Z221" s="50"/>
      <c r="AA221" s="50"/>
      <c r="AB221" s="50"/>
    </row>
    <row r="222" customFormat="false" ht="15.75" hidden="false" customHeight="false" outlineLevel="0" collapsed="false">
      <c r="A222" s="50"/>
      <c r="B222" s="50"/>
      <c r="C222" s="5"/>
      <c r="D222" s="48"/>
      <c r="E222" s="50"/>
      <c r="F222" s="5"/>
      <c r="G222" s="5"/>
      <c r="H222" s="5"/>
      <c r="I222" s="5"/>
      <c r="J222" s="5"/>
      <c r="K222" s="50"/>
      <c r="L222" s="50"/>
      <c r="M222" s="50"/>
      <c r="N222" s="50"/>
      <c r="O222" s="50"/>
      <c r="P222" s="50"/>
      <c r="Q222" s="50"/>
      <c r="R222" s="50"/>
      <c r="S222" s="50"/>
      <c r="T222" s="50"/>
      <c r="U222" s="50"/>
      <c r="V222" s="50"/>
      <c r="W222" s="50"/>
      <c r="X222" s="50"/>
      <c r="Y222" s="50"/>
      <c r="Z222" s="50"/>
      <c r="AA222" s="50"/>
      <c r="AB222" s="50"/>
    </row>
    <row r="223" customFormat="false" ht="15.75" hidden="false" customHeight="false" outlineLevel="0" collapsed="false">
      <c r="A223" s="50"/>
      <c r="B223" s="50"/>
      <c r="C223" s="5"/>
      <c r="D223" s="48"/>
      <c r="E223" s="50"/>
      <c r="F223" s="5"/>
      <c r="G223" s="5"/>
      <c r="H223" s="5"/>
      <c r="I223" s="5"/>
      <c r="J223" s="5"/>
      <c r="K223" s="50"/>
      <c r="L223" s="50"/>
      <c r="M223" s="50"/>
      <c r="N223" s="50"/>
      <c r="O223" s="50"/>
      <c r="P223" s="50"/>
      <c r="Q223" s="50"/>
      <c r="R223" s="50"/>
      <c r="S223" s="50"/>
      <c r="T223" s="50"/>
      <c r="U223" s="50"/>
      <c r="V223" s="50"/>
      <c r="W223" s="50"/>
      <c r="X223" s="50"/>
      <c r="Y223" s="50"/>
      <c r="Z223" s="50"/>
      <c r="AA223" s="50"/>
      <c r="AB223" s="50"/>
    </row>
    <row r="224" customFormat="false" ht="15.75" hidden="false" customHeight="false" outlineLevel="0" collapsed="false">
      <c r="A224" s="50"/>
      <c r="B224" s="50"/>
      <c r="C224" s="5"/>
      <c r="D224" s="48"/>
      <c r="E224" s="50"/>
      <c r="F224" s="5"/>
      <c r="G224" s="5"/>
      <c r="H224" s="5"/>
      <c r="I224" s="5"/>
      <c r="J224" s="5"/>
      <c r="K224" s="50"/>
      <c r="L224" s="50"/>
      <c r="M224" s="50"/>
      <c r="N224" s="50"/>
      <c r="O224" s="50"/>
      <c r="P224" s="50"/>
      <c r="Q224" s="50"/>
      <c r="R224" s="50"/>
      <c r="S224" s="50"/>
      <c r="T224" s="50"/>
      <c r="U224" s="50"/>
      <c r="V224" s="50"/>
      <c r="W224" s="50"/>
      <c r="X224" s="50"/>
      <c r="Y224" s="50"/>
      <c r="Z224" s="50"/>
      <c r="AA224" s="50"/>
      <c r="AB224" s="50"/>
    </row>
    <row r="225" customFormat="false" ht="15.75" hidden="false" customHeight="false" outlineLevel="0" collapsed="false">
      <c r="A225" s="50"/>
      <c r="B225" s="50"/>
      <c r="C225" s="5"/>
      <c r="D225" s="48"/>
      <c r="E225" s="50"/>
      <c r="F225" s="5"/>
      <c r="G225" s="5"/>
      <c r="H225" s="5"/>
      <c r="I225" s="5"/>
      <c r="J225" s="5"/>
      <c r="K225" s="50"/>
      <c r="L225" s="50"/>
      <c r="M225" s="50"/>
      <c r="N225" s="50"/>
      <c r="O225" s="50"/>
      <c r="P225" s="50"/>
      <c r="Q225" s="50"/>
      <c r="R225" s="50"/>
      <c r="S225" s="50"/>
      <c r="T225" s="50"/>
      <c r="U225" s="50"/>
      <c r="V225" s="50"/>
      <c r="W225" s="50"/>
      <c r="X225" s="50"/>
      <c r="Y225" s="50"/>
      <c r="Z225" s="50"/>
      <c r="AA225" s="50"/>
      <c r="AB225" s="50"/>
    </row>
    <row r="226" customFormat="false" ht="15.75" hidden="false" customHeight="false" outlineLevel="0" collapsed="false">
      <c r="A226" s="50"/>
      <c r="B226" s="50"/>
      <c r="C226" s="5"/>
      <c r="D226" s="48"/>
      <c r="E226" s="50"/>
      <c r="F226" s="5"/>
      <c r="G226" s="5"/>
      <c r="H226" s="5"/>
      <c r="I226" s="5"/>
      <c r="J226" s="5"/>
      <c r="K226" s="50"/>
      <c r="L226" s="50"/>
      <c r="M226" s="50"/>
      <c r="N226" s="50"/>
      <c r="O226" s="50"/>
      <c r="P226" s="50"/>
      <c r="Q226" s="50"/>
      <c r="R226" s="50"/>
      <c r="S226" s="50"/>
      <c r="T226" s="50"/>
      <c r="U226" s="50"/>
      <c r="V226" s="50"/>
      <c r="W226" s="50"/>
      <c r="X226" s="50"/>
      <c r="Y226" s="50"/>
      <c r="Z226" s="50"/>
      <c r="AA226" s="50"/>
      <c r="AB226" s="50"/>
    </row>
    <row r="227" customFormat="false" ht="15.75" hidden="false" customHeight="false" outlineLevel="0" collapsed="false">
      <c r="A227" s="50"/>
      <c r="B227" s="50"/>
      <c r="C227" s="5"/>
      <c r="D227" s="48"/>
      <c r="E227" s="50"/>
      <c r="F227" s="5"/>
      <c r="G227" s="5"/>
      <c r="H227" s="5"/>
      <c r="I227" s="5"/>
      <c r="J227" s="5"/>
      <c r="K227" s="50"/>
      <c r="L227" s="50"/>
      <c r="M227" s="50"/>
      <c r="N227" s="50"/>
      <c r="O227" s="50"/>
      <c r="P227" s="50"/>
      <c r="Q227" s="50"/>
      <c r="R227" s="50"/>
      <c r="S227" s="50"/>
      <c r="T227" s="50"/>
      <c r="U227" s="50"/>
      <c r="V227" s="50"/>
      <c r="W227" s="50"/>
      <c r="X227" s="50"/>
      <c r="Y227" s="50"/>
      <c r="Z227" s="50"/>
      <c r="AA227" s="50"/>
      <c r="AB227" s="50"/>
    </row>
    <row r="228" customFormat="false" ht="15.75" hidden="false" customHeight="false" outlineLevel="0" collapsed="false">
      <c r="A228" s="50"/>
      <c r="B228" s="50"/>
      <c r="C228" s="5"/>
      <c r="D228" s="48"/>
      <c r="E228" s="50"/>
      <c r="F228" s="5"/>
      <c r="G228" s="5"/>
      <c r="H228" s="5"/>
      <c r="I228" s="5"/>
      <c r="J228" s="5"/>
      <c r="K228" s="50"/>
      <c r="L228" s="50"/>
      <c r="M228" s="50"/>
      <c r="N228" s="50"/>
      <c r="O228" s="50"/>
      <c r="P228" s="50"/>
      <c r="Q228" s="50"/>
      <c r="R228" s="50"/>
      <c r="S228" s="50"/>
      <c r="T228" s="50"/>
      <c r="U228" s="50"/>
      <c r="V228" s="50"/>
      <c r="W228" s="50"/>
      <c r="X228" s="50"/>
      <c r="Y228" s="50"/>
      <c r="Z228" s="50"/>
      <c r="AA228" s="50"/>
      <c r="AB228" s="50"/>
    </row>
    <row r="229" customFormat="false" ht="15.75" hidden="false" customHeight="false" outlineLevel="0" collapsed="false">
      <c r="A229" s="50"/>
      <c r="B229" s="50"/>
      <c r="C229" s="5"/>
      <c r="D229" s="48"/>
      <c r="E229" s="50"/>
      <c r="F229" s="5"/>
      <c r="G229" s="5"/>
      <c r="H229" s="5"/>
      <c r="I229" s="5"/>
      <c r="J229" s="5"/>
      <c r="K229" s="50"/>
      <c r="L229" s="50"/>
      <c r="M229" s="50"/>
      <c r="N229" s="50"/>
      <c r="O229" s="50"/>
      <c r="P229" s="50"/>
      <c r="Q229" s="50"/>
      <c r="R229" s="50"/>
      <c r="S229" s="50"/>
      <c r="T229" s="50"/>
      <c r="U229" s="50"/>
      <c r="V229" s="50"/>
      <c r="W229" s="50"/>
      <c r="X229" s="50"/>
      <c r="Y229" s="50"/>
      <c r="Z229" s="50"/>
      <c r="AA229" s="50"/>
      <c r="AB229" s="50"/>
    </row>
    <row r="230" customFormat="false" ht="15.75" hidden="false" customHeight="false" outlineLevel="0" collapsed="false">
      <c r="A230" s="50"/>
      <c r="B230" s="50"/>
      <c r="C230" s="5"/>
      <c r="D230" s="48"/>
      <c r="E230" s="50"/>
      <c r="F230" s="5"/>
      <c r="G230" s="5"/>
      <c r="H230" s="5"/>
      <c r="I230" s="5"/>
      <c r="J230" s="5"/>
      <c r="K230" s="50"/>
      <c r="L230" s="50"/>
      <c r="M230" s="50"/>
      <c r="N230" s="50"/>
      <c r="O230" s="50"/>
      <c r="P230" s="50"/>
      <c r="Q230" s="50"/>
      <c r="R230" s="50"/>
      <c r="S230" s="50"/>
      <c r="T230" s="50"/>
      <c r="U230" s="50"/>
      <c r="V230" s="50"/>
      <c r="W230" s="50"/>
      <c r="X230" s="50"/>
      <c r="Y230" s="50"/>
      <c r="Z230" s="50"/>
      <c r="AA230" s="50"/>
      <c r="AB230" s="50"/>
    </row>
    <row r="231" customFormat="false" ht="15.75" hidden="false" customHeight="false" outlineLevel="0" collapsed="false">
      <c r="A231" s="50"/>
      <c r="B231" s="50"/>
      <c r="C231" s="5"/>
      <c r="D231" s="48"/>
      <c r="E231" s="50"/>
      <c r="F231" s="5"/>
      <c r="G231" s="5"/>
      <c r="H231" s="5"/>
      <c r="I231" s="5"/>
      <c r="J231" s="5"/>
      <c r="K231" s="50"/>
      <c r="L231" s="50"/>
      <c r="M231" s="50"/>
      <c r="N231" s="50"/>
      <c r="O231" s="50"/>
      <c r="P231" s="50"/>
      <c r="Q231" s="50"/>
      <c r="R231" s="50"/>
      <c r="S231" s="50"/>
      <c r="T231" s="50"/>
      <c r="U231" s="50"/>
      <c r="V231" s="50"/>
      <c r="W231" s="50"/>
      <c r="X231" s="50"/>
      <c r="Y231" s="50"/>
      <c r="Z231" s="50"/>
      <c r="AA231" s="50"/>
      <c r="AB231" s="50"/>
    </row>
    <row r="232" customFormat="false" ht="15.75" hidden="false" customHeight="false" outlineLevel="0" collapsed="false">
      <c r="A232" s="50"/>
      <c r="B232" s="50"/>
      <c r="C232" s="5"/>
      <c r="D232" s="48"/>
      <c r="E232" s="50"/>
      <c r="F232" s="5"/>
      <c r="G232" s="5"/>
      <c r="H232" s="5"/>
      <c r="I232" s="5"/>
      <c r="J232" s="5"/>
      <c r="K232" s="50"/>
      <c r="L232" s="50"/>
      <c r="M232" s="50"/>
      <c r="N232" s="50"/>
      <c r="O232" s="50"/>
      <c r="P232" s="50"/>
      <c r="Q232" s="50"/>
      <c r="R232" s="50"/>
      <c r="S232" s="50"/>
      <c r="T232" s="50"/>
      <c r="U232" s="50"/>
      <c r="V232" s="50"/>
      <c r="W232" s="50"/>
      <c r="X232" s="50"/>
      <c r="Y232" s="50"/>
      <c r="Z232" s="50"/>
      <c r="AA232" s="50"/>
      <c r="AB232" s="50"/>
    </row>
    <row r="233" customFormat="false" ht="15.75" hidden="false" customHeight="false" outlineLevel="0" collapsed="false">
      <c r="A233" s="50"/>
      <c r="B233" s="50"/>
      <c r="C233" s="5"/>
      <c r="D233" s="48"/>
      <c r="E233" s="50"/>
      <c r="F233" s="5"/>
      <c r="G233" s="5"/>
      <c r="H233" s="5"/>
      <c r="I233" s="5"/>
      <c r="J233" s="5"/>
      <c r="K233" s="50"/>
      <c r="L233" s="50"/>
      <c r="M233" s="50"/>
      <c r="N233" s="50"/>
      <c r="O233" s="50"/>
      <c r="P233" s="50"/>
      <c r="Q233" s="50"/>
      <c r="R233" s="50"/>
      <c r="S233" s="50"/>
      <c r="T233" s="50"/>
      <c r="U233" s="50"/>
      <c r="V233" s="50"/>
      <c r="W233" s="50"/>
      <c r="X233" s="50"/>
      <c r="Y233" s="50"/>
      <c r="Z233" s="50"/>
      <c r="AA233" s="50"/>
      <c r="AB233" s="50"/>
    </row>
    <row r="234" customFormat="false" ht="15.75" hidden="false" customHeight="false" outlineLevel="0" collapsed="false">
      <c r="A234" s="50"/>
      <c r="B234" s="50"/>
      <c r="C234" s="5"/>
      <c r="D234" s="48"/>
      <c r="E234" s="50"/>
      <c r="F234" s="5"/>
      <c r="G234" s="5"/>
      <c r="H234" s="5"/>
      <c r="I234" s="5"/>
      <c r="J234" s="5"/>
      <c r="K234" s="50"/>
      <c r="L234" s="50"/>
      <c r="M234" s="50"/>
      <c r="N234" s="50"/>
      <c r="O234" s="50"/>
      <c r="P234" s="50"/>
      <c r="Q234" s="50"/>
      <c r="R234" s="50"/>
      <c r="S234" s="50"/>
      <c r="T234" s="50"/>
      <c r="U234" s="50"/>
      <c r="V234" s="50"/>
      <c r="W234" s="50"/>
      <c r="X234" s="50"/>
      <c r="Y234" s="50"/>
      <c r="Z234" s="50"/>
      <c r="AA234" s="50"/>
      <c r="AB234" s="50"/>
    </row>
    <row r="235" customFormat="false" ht="15.75" hidden="false" customHeight="false" outlineLevel="0" collapsed="false">
      <c r="A235" s="50"/>
      <c r="B235" s="50"/>
      <c r="C235" s="5"/>
      <c r="D235" s="48"/>
      <c r="E235" s="50"/>
      <c r="F235" s="5"/>
      <c r="G235" s="5"/>
      <c r="H235" s="5"/>
      <c r="I235" s="5"/>
      <c r="J235" s="5"/>
      <c r="K235" s="50"/>
      <c r="L235" s="50"/>
      <c r="M235" s="50"/>
      <c r="N235" s="50"/>
      <c r="O235" s="50"/>
      <c r="P235" s="50"/>
      <c r="Q235" s="50"/>
      <c r="R235" s="50"/>
      <c r="S235" s="50"/>
      <c r="T235" s="50"/>
      <c r="U235" s="50"/>
      <c r="V235" s="50"/>
      <c r="W235" s="50"/>
      <c r="X235" s="50"/>
      <c r="Y235" s="50"/>
      <c r="Z235" s="50"/>
      <c r="AA235" s="50"/>
      <c r="AB235" s="50"/>
    </row>
    <row r="236" customFormat="false" ht="15.75" hidden="false" customHeight="false" outlineLevel="0" collapsed="false">
      <c r="A236" s="50"/>
      <c r="B236" s="50"/>
      <c r="C236" s="5"/>
      <c r="D236" s="48"/>
      <c r="E236" s="50"/>
      <c r="F236" s="5"/>
      <c r="G236" s="5"/>
      <c r="H236" s="5"/>
      <c r="I236" s="5"/>
      <c r="J236" s="5"/>
      <c r="K236" s="50"/>
      <c r="L236" s="50"/>
      <c r="M236" s="50"/>
      <c r="N236" s="50"/>
      <c r="O236" s="50"/>
      <c r="P236" s="50"/>
      <c r="Q236" s="50"/>
      <c r="R236" s="50"/>
      <c r="S236" s="50"/>
      <c r="T236" s="50"/>
      <c r="U236" s="50"/>
      <c r="V236" s="50"/>
      <c r="W236" s="50"/>
      <c r="X236" s="50"/>
      <c r="Y236" s="50"/>
      <c r="Z236" s="50"/>
      <c r="AA236" s="50"/>
      <c r="AB236" s="50"/>
    </row>
    <row r="237" customFormat="false" ht="15.75" hidden="false" customHeight="false" outlineLevel="0" collapsed="false">
      <c r="A237" s="50"/>
      <c r="B237" s="50"/>
      <c r="C237" s="5"/>
      <c r="D237" s="48"/>
      <c r="E237" s="50"/>
      <c r="F237" s="5"/>
      <c r="G237" s="5"/>
      <c r="H237" s="5"/>
      <c r="I237" s="5"/>
      <c r="J237" s="5"/>
      <c r="K237" s="50"/>
      <c r="L237" s="50"/>
      <c r="M237" s="50"/>
      <c r="N237" s="50"/>
      <c r="O237" s="50"/>
      <c r="P237" s="50"/>
      <c r="Q237" s="50"/>
      <c r="R237" s="50"/>
      <c r="S237" s="50"/>
      <c r="T237" s="50"/>
      <c r="U237" s="50"/>
      <c r="V237" s="50"/>
      <c r="W237" s="50"/>
      <c r="X237" s="50"/>
      <c r="Y237" s="50"/>
      <c r="Z237" s="50"/>
      <c r="AA237" s="50"/>
      <c r="AB237" s="50"/>
    </row>
    <row r="238" customFormat="false" ht="15.75" hidden="false" customHeight="false" outlineLevel="0" collapsed="false">
      <c r="A238" s="50"/>
      <c r="B238" s="50"/>
      <c r="C238" s="5"/>
      <c r="D238" s="48"/>
      <c r="E238" s="50"/>
      <c r="F238" s="5"/>
      <c r="G238" s="5"/>
      <c r="H238" s="5"/>
      <c r="I238" s="5"/>
      <c r="J238" s="5"/>
      <c r="K238" s="50"/>
      <c r="L238" s="50"/>
      <c r="M238" s="50"/>
      <c r="N238" s="50"/>
      <c r="O238" s="50"/>
      <c r="P238" s="50"/>
      <c r="Q238" s="50"/>
      <c r="R238" s="50"/>
      <c r="S238" s="50"/>
      <c r="T238" s="50"/>
      <c r="U238" s="50"/>
      <c r="V238" s="50"/>
      <c r="W238" s="50"/>
      <c r="X238" s="50"/>
      <c r="Y238" s="50"/>
      <c r="Z238" s="50"/>
      <c r="AA238" s="50"/>
      <c r="AB238" s="50"/>
    </row>
    <row r="239" customFormat="false" ht="15.75" hidden="false" customHeight="false" outlineLevel="0" collapsed="false">
      <c r="A239" s="50"/>
      <c r="B239" s="50"/>
      <c r="C239" s="5"/>
      <c r="D239" s="48"/>
      <c r="E239" s="50"/>
      <c r="F239" s="5"/>
      <c r="G239" s="5"/>
      <c r="H239" s="5"/>
      <c r="I239" s="5"/>
      <c r="J239" s="5"/>
      <c r="K239" s="50"/>
      <c r="L239" s="50"/>
      <c r="M239" s="50"/>
      <c r="N239" s="50"/>
      <c r="O239" s="50"/>
      <c r="P239" s="50"/>
      <c r="Q239" s="50"/>
      <c r="R239" s="50"/>
      <c r="S239" s="50"/>
      <c r="T239" s="50"/>
      <c r="U239" s="50"/>
      <c r="V239" s="50"/>
      <c r="W239" s="50"/>
      <c r="X239" s="50"/>
      <c r="Y239" s="50"/>
      <c r="Z239" s="50"/>
      <c r="AA239" s="50"/>
      <c r="AB239" s="50"/>
    </row>
    <row r="240" customFormat="false" ht="15.75" hidden="false" customHeight="false" outlineLevel="0" collapsed="false">
      <c r="A240" s="50"/>
      <c r="B240" s="50"/>
      <c r="C240" s="5"/>
      <c r="D240" s="48"/>
      <c r="E240" s="50"/>
      <c r="F240" s="5"/>
      <c r="G240" s="5"/>
      <c r="H240" s="5"/>
      <c r="I240" s="5"/>
      <c r="J240" s="5"/>
      <c r="K240" s="50"/>
      <c r="L240" s="50"/>
      <c r="M240" s="50"/>
      <c r="N240" s="50"/>
      <c r="O240" s="50"/>
      <c r="P240" s="50"/>
      <c r="Q240" s="50"/>
      <c r="R240" s="50"/>
      <c r="S240" s="50"/>
      <c r="T240" s="50"/>
      <c r="U240" s="50"/>
      <c r="V240" s="50"/>
      <c r="W240" s="50"/>
      <c r="X240" s="50"/>
      <c r="Y240" s="50"/>
      <c r="Z240" s="50"/>
      <c r="AA240" s="50"/>
      <c r="AB240" s="50"/>
    </row>
    <row r="241" customFormat="false" ht="15.75" hidden="false" customHeight="false" outlineLevel="0" collapsed="false">
      <c r="A241" s="50"/>
      <c r="B241" s="50"/>
      <c r="C241" s="5"/>
      <c r="D241" s="48"/>
      <c r="E241" s="50"/>
      <c r="F241" s="5"/>
      <c r="G241" s="5"/>
      <c r="H241" s="5"/>
      <c r="I241" s="5"/>
      <c r="J241" s="5"/>
      <c r="K241" s="50"/>
      <c r="L241" s="50"/>
      <c r="M241" s="50"/>
      <c r="N241" s="50"/>
      <c r="O241" s="50"/>
      <c r="P241" s="50"/>
      <c r="Q241" s="50"/>
      <c r="R241" s="50"/>
      <c r="S241" s="50"/>
      <c r="T241" s="50"/>
      <c r="U241" s="50"/>
      <c r="V241" s="50"/>
      <c r="W241" s="50"/>
      <c r="X241" s="50"/>
      <c r="Y241" s="50"/>
      <c r="Z241" s="50"/>
      <c r="AA241" s="50"/>
      <c r="AB241" s="50"/>
    </row>
    <row r="242" customFormat="false" ht="15.75" hidden="false" customHeight="false" outlineLevel="0" collapsed="false">
      <c r="A242" s="50"/>
      <c r="B242" s="50"/>
      <c r="C242" s="5"/>
      <c r="D242" s="48"/>
      <c r="E242" s="50"/>
      <c r="F242" s="5"/>
      <c r="G242" s="5"/>
      <c r="H242" s="5"/>
      <c r="I242" s="5"/>
      <c r="J242" s="5"/>
      <c r="K242" s="50"/>
      <c r="L242" s="50"/>
      <c r="M242" s="50"/>
      <c r="N242" s="50"/>
      <c r="O242" s="50"/>
      <c r="P242" s="50"/>
      <c r="Q242" s="50"/>
      <c r="R242" s="50"/>
      <c r="S242" s="50"/>
      <c r="T242" s="50"/>
      <c r="U242" s="50"/>
      <c r="V242" s="50"/>
      <c r="W242" s="50"/>
      <c r="X242" s="50"/>
      <c r="Y242" s="50"/>
      <c r="Z242" s="50"/>
      <c r="AA242" s="50"/>
      <c r="AB242" s="50"/>
    </row>
    <row r="243" customFormat="false" ht="15.75" hidden="false" customHeight="false" outlineLevel="0" collapsed="false">
      <c r="A243" s="50"/>
      <c r="B243" s="50"/>
      <c r="C243" s="5"/>
      <c r="D243" s="48"/>
      <c r="E243" s="50"/>
      <c r="F243" s="5"/>
      <c r="G243" s="5"/>
      <c r="H243" s="5"/>
      <c r="I243" s="5"/>
      <c r="J243" s="5"/>
      <c r="K243" s="50"/>
      <c r="L243" s="50"/>
      <c r="M243" s="50"/>
      <c r="N243" s="50"/>
      <c r="O243" s="50"/>
      <c r="P243" s="50"/>
      <c r="Q243" s="50"/>
      <c r="R243" s="50"/>
      <c r="S243" s="50"/>
      <c r="T243" s="50"/>
      <c r="U243" s="50"/>
      <c r="V243" s="50"/>
      <c r="W243" s="50"/>
      <c r="X243" s="50"/>
      <c r="Y243" s="50"/>
      <c r="Z243" s="50"/>
      <c r="AA243" s="50"/>
      <c r="AB243" s="50"/>
    </row>
    <row r="244" customFormat="false" ht="15.75" hidden="false" customHeight="false" outlineLevel="0" collapsed="false">
      <c r="A244" s="50"/>
      <c r="B244" s="50"/>
      <c r="C244" s="5"/>
      <c r="D244" s="48"/>
      <c r="E244" s="50"/>
      <c r="F244" s="5"/>
      <c r="G244" s="5"/>
      <c r="H244" s="5"/>
      <c r="I244" s="5"/>
      <c r="J244" s="5"/>
      <c r="K244" s="50"/>
      <c r="L244" s="50"/>
      <c r="M244" s="50"/>
      <c r="N244" s="50"/>
      <c r="O244" s="50"/>
      <c r="P244" s="50"/>
      <c r="Q244" s="50"/>
      <c r="R244" s="50"/>
      <c r="S244" s="50"/>
      <c r="T244" s="50"/>
      <c r="U244" s="50"/>
      <c r="V244" s="50"/>
      <c r="W244" s="50"/>
      <c r="X244" s="50"/>
      <c r="Y244" s="50"/>
      <c r="Z244" s="50"/>
      <c r="AA244" s="50"/>
      <c r="AB244" s="50"/>
    </row>
    <row r="245" customFormat="false" ht="15.75" hidden="false" customHeight="false" outlineLevel="0" collapsed="false">
      <c r="A245" s="50"/>
      <c r="B245" s="50"/>
      <c r="C245" s="5"/>
      <c r="D245" s="48"/>
      <c r="E245" s="50"/>
      <c r="F245" s="5"/>
      <c r="G245" s="5"/>
      <c r="H245" s="5"/>
      <c r="I245" s="5"/>
      <c r="J245" s="5"/>
      <c r="K245" s="50"/>
      <c r="L245" s="50"/>
      <c r="M245" s="50"/>
      <c r="N245" s="50"/>
      <c r="O245" s="50"/>
      <c r="P245" s="50"/>
      <c r="Q245" s="50"/>
      <c r="R245" s="50"/>
      <c r="S245" s="50"/>
      <c r="T245" s="50"/>
      <c r="U245" s="50"/>
      <c r="V245" s="50"/>
      <c r="W245" s="50"/>
      <c r="X245" s="50"/>
      <c r="Y245" s="50"/>
      <c r="Z245" s="50"/>
      <c r="AA245" s="50"/>
      <c r="AB245" s="50"/>
    </row>
    <row r="246" customFormat="false" ht="15.75" hidden="false" customHeight="false" outlineLevel="0" collapsed="false">
      <c r="A246" s="50"/>
      <c r="B246" s="50"/>
      <c r="C246" s="5"/>
      <c r="D246" s="48"/>
      <c r="E246" s="50"/>
      <c r="F246" s="5"/>
      <c r="G246" s="5"/>
      <c r="H246" s="5"/>
      <c r="I246" s="5"/>
      <c r="J246" s="5"/>
      <c r="K246" s="50"/>
      <c r="L246" s="50"/>
      <c r="M246" s="50"/>
      <c r="N246" s="50"/>
      <c r="O246" s="50"/>
      <c r="P246" s="50"/>
      <c r="Q246" s="50"/>
      <c r="R246" s="50"/>
      <c r="S246" s="50"/>
      <c r="T246" s="50"/>
      <c r="U246" s="50"/>
      <c r="V246" s="50"/>
      <c r="W246" s="50"/>
      <c r="X246" s="50"/>
      <c r="Y246" s="50"/>
      <c r="Z246" s="50"/>
      <c r="AA246" s="50"/>
      <c r="AB246" s="50"/>
    </row>
    <row r="247" customFormat="false" ht="15.75" hidden="false" customHeight="false" outlineLevel="0" collapsed="false">
      <c r="A247" s="50"/>
      <c r="B247" s="50"/>
      <c r="C247" s="5"/>
      <c r="D247" s="48"/>
      <c r="E247" s="50"/>
      <c r="F247" s="5"/>
      <c r="G247" s="5"/>
      <c r="H247" s="5"/>
      <c r="I247" s="5"/>
      <c r="J247" s="5"/>
      <c r="K247" s="50"/>
      <c r="L247" s="50"/>
      <c r="M247" s="50"/>
      <c r="N247" s="50"/>
      <c r="O247" s="50"/>
      <c r="P247" s="50"/>
      <c r="Q247" s="50"/>
      <c r="R247" s="50"/>
      <c r="S247" s="50"/>
      <c r="T247" s="50"/>
      <c r="U247" s="50"/>
      <c r="V247" s="50"/>
      <c r="W247" s="50"/>
      <c r="X247" s="50"/>
      <c r="Y247" s="50"/>
      <c r="Z247" s="50"/>
      <c r="AA247" s="50"/>
      <c r="AB247" s="50"/>
    </row>
    <row r="248" customFormat="false" ht="15.75" hidden="false" customHeight="false" outlineLevel="0" collapsed="false">
      <c r="A248" s="50"/>
      <c r="B248" s="50"/>
      <c r="C248" s="5"/>
      <c r="D248" s="48"/>
      <c r="E248" s="50"/>
      <c r="F248" s="5"/>
      <c r="G248" s="5"/>
      <c r="H248" s="5"/>
      <c r="I248" s="5"/>
      <c r="J248" s="5"/>
      <c r="K248" s="50"/>
      <c r="L248" s="50"/>
      <c r="M248" s="50"/>
      <c r="N248" s="50"/>
      <c r="O248" s="50"/>
      <c r="P248" s="50"/>
      <c r="Q248" s="50"/>
      <c r="R248" s="50"/>
      <c r="S248" s="50"/>
      <c r="T248" s="50"/>
      <c r="U248" s="50"/>
      <c r="V248" s="50"/>
      <c r="W248" s="50"/>
      <c r="X248" s="50"/>
      <c r="Y248" s="50"/>
      <c r="Z248" s="50"/>
      <c r="AA248" s="50"/>
      <c r="AB248" s="50"/>
    </row>
    <row r="249" customFormat="false" ht="15.75" hidden="false" customHeight="false" outlineLevel="0" collapsed="false">
      <c r="A249" s="50"/>
      <c r="B249" s="50"/>
      <c r="C249" s="5"/>
      <c r="D249" s="48"/>
      <c r="E249" s="50"/>
      <c r="F249" s="5"/>
      <c r="G249" s="5"/>
      <c r="H249" s="5"/>
      <c r="I249" s="5"/>
      <c r="J249" s="5"/>
      <c r="K249" s="50"/>
      <c r="L249" s="50"/>
      <c r="M249" s="50"/>
      <c r="N249" s="50"/>
      <c r="O249" s="50"/>
      <c r="P249" s="50"/>
      <c r="Q249" s="50"/>
      <c r="R249" s="50"/>
      <c r="S249" s="50"/>
      <c r="T249" s="50"/>
      <c r="U249" s="50"/>
      <c r="V249" s="50"/>
      <c r="W249" s="50"/>
      <c r="X249" s="50"/>
      <c r="Y249" s="50"/>
      <c r="Z249" s="50"/>
      <c r="AA249" s="50"/>
      <c r="AB249" s="50"/>
    </row>
    <row r="250" customFormat="false" ht="15.75" hidden="false" customHeight="false" outlineLevel="0" collapsed="false">
      <c r="A250" s="50"/>
      <c r="B250" s="50"/>
      <c r="C250" s="5"/>
      <c r="D250" s="48"/>
      <c r="E250" s="50"/>
      <c r="F250" s="5"/>
      <c r="G250" s="5"/>
      <c r="H250" s="5"/>
      <c r="I250" s="5"/>
      <c r="J250" s="5"/>
      <c r="K250" s="50"/>
      <c r="L250" s="50"/>
      <c r="M250" s="50"/>
      <c r="N250" s="50"/>
      <c r="O250" s="50"/>
      <c r="P250" s="50"/>
      <c r="Q250" s="50"/>
      <c r="R250" s="50"/>
      <c r="S250" s="50"/>
      <c r="T250" s="50"/>
      <c r="U250" s="50"/>
      <c r="V250" s="50"/>
      <c r="W250" s="50"/>
      <c r="X250" s="50"/>
      <c r="Y250" s="50"/>
      <c r="Z250" s="50"/>
      <c r="AA250" s="50"/>
      <c r="AB250" s="50"/>
    </row>
    <row r="251" customFormat="false" ht="15.75" hidden="false" customHeight="false" outlineLevel="0" collapsed="false">
      <c r="A251" s="50"/>
      <c r="B251" s="50"/>
      <c r="C251" s="5"/>
      <c r="D251" s="48"/>
      <c r="E251" s="50"/>
      <c r="F251" s="5"/>
      <c r="G251" s="5"/>
      <c r="H251" s="5"/>
      <c r="I251" s="5"/>
      <c r="J251" s="5"/>
      <c r="K251" s="50"/>
      <c r="L251" s="50"/>
      <c r="M251" s="50"/>
      <c r="N251" s="50"/>
      <c r="O251" s="50"/>
      <c r="P251" s="50"/>
      <c r="Q251" s="50"/>
      <c r="R251" s="50"/>
      <c r="S251" s="50"/>
      <c r="T251" s="50"/>
      <c r="U251" s="50"/>
      <c r="V251" s="50"/>
      <c r="W251" s="50"/>
      <c r="X251" s="50"/>
      <c r="Y251" s="50"/>
      <c r="Z251" s="50"/>
      <c r="AA251" s="50"/>
      <c r="AB251" s="50"/>
    </row>
    <row r="252" customFormat="false" ht="15.75" hidden="false" customHeight="false" outlineLevel="0" collapsed="false">
      <c r="A252" s="50"/>
      <c r="B252" s="50"/>
      <c r="C252" s="5"/>
      <c r="D252" s="48"/>
      <c r="E252" s="50"/>
      <c r="F252" s="5"/>
      <c r="G252" s="5"/>
      <c r="H252" s="5"/>
      <c r="I252" s="5"/>
      <c r="J252" s="5"/>
      <c r="K252" s="50"/>
      <c r="L252" s="50"/>
      <c r="M252" s="50"/>
      <c r="N252" s="50"/>
      <c r="O252" s="50"/>
      <c r="P252" s="50"/>
      <c r="Q252" s="50"/>
      <c r="R252" s="50"/>
      <c r="S252" s="50"/>
      <c r="T252" s="50"/>
      <c r="U252" s="50"/>
      <c r="V252" s="50"/>
      <c r="W252" s="50"/>
      <c r="X252" s="50"/>
      <c r="Y252" s="50"/>
      <c r="Z252" s="50"/>
      <c r="AA252" s="50"/>
      <c r="AB252" s="50"/>
    </row>
    <row r="253" customFormat="false" ht="15.75" hidden="false" customHeight="false" outlineLevel="0" collapsed="false">
      <c r="A253" s="50"/>
      <c r="B253" s="50"/>
      <c r="C253" s="5"/>
      <c r="D253" s="48"/>
      <c r="E253" s="50"/>
      <c r="F253" s="5"/>
      <c r="G253" s="5"/>
      <c r="H253" s="5"/>
      <c r="I253" s="5"/>
      <c r="J253" s="5"/>
      <c r="K253" s="50"/>
      <c r="L253" s="50"/>
      <c r="M253" s="50"/>
      <c r="N253" s="50"/>
      <c r="O253" s="50"/>
      <c r="P253" s="50"/>
      <c r="Q253" s="50"/>
      <c r="R253" s="50"/>
      <c r="S253" s="50"/>
      <c r="T253" s="50"/>
      <c r="U253" s="50"/>
      <c r="V253" s="50"/>
      <c r="W253" s="50"/>
      <c r="X253" s="50"/>
      <c r="Y253" s="50"/>
      <c r="Z253" s="50"/>
      <c r="AA253" s="50"/>
      <c r="AB253" s="50"/>
    </row>
    <row r="254" customFormat="false" ht="15.75" hidden="false" customHeight="false" outlineLevel="0" collapsed="false">
      <c r="A254" s="50"/>
      <c r="B254" s="50"/>
      <c r="C254" s="5"/>
      <c r="D254" s="48"/>
      <c r="E254" s="50"/>
      <c r="F254" s="5"/>
      <c r="G254" s="5"/>
      <c r="H254" s="5"/>
      <c r="I254" s="5"/>
      <c r="J254" s="5"/>
      <c r="K254" s="50"/>
      <c r="L254" s="50"/>
      <c r="M254" s="50"/>
      <c r="N254" s="50"/>
      <c r="O254" s="50"/>
      <c r="P254" s="50"/>
      <c r="Q254" s="50"/>
      <c r="R254" s="50"/>
      <c r="S254" s="50"/>
      <c r="T254" s="50"/>
      <c r="U254" s="50"/>
      <c r="V254" s="50"/>
      <c r="W254" s="50"/>
      <c r="X254" s="50"/>
      <c r="Y254" s="50"/>
      <c r="Z254" s="50"/>
      <c r="AA254" s="50"/>
      <c r="AB254" s="50"/>
    </row>
    <row r="255" customFormat="false" ht="15.75" hidden="false" customHeight="false" outlineLevel="0" collapsed="false">
      <c r="A255" s="50"/>
      <c r="B255" s="50"/>
      <c r="C255" s="5"/>
      <c r="D255" s="48"/>
      <c r="E255" s="50"/>
      <c r="F255" s="5"/>
      <c r="G255" s="5"/>
      <c r="H255" s="5"/>
      <c r="I255" s="5"/>
      <c r="J255" s="5"/>
      <c r="K255" s="50"/>
      <c r="L255" s="50"/>
      <c r="M255" s="50"/>
      <c r="N255" s="50"/>
      <c r="O255" s="50"/>
      <c r="P255" s="50"/>
      <c r="Q255" s="50"/>
      <c r="R255" s="50"/>
      <c r="S255" s="50"/>
      <c r="T255" s="50"/>
      <c r="U255" s="50"/>
      <c r="V255" s="50"/>
      <c r="W255" s="50"/>
      <c r="X255" s="50"/>
      <c r="Y255" s="50"/>
      <c r="Z255" s="50"/>
      <c r="AA255" s="50"/>
      <c r="AB255" s="50"/>
    </row>
    <row r="256" customFormat="false" ht="15.75" hidden="false" customHeight="false" outlineLevel="0" collapsed="false">
      <c r="A256" s="50"/>
      <c r="B256" s="50"/>
      <c r="C256" s="5"/>
      <c r="D256" s="48"/>
      <c r="E256" s="50"/>
      <c r="F256" s="5"/>
      <c r="G256" s="5"/>
      <c r="H256" s="5"/>
      <c r="I256" s="5"/>
      <c r="J256" s="5"/>
      <c r="K256" s="50"/>
      <c r="L256" s="50"/>
      <c r="M256" s="50"/>
      <c r="N256" s="50"/>
      <c r="O256" s="50"/>
      <c r="P256" s="50"/>
      <c r="Q256" s="50"/>
      <c r="R256" s="50"/>
      <c r="S256" s="50"/>
      <c r="T256" s="50"/>
      <c r="U256" s="50"/>
      <c r="V256" s="50"/>
      <c r="W256" s="50"/>
      <c r="X256" s="50"/>
      <c r="Y256" s="50"/>
      <c r="Z256" s="50"/>
      <c r="AA256" s="50"/>
      <c r="AB256" s="50"/>
    </row>
    <row r="257" customFormat="false" ht="15.75" hidden="false" customHeight="false" outlineLevel="0" collapsed="false">
      <c r="A257" s="50"/>
      <c r="B257" s="50"/>
      <c r="C257" s="5"/>
      <c r="D257" s="48"/>
      <c r="E257" s="50"/>
      <c r="F257" s="5"/>
      <c r="G257" s="5"/>
      <c r="H257" s="5"/>
      <c r="I257" s="5"/>
      <c r="J257" s="5"/>
      <c r="K257" s="50"/>
      <c r="L257" s="50"/>
      <c r="M257" s="50"/>
      <c r="N257" s="50"/>
      <c r="O257" s="50"/>
      <c r="P257" s="50"/>
      <c r="Q257" s="50"/>
      <c r="R257" s="50"/>
      <c r="S257" s="50"/>
      <c r="T257" s="50"/>
      <c r="U257" s="50"/>
      <c r="V257" s="50"/>
      <c r="W257" s="50"/>
      <c r="X257" s="50"/>
      <c r="Y257" s="50"/>
      <c r="Z257" s="50"/>
      <c r="AA257" s="50"/>
      <c r="AB257" s="50"/>
    </row>
    <row r="258" customFormat="false" ht="15.75" hidden="false" customHeight="false" outlineLevel="0" collapsed="false">
      <c r="A258" s="50"/>
      <c r="B258" s="50"/>
      <c r="C258" s="5"/>
      <c r="D258" s="48"/>
      <c r="E258" s="50"/>
      <c r="F258" s="5"/>
      <c r="G258" s="5"/>
      <c r="H258" s="5"/>
      <c r="I258" s="5"/>
      <c r="J258" s="5"/>
      <c r="K258" s="50"/>
      <c r="L258" s="50"/>
      <c r="M258" s="50"/>
      <c r="N258" s="50"/>
      <c r="O258" s="50"/>
      <c r="P258" s="50"/>
      <c r="Q258" s="50"/>
      <c r="R258" s="50"/>
      <c r="S258" s="50"/>
      <c r="T258" s="50"/>
      <c r="U258" s="50"/>
      <c r="V258" s="50"/>
      <c r="W258" s="50"/>
      <c r="X258" s="50"/>
      <c r="Y258" s="50"/>
      <c r="Z258" s="50"/>
      <c r="AA258" s="50"/>
      <c r="AB258" s="50"/>
    </row>
    <row r="259" customFormat="false" ht="15.75" hidden="false" customHeight="false" outlineLevel="0" collapsed="false">
      <c r="A259" s="50"/>
      <c r="B259" s="50"/>
      <c r="C259" s="5"/>
      <c r="D259" s="48"/>
      <c r="E259" s="50"/>
      <c r="F259" s="5"/>
      <c r="G259" s="5"/>
      <c r="H259" s="5"/>
      <c r="I259" s="5"/>
      <c r="J259" s="5"/>
      <c r="K259" s="50"/>
      <c r="L259" s="50"/>
      <c r="M259" s="50"/>
      <c r="N259" s="50"/>
      <c r="O259" s="50"/>
      <c r="P259" s="50"/>
      <c r="Q259" s="50"/>
      <c r="R259" s="50"/>
      <c r="S259" s="50"/>
      <c r="T259" s="50"/>
      <c r="U259" s="50"/>
      <c r="V259" s="50"/>
      <c r="W259" s="50"/>
      <c r="X259" s="50"/>
      <c r="Y259" s="50"/>
      <c r="Z259" s="50"/>
      <c r="AA259" s="50"/>
      <c r="AB259" s="50"/>
    </row>
    <row r="260" customFormat="false" ht="15.75" hidden="false" customHeight="false" outlineLevel="0" collapsed="false">
      <c r="A260" s="50"/>
      <c r="B260" s="50"/>
      <c r="C260" s="5"/>
      <c r="D260" s="48"/>
      <c r="E260" s="50"/>
      <c r="F260" s="5"/>
      <c r="G260" s="5"/>
      <c r="H260" s="5"/>
      <c r="I260" s="5"/>
      <c r="J260" s="5"/>
      <c r="K260" s="50"/>
      <c r="L260" s="50"/>
      <c r="M260" s="50"/>
      <c r="N260" s="50"/>
      <c r="O260" s="50"/>
      <c r="P260" s="50"/>
      <c r="Q260" s="50"/>
      <c r="R260" s="50"/>
      <c r="S260" s="50"/>
      <c r="T260" s="50"/>
      <c r="U260" s="50"/>
      <c r="V260" s="50"/>
      <c r="W260" s="50"/>
      <c r="X260" s="50"/>
      <c r="Y260" s="50"/>
      <c r="Z260" s="50"/>
      <c r="AA260" s="50"/>
      <c r="AB260" s="50"/>
    </row>
    <row r="261" customFormat="false" ht="15.75" hidden="false" customHeight="false" outlineLevel="0" collapsed="false">
      <c r="A261" s="50"/>
      <c r="B261" s="50"/>
      <c r="C261" s="5"/>
      <c r="D261" s="48"/>
      <c r="E261" s="50"/>
      <c r="F261" s="5"/>
      <c r="G261" s="5"/>
      <c r="H261" s="5"/>
      <c r="I261" s="5"/>
      <c r="J261" s="5"/>
      <c r="K261" s="50"/>
      <c r="L261" s="50"/>
      <c r="M261" s="50"/>
      <c r="N261" s="50"/>
      <c r="O261" s="50"/>
      <c r="P261" s="50"/>
      <c r="Q261" s="50"/>
      <c r="R261" s="50"/>
      <c r="S261" s="50"/>
      <c r="T261" s="50"/>
      <c r="U261" s="50"/>
      <c r="V261" s="50"/>
      <c r="W261" s="50"/>
      <c r="X261" s="50"/>
      <c r="Y261" s="50"/>
      <c r="Z261" s="50"/>
      <c r="AA261" s="50"/>
      <c r="AB261" s="50"/>
    </row>
    <row r="262" customFormat="false" ht="15.75" hidden="false" customHeight="false" outlineLevel="0" collapsed="false">
      <c r="A262" s="50"/>
      <c r="B262" s="50"/>
      <c r="C262" s="5"/>
      <c r="D262" s="48"/>
      <c r="E262" s="50"/>
      <c r="F262" s="5"/>
      <c r="G262" s="5"/>
      <c r="H262" s="5"/>
      <c r="I262" s="5"/>
      <c r="J262" s="5"/>
      <c r="K262" s="50"/>
      <c r="L262" s="50"/>
      <c r="M262" s="50"/>
      <c r="N262" s="50"/>
      <c r="O262" s="50"/>
      <c r="P262" s="50"/>
      <c r="Q262" s="50"/>
      <c r="R262" s="50"/>
      <c r="S262" s="50"/>
      <c r="T262" s="50"/>
      <c r="U262" s="50"/>
      <c r="V262" s="50"/>
      <c r="W262" s="50"/>
      <c r="X262" s="50"/>
      <c r="Y262" s="50"/>
      <c r="Z262" s="50"/>
      <c r="AA262" s="50"/>
      <c r="AB262" s="50"/>
    </row>
    <row r="263" customFormat="false" ht="15.75" hidden="false" customHeight="false" outlineLevel="0" collapsed="false">
      <c r="A263" s="50"/>
      <c r="B263" s="50"/>
      <c r="C263" s="5"/>
      <c r="D263" s="48"/>
      <c r="E263" s="50"/>
      <c r="F263" s="5"/>
      <c r="G263" s="5"/>
      <c r="H263" s="5"/>
      <c r="I263" s="5"/>
      <c r="J263" s="5"/>
      <c r="K263" s="50"/>
      <c r="L263" s="50"/>
      <c r="M263" s="50"/>
      <c r="N263" s="50"/>
      <c r="O263" s="50"/>
      <c r="P263" s="50"/>
      <c r="Q263" s="50"/>
      <c r="R263" s="50"/>
      <c r="S263" s="50"/>
      <c r="T263" s="50"/>
      <c r="U263" s="50"/>
      <c r="V263" s="50"/>
      <c r="W263" s="50"/>
      <c r="X263" s="50"/>
      <c r="Y263" s="50"/>
      <c r="Z263" s="50"/>
      <c r="AA263" s="50"/>
      <c r="AB263" s="50"/>
    </row>
    <row r="264" customFormat="false" ht="15.75" hidden="false" customHeight="false" outlineLevel="0" collapsed="false">
      <c r="A264" s="50"/>
      <c r="B264" s="50"/>
      <c r="C264" s="5"/>
      <c r="D264" s="48"/>
      <c r="E264" s="50"/>
      <c r="F264" s="5"/>
      <c r="G264" s="5"/>
      <c r="H264" s="5"/>
      <c r="I264" s="5"/>
      <c r="J264" s="5"/>
      <c r="K264" s="50"/>
      <c r="L264" s="50"/>
      <c r="M264" s="50"/>
      <c r="N264" s="50"/>
      <c r="O264" s="50"/>
      <c r="P264" s="50"/>
      <c r="Q264" s="50"/>
      <c r="R264" s="50"/>
      <c r="S264" s="50"/>
      <c r="T264" s="50"/>
      <c r="U264" s="50"/>
      <c r="V264" s="50"/>
      <c r="W264" s="50"/>
      <c r="X264" s="50"/>
      <c r="Y264" s="50"/>
      <c r="Z264" s="50"/>
      <c r="AA264" s="50"/>
      <c r="AB264" s="50"/>
    </row>
    <row r="265" customFormat="false" ht="15.75" hidden="false" customHeight="false" outlineLevel="0" collapsed="false">
      <c r="A265" s="50"/>
      <c r="B265" s="50"/>
      <c r="C265" s="5"/>
      <c r="D265" s="48"/>
      <c r="E265" s="50"/>
      <c r="F265" s="5"/>
      <c r="G265" s="5"/>
      <c r="H265" s="5"/>
      <c r="I265" s="5"/>
      <c r="J265" s="5"/>
      <c r="K265" s="50"/>
      <c r="L265" s="50"/>
      <c r="M265" s="50"/>
      <c r="N265" s="50"/>
      <c r="O265" s="50"/>
      <c r="P265" s="50"/>
      <c r="Q265" s="50"/>
      <c r="R265" s="50"/>
      <c r="S265" s="50"/>
      <c r="T265" s="50"/>
      <c r="U265" s="50"/>
      <c r="V265" s="50"/>
      <c r="W265" s="50"/>
      <c r="X265" s="50"/>
      <c r="Y265" s="50"/>
      <c r="Z265" s="50"/>
      <c r="AA265" s="50"/>
      <c r="AB265" s="50"/>
    </row>
    <row r="266" customFormat="false" ht="15.75" hidden="false" customHeight="false" outlineLevel="0" collapsed="false">
      <c r="A266" s="50"/>
      <c r="B266" s="50"/>
      <c r="C266" s="5"/>
      <c r="D266" s="48"/>
      <c r="E266" s="50"/>
      <c r="F266" s="5"/>
      <c r="G266" s="5"/>
      <c r="H266" s="5"/>
      <c r="I266" s="5"/>
      <c r="J266" s="5"/>
      <c r="K266" s="50"/>
      <c r="L266" s="50"/>
      <c r="M266" s="50"/>
      <c r="N266" s="50"/>
      <c r="O266" s="50"/>
      <c r="P266" s="50"/>
      <c r="Q266" s="50"/>
      <c r="R266" s="50"/>
      <c r="S266" s="50"/>
      <c r="T266" s="50"/>
      <c r="U266" s="50"/>
      <c r="V266" s="50"/>
      <c r="W266" s="50"/>
      <c r="X266" s="50"/>
      <c r="Y266" s="50"/>
      <c r="Z266" s="50"/>
      <c r="AA266" s="50"/>
      <c r="AB266" s="50"/>
    </row>
    <row r="267" customFormat="false" ht="15.75" hidden="false" customHeight="false" outlineLevel="0" collapsed="false">
      <c r="A267" s="50"/>
      <c r="B267" s="50"/>
      <c r="C267" s="5"/>
      <c r="D267" s="48"/>
      <c r="E267" s="50"/>
      <c r="F267" s="5"/>
      <c r="G267" s="5"/>
      <c r="H267" s="5"/>
      <c r="I267" s="5"/>
      <c r="J267" s="5"/>
      <c r="K267" s="50"/>
      <c r="L267" s="50"/>
      <c r="M267" s="50"/>
      <c r="N267" s="50"/>
      <c r="O267" s="50"/>
      <c r="P267" s="50"/>
      <c r="Q267" s="50"/>
      <c r="R267" s="50"/>
      <c r="S267" s="50"/>
      <c r="T267" s="50"/>
      <c r="U267" s="50"/>
      <c r="V267" s="50"/>
      <c r="W267" s="50"/>
      <c r="X267" s="50"/>
      <c r="Y267" s="50"/>
      <c r="Z267" s="50"/>
      <c r="AA267" s="50"/>
      <c r="AB267" s="50"/>
    </row>
    <row r="268" customFormat="false" ht="15.75" hidden="false" customHeight="false" outlineLevel="0" collapsed="false">
      <c r="A268" s="50"/>
      <c r="B268" s="50"/>
      <c r="C268" s="5"/>
      <c r="D268" s="48"/>
      <c r="E268" s="50"/>
      <c r="F268" s="5"/>
      <c r="G268" s="5"/>
      <c r="H268" s="5"/>
      <c r="I268" s="5"/>
      <c r="J268" s="5"/>
      <c r="K268" s="50"/>
      <c r="L268" s="50"/>
      <c r="M268" s="50"/>
      <c r="N268" s="50"/>
      <c r="O268" s="50"/>
      <c r="P268" s="50"/>
      <c r="Q268" s="50"/>
      <c r="R268" s="50"/>
      <c r="S268" s="50"/>
      <c r="T268" s="50"/>
      <c r="U268" s="50"/>
      <c r="V268" s="50"/>
      <c r="W268" s="50"/>
      <c r="X268" s="50"/>
      <c r="Y268" s="50"/>
      <c r="Z268" s="50"/>
      <c r="AA268" s="50"/>
      <c r="AB268" s="50"/>
    </row>
    <row r="269" customFormat="false" ht="15.75" hidden="false" customHeight="false" outlineLevel="0" collapsed="false">
      <c r="A269" s="50"/>
      <c r="B269" s="50"/>
      <c r="C269" s="5"/>
      <c r="D269" s="48"/>
      <c r="E269" s="50"/>
      <c r="F269" s="5"/>
      <c r="G269" s="5"/>
      <c r="H269" s="5"/>
      <c r="I269" s="5"/>
      <c r="J269" s="5"/>
      <c r="K269" s="50"/>
      <c r="L269" s="50"/>
      <c r="M269" s="50"/>
      <c r="N269" s="50"/>
      <c r="O269" s="50"/>
      <c r="P269" s="50"/>
      <c r="Q269" s="50"/>
      <c r="R269" s="50"/>
      <c r="S269" s="50"/>
      <c r="T269" s="50"/>
      <c r="U269" s="50"/>
      <c r="V269" s="50"/>
      <c r="W269" s="50"/>
      <c r="X269" s="50"/>
      <c r="Y269" s="50"/>
      <c r="Z269" s="50"/>
      <c r="AA269" s="50"/>
      <c r="AB269" s="50"/>
    </row>
    <row r="270" customFormat="false" ht="15.75" hidden="false" customHeight="false" outlineLevel="0" collapsed="false">
      <c r="A270" s="50"/>
      <c r="B270" s="50"/>
      <c r="C270" s="5"/>
      <c r="D270" s="48"/>
      <c r="E270" s="50"/>
      <c r="F270" s="5"/>
      <c r="G270" s="5"/>
      <c r="H270" s="5"/>
      <c r="I270" s="5"/>
      <c r="J270" s="5"/>
      <c r="K270" s="50"/>
      <c r="L270" s="50"/>
      <c r="M270" s="50"/>
      <c r="N270" s="50"/>
      <c r="O270" s="50"/>
      <c r="P270" s="50"/>
      <c r="Q270" s="50"/>
      <c r="R270" s="50"/>
      <c r="S270" s="50"/>
      <c r="T270" s="50"/>
      <c r="U270" s="50"/>
      <c r="V270" s="50"/>
      <c r="W270" s="50"/>
      <c r="X270" s="50"/>
      <c r="Y270" s="50"/>
      <c r="Z270" s="50"/>
      <c r="AA270" s="50"/>
      <c r="AB270" s="50"/>
    </row>
    <row r="271" customFormat="false" ht="15.75" hidden="false" customHeight="false" outlineLevel="0" collapsed="false">
      <c r="A271" s="50"/>
      <c r="B271" s="50"/>
      <c r="C271" s="5"/>
      <c r="D271" s="48"/>
      <c r="E271" s="50"/>
      <c r="F271" s="5"/>
      <c r="G271" s="5"/>
      <c r="H271" s="5"/>
      <c r="I271" s="5"/>
      <c r="J271" s="5"/>
      <c r="K271" s="50"/>
      <c r="L271" s="50"/>
      <c r="M271" s="50"/>
      <c r="N271" s="50"/>
      <c r="O271" s="50"/>
      <c r="P271" s="50"/>
      <c r="Q271" s="50"/>
      <c r="R271" s="50"/>
      <c r="S271" s="50"/>
      <c r="T271" s="50"/>
      <c r="U271" s="50"/>
      <c r="V271" s="50"/>
      <c r="W271" s="50"/>
      <c r="X271" s="50"/>
      <c r="Y271" s="50"/>
      <c r="Z271" s="50"/>
      <c r="AA271" s="50"/>
      <c r="AB271" s="50"/>
    </row>
    <row r="272" customFormat="false" ht="15.75" hidden="false" customHeight="false" outlineLevel="0" collapsed="false">
      <c r="A272" s="50"/>
      <c r="B272" s="50"/>
      <c r="C272" s="5"/>
      <c r="D272" s="48"/>
      <c r="E272" s="50"/>
      <c r="F272" s="5"/>
      <c r="G272" s="5"/>
      <c r="H272" s="5"/>
      <c r="I272" s="5"/>
      <c r="J272" s="5"/>
      <c r="K272" s="50"/>
      <c r="L272" s="50"/>
      <c r="M272" s="50"/>
      <c r="N272" s="50"/>
      <c r="O272" s="50"/>
      <c r="P272" s="50"/>
      <c r="Q272" s="50"/>
      <c r="R272" s="50"/>
      <c r="S272" s="50"/>
      <c r="T272" s="50"/>
      <c r="U272" s="50"/>
      <c r="V272" s="50"/>
      <c r="W272" s="50"/>
      <c r="X272" s="50"/>
      <c r="Y272" s="50"/>
      <c r="Z272" s="50"/>
      <c r="AA272" s="50"/>
      <c r="AB272" s="50"/>
    </row>
    <row r="273" customFormat="false" ht="15.75" hidden="false" customHeight="false" outlineLevel="0" collapsed="false">
      <c r="A273" s="50"/>
      <c r="B273" s="50"/>
      <c r="C273" s="5"/>
      <c r="D273" s="48"/>
      <c r="E273" s="50"/>
      <c r="F273" s="5"/>
      <c r="G273" s="5"/>
      <c r="H273" s="5"/>
      <c r="I273" s="5"/>
      <c r="J273" s="5"/>
      <c r="K273" s="50"/>
      <c r="L273" s="50"/>
      <c r="M273" s="50"/>
      <c r="N273" s="50"/>
      <c r="O273" s="50"/>
      <c r="P273" s="50"/>
      <c r="Q273" s="50"/>
      <c r="R273" s="50"/>
      <c r="S273" s="50"/>
      <c r="T273" s="50"/>
      <c r="U273" s="50"/>
      <c r="V273" s="50"/>
      <c r="W273" s="50"/>
      <c r="X273" s="50"/>
      <c r="Y273" s="50"/>
      <c r="Z273" s="50"/>
      <c r="AA273" s="50"/>
      <c r="AB273" s="50"/>
    </row>
    <row r="274" customFormat="false" ht="15.75" hidden="false" customHeight="false" outlineLevel="0" collapsed="false">
      <c r="A274" s="50"/>
      <c r="B274" s="50"/>
      <c r="C274" s="5"/>
      <c r="D274" s="48"/>
      <c r="E274" s="50"/>
      <c r="F274" s="5"/>
      <c r="G274" s="5"/>
      <c r="H274" s="5"/>
      <c r="I274" s="5"/>
      <c r="J274" s="5"/>
      <c r="K274" s="50"/>
      <c r="L274" s="50"/>
      <c r="M274" s="50"/>
      <c r="N274" s="50"/>
      <c r="O274" s="50"/>
      <c r="P274" s="50"/>
      <c r="Q274" s="50"/>
      <c r="R274" s="50"/>
      <c r="S274" s="50"/>
      <c r="T274" s="50"/>
      <c r="U274" s="50"/>
      <c r="V274" s="50"/>
      <c r="W274" s="50"/>
      <c r="X274" s="50"/>
      <c r="Y274" s="50"/>
      <c r="Z274" s="50"/>
      <c r="AA274" s="50"/>
      <c r="AB274" s="50"/>
    </row>
    <row r="275" customFormat="false" ht="15.75" hidden="false" customHeight="false" outlineLevel="0" collapsed="false">
      <c r="A275" s="50"/>
      <c r="B275" s="50"/>
      <c r="C275" s="5"/>
      <c r="D275" s="48"/>
      <c r="E275" s="50"/>
      <c r="F275" s="5"/>
      <c r="G275" s="5"/>
      <c r="H275" s="5"/>
      <c r="I275" s="5"/>
      <c r="J275" s="5"/>
      <c r="K275" s="50"/>
      <c r="L275" s="50"/>
      <c r="M275" s="50"/>
      <c r="N275" s="50"/>
      <c r="O275" s="50"/>
      <c r="P275" s="50"/>
      <c r="Q275" s="50"/>
      <c r="R275" s="50"/>
      <c r="S275" s="50"/>
      <c r="T275" s="50"/>
      <c r="U275" s="50"/>
      <c r="V275" s="50"/>
      <c r="W275" s="50"/>
      <c r="X275" s="50"/>
      <c r="Y275" s="50"/>
      <c r="Z275" s="50"/>
      <c r="AA275" s="50"/>
      <c r="AB275" s="50"/>
    </row>
    <row r="276" customFormat="false" ht="15.75" hidden="false" customHeight="false" outlineLevel="0" collapsed="false">
      <c r="A276" s="50"/>
      <c r="B276" s="50"/>
      <c r="C276" s="5"/>
      <c r="D276" s="48"/>
      <c r="E276" s="50"/>
      <c r="F276" s="5"/>
      <c r="G276" s="5"/>
      <c r="H276" s="5"/>
      <c r="I276" s="5"/>
      <c r="J276" s="5"/>
      <c r="K276" s="50"/>
      <c r="L276" s="50"/>
      <c r="M276" s="50"/>
      <c r="N276" s="50"/>
      <c r="O276" s="50"/>
      <c r="P276" s="50"/>
      <c r="Q276" s="50"/>
      <c r="R276" s="50"/>
      <c r="S276" s="50"/>
      <c r="T276" s="50"/>
      <c r="U276" s="50"/>
      <c r="V276" s="50"/>
      <c r="W276" s="50"/>
      <c r="X276" s="50"/>
      <c r="Y276" s="50"/>
      <c r="Z276" s="50"/>
      <c r="AA276" s="50"/>
      <c r="AB276" s="50"/>
    </row>
    <row r="277" customFormat="false" ht="15.75" hidden="false" customHeight="false" outlineLevel="0" collapsed="false">
      <c r="A277" s="50"/>
      <c r="B277" s="50"/>
      <c r="C277" s="5"/>
      <c r="D277" s="48"/>
      <c r="E277" s="50"/>
      <c r="F277" s="5"/>
      <c r="G277" s="5"/>
      <c r="H277" s="5"/>
      <c r="I277" s="5"/>
      <c r="J277" s="5"/>
      <c r="K277" s="50"/>
      <c r="L277" s="50"/>
      <c r="M277" s="50"/>
      <c r="N277" s="50"/>
      <c r="O277" s="50"/>
      <c r="P277" s="50"/>
      <c r="Q277" s="50"/>
      <c r="R277" s="50"/>
      <c r="S277" s="50"/>
      <c r="T277" s="50"/>
      <c r="U277" s="50"/>
      <c r="V277" s="50"/>
      <c r="W277" s="50"/>
      <c r="X277" s="50"/>
      <c r="Y277" s="50"/>
      <c r="Z277" s="50"/>
      <c r="AA277" s="50"/>
      <c r="AB277" s="50"/>
    </row>
    <row r="278" customFormat="false" ht="15.75" hidden="false" customHeight="false" outlineLevel="0" collapsed="false">
      <c r="A278" s="50"/>
      <c r="B278" s="50"/>
      <c r="C278" s="5"/>
      <c r="D278" s="48"/>
      <c r="E278" s="50"/>
      <c r="F278" s="5"/>
      <c r="G278" s="5"/>
      <c r="H278" s="5"/>
      <c r="I278" s="5"/>
      <c r="J278" s="5"/>
      <c r="K278" s="50"/>
      <c r="L278" s="50"/>
      <c r="M278" s="50"/>
      <c r="N278" s="50"/>
      <c r="O278" s="50"/>
      <c r="P278" s="50"/>
      <c r="Q278" s="50"/>
      <c r="R278" s="50"/>
      <c r="S278" s="50"/>
      <c r="T278" s="50"/>
      <c r="U278" s="50"/>
      <c r="V278" s="50"/>
      <c r="W278" s="50"/>
      <c r="X278" s="50"/>
      <c r="Y278" s="50"/>
      <c r="Z278" s="50"/>
      <c r="AA278" s="50"/>
      <c r="AB278" s="50"/>
    </row>
    <row r="279" customFormat="false" ht="15.75" hidden="false" customHeight="false" outlineLevel="0" collapsed="false">
      <c r="A279" s="50"/>
      <c r="B279" s="50"/>
      <c r="C279" s="5"/>
      <c r="D279" s="48"/>
      <c r="E279" s="50"/>
      <c r="F279" s="5"/>
      <c r="G279" s="5"/>
      <c r="H279" s="5"/>
      <c r="I279" s="5"/>
      <c r="J279" s="5"/>
      <c r="K279" s="50"/>
      <c r="L279" s="50"/>
      <c r="M279" s="50"/>
      <c r="N279" s="50"/>
      <c r="O279" s="50"/>
      <c r="P279" s="50"/>
      <c r="Q279" s="50"/>
      <c r="R279" s="50"/>
      <c r="S279" s="50"/>
      <c r="T279" s="50"/>
      <c r="U279" s="50"/>
      <c r="V279" s="50"/>
      <c r="W279" s="50"/>
      <c r="X279" s="50"/>
      <c r="Y279" s="50"/>
      <c r="Z279" s="50"/>
      <c r="AA279" s="50"/>
      <c r="AB279" s="50"/>
    </row>
    <row r="280" customFormat="false" ht="15.75" hidden="false" customHeight="false" outlineLevel="0" collapsed="false">
      <c r="A280" s="50"/>
      <c r="B280" s="50"/>
      <c r="C280" s="5"/>
      <c r="D280" s="48"/>
      <c r="E280" s="50"/>
      <c r="F280" s="5"/>
      <c r="G280" s="5"/>
      <c r="H280" s="5"/>
      <c r="I280" s="5"/>
      <c r="J280" s="5"/>
      <c r="K280" s="50"/>
      <c r="L280" s="50"/>
      <c r="M280" s="50"/>
      <c r="N280" s="50"/>
      <c r="O280" s="50"/>
      <c r="P280" s="50"/>
      <c r="Q280" s="50"/>
      <c r="R280" s="50"/>
      <c r="S280" s="50"/>
      <c r="T280" s="50"/>
      <c r="U280" s="50"/>
      <c r="V280" s="50"/>
      <c r="W280" s="50"/>
      <c r="X280" s="50"/>
      <c r="Y280" s="50"/>
      <c r="Z280" s="50"/>
      <c r="AA280" s="50"/>
      <c r="AB280" s="50"/>
    </row>
    <row r="281" customFormat="false" ht="15.75" hidden="false" customHeight="false" outlineLevel="0" collapsed="false">
      <c r="A281" s="50"/>
      <c r="B281" s="50"/>
      <c r="C281" s="5"/>
      <c r="D281" s="48"/>
      <c r="E281" s="50"/>
      <c r="F281" s="5"/>
      <c r="G281" s="5"/>
      <c r="H281" s="5"/>
      <c r="I281" s="5"/>
      <c r="J281" s="5"/>
      <c r="K281" s="50"/>
      <c r="L281" s="50"/>
      <c r="M281" s="50"/>
      <c r="N281" s="50"/>
      <c r="O281" s="50"/>
      <c r="P281" s="50"/>
      <c r="Q281" s="50"/>
      <c r="R281" s="50"/>
      <c r="S281" s="50"/>
      <c r="T281" s="50"/>
      <c r="U281" s="50"/>
      <c r="V281" s="50"/>
      <c r="W281" s="50"/>
      <c r="X281" s="50"/>
      <c r="Y281" s="50"/>
      <c r="Z281" s="50"/>
      <c r="AA281" s="50"/>
      <c r="AB281" s="50"/>
    </row>
    <row r="282" customFormat="false" ht="15.75" hidden="false" customHeight="false" outlineLevel="0" collapsed="false">
      <c r="A282" s="50"/>
      <c r="B282" s="50"/>
      <c r="C282" s="5"/>
      <c r="D282" s="48"/>
      <c r="E282" s="50"/>
      <c r="F282" s="5"/>
      <c r="G282" s="5"/>
      <c r="H282" s="5"/>
      <c r="I282" s="5"/>
      <c r="J282" s="5"/>
      <c r="K282" s="50"/>
      <c r="L282" s="50"/>
      <c r="M282" s="50"/>
      <c r="N282" s="50"/>
      <c r="O282" s="50"/>
      <c r="P282" s="50"/>
      <c r="Q282" s="50"/>
      <c r="R282" s="50"/>
      <c r="S282" s="50"/>
      <c r="T282" s="50"/>
      <c r="U282" s="50"/>
      <c r="V282" s="50"/>
      <c r="W282" s="50"/>
      <c r="X282" s="50"/>
      <c r="Y282" s="50"/>
      <c r="Z282" s="50"/>
      <c r="AA282" s="50"/>
      <c r="AB282" s="50"/>
    </row>
    <row r="283" customFormat="false" ht="15.75" hidden="false" customHeight="false" outlineLevel="0" collapsed="false">
      <c r="A283" s="50"/>
      <c r="B283" s="50"/>
      <c r="C283" s="5"/>
      <c r="D283" s="48"/>
      <c r="E283" s="50"/>
      <c r="F283" s="5"/>
      <c r="G283" s="5"/>
      <c r="H283" s="5"/>
      <c r="I283" s="5"/>
      <c r="J283" s="5"/>
      <c r="K283" s="50"/>
      <c r="L283" s="50"/>
      <c r="M283" s="50"/>
      <c r="N283" s="50"/>
      <c r="O283" s="50"/>
      <c r="P283" s="50"/>
      <c r="Q283" s="50"/>
      <c r="R283" s="50"/>
      <c r="S283" s="50"/>
      <c r="T283" s="50"/>
      <c r="U283" s="50"/>
      <c r="V283" s="50"/>
      <c r="W283" s="50"/>
      <c r="X283" s="50"/>
      <c r="Y283" s="50"/>
      <c r="Z283" s="50"/>
      <c r="AA283" s="50"/>
      <c r="AB283" s="50"/>
    </row>
    <row r="284" customFormat="false" ht="15.75" hidden="false" customHeight="false" outlineLevel="0" collapsed="false">
      <c r="A284" s="50"/>
      <c r="B284" s="50"/>
      <c r="C284" s="5"/>
      <c r="D284" s="48"/>
      <c r="E284" s="50"/>
      <c r="F284" s="5"/>
      <c r="G284" s="5"/>
      <c r="H284" s="5"/>
      <c r="I284" s="5"/>
      <c r="J284" s="5"/>
      <c r="K284" s="50"/>
      <c r="L284" s="50"/>
      <c r="M284" s="50"/>
      <c r="N284" s="50"/>
      <c r="O284" s="50"/>
      <c r="P284" s="50"/>
      <c r="Q284" s="50"/>
      <c r="R284" s="50"/>
      <c r="S284" s="50"/>
      <c r="T284" s="50"/>
      <c r="U284" s="50"/>
      <c r="V284" s="50"/>
      <c r="W284" s="50"/>
      <c r="X284" s="50"/>
      <c r="Y284" s="50"/>
      <c r="Z284" s="50"/>
      <c r="AA284" s="50"/>
      <c r="AB284" s="50"/>
    </row>
    <row r="285" customFormat="false" ht="15.75" hidden="false" customHeight="false" outlineLevel="0" collapsed="false">
      <c r="A285" s="50"/>
      <c r="B285" s="50"/>
      <c r="C285" s="5"/>
      <c r="D285" s="48"/>
      <c r="E285" s="50"/>
      <c r="F285" s="5"/>
      <c r="G285" s="5"/>
      <c r="H285" s="5"/>
      <c r="I285" s="5"/>
      <c r="J285" s="5"/>
      <c r="K285" s="50"/>
      <c r="L285" s="50"/>
      <c r="M285" s="50"/>
      <c r="N285" s="50"/>
      <c r="O285" s="50"/>
      <c r="P285" s="50"/>
      <c r="Q285" s="50"/>
      <c r="R285" s="50"/>
      <c r="S285" s="50"/>
      <c r="T285" s="50"/>
      <c r="U285" s="50"/>
      <c r="V285" s="50"/>
      <c r="W285" s="50"/>
      <c r="X285" s="50"/>
      <c r="Y285" s="50"/>
      <c r="Z285" s="50"/>
      <c r="AA285" s="50"/>
      <c r="AB285" s="50"/>
    </row>
    <row r="286" customFormat="false" ht="15.75" hidden="false" customHeight="false" outlineLevel="0" collapsed="false">
      <c r="A286" s="50"/>
      <c r="B286" s="50"/>
      <c r="C286" s="5"/>
      <c r="D286" s="48"/>
      <c r="E286" s="50"/>
      <c r="F286" s="5"/>
      <c r="G286" s="5"/>
      <c r="H286" s="5"/>
      <c r="I286" s="5"/>
      <c r="J286" s="5"/>
      <c r="K286" s="50"/>
      <c r="L286" s="50"/>
      <c r="M286" s="50"/>
      <c r="N286" s="50"/>
      <c r="O286" s="50"/>
      <c r="P286" s="50"/>
      <c r="Q286" s="50"/>
      <c r="R286" s="50"/>
      <c r="S286" s="50"/>
      <c r="T286" s="50"/>
      <c r="U286" s="50"/>
      <c r="V286" s="50"/>
      <c r="W286" s="50"/>
      <c r="X286" s="50"/>
      <c r="Y286" s="50"/>
      <c r="Z286" s="50"/>
      <c r="AA286" s="50"/>
      <c r="AB286" s="50"/>
    </row>
    <row r="287" customFormat="false" ht="15.75" hidden="false" customHeight="false" outlineLevel="0" collapsed="false">
      <c r="A287" s="50"/>
      <c r="B287" s="50"/>
      <c r="C287" s="5"/>
      <c r="D287" s="48"/>
      <c r="E287" s="50"/>
      <c r="F287" s="5"/>
      <c r="G287" s="5"/>
      <c r="H287" s="5"/>
      <c r="I287" s="5"/>
      <c r="J287" s="5"/>
      <c r="K287" s="50"/>
      <c r="L287" s="50"/>
      <c r="M287" s="50"/>
      <c r="N287" s="50"/>
      <c r="O287" s="50"/>
      <c r="P287" s="50"/>
      <c r="Q287" s="50"/>
      <c r="R287" s="50"/>
      <c r="S287" s="50"/>
      <c r="T287" s="50"/>
      <c r="U287" s="50"/>
      <c r="V287" s="50"/>
      <c r="W287" s="50"/>
      <c r="X287" s="50"/>
      <c r="Y287" s="50"/>
      <c r="Z287" s="50"/>
      <c r="AA287" s="50"/>
      <c r="AB287" s="50"/>
    </row>
    <row r="288" customFormat="false" ht="15.75" hidden="false" customHeight="false" outlineLevel="0" collapsed="false">
      <c r="A288" s="50"/>
      <c r="B288" s="50"/>
      <c r="C288" s="5"/>
      <c r="D288" s="48"/>
      <c r="E288" s="50"/>
      <c r="F288" s="5"/>
      <c r="G288" s="5"/>
      <c r="H288" s="5"/>
      <c r="I288" s="5"/>
      <c r="J288" s="5"/>
      <c r="K288" s="50"/>
      <c r="L288" s="50"/>
      <c r="M288" s="50"/>
      <c r="N288" s="50"/>
      <c r="O288" s="50"/>
      <c r="P288" s="50"/>
      <c r="Q288" s="50"/>
      <c r="R288" s="50"/>
      <c r="S288" s="50"/>
      <c r="T288" s="50"/>
      <c r="U288" s="50"/>
      <c r="V288" s="50"/>
      <c r="W288" s="50"/>
      <c r="X288" s="50"/>
      <c r="Y288" s="50"/>
      <c r="Z288" s="50"/>
      <c r="AA288" s="50"/>
      <c r="AB288" s="50"/>
    </row>
    <row r="289" customFormat="false" ht="15.75" hidden="false" customHeight="false" outlineLevel="0" collapsed="false">
      <c r="A289" s="50"/>
      <c r="B289" s="50"/>
      <c r="C289" s="5"/>
      <c r="D289" s="48"/>
      <c r="E289" s="50"/>
      <c r="F289" s="5"/>
      <c r="G289" s="5"/>
      <c r="H289" s="5"/>
      <c r="I289" s="5"/>
      <c r="J289" s="5"/>
      <c r="K289" s="50"/>
      <c r="L289" s="50"/>
      <c r="M289" s="50"/>
      <c r="N289" s="50"/>
      <c r="O289" s="50"/>
      <c r="P289" s="50"/>
      <c r="Q289" s="50"/>
      <c r="R289" s="50"/>
      <c r="S289" s="50"/>
      <c r="T289" s="50"/>
      <c r="U289" s="50"/>
      <c r="V289" s="50"/>
      <c r="W289" s="50"/>
      <c r="X289" s="50"/>
      <c r="Y289" s="50"/>
      <c r="Z289" s="50"/>
      <c r="AA289" s="50"/>
      <c r="AB289" s="50"/>
    </row>
    <row r="290" customFormat="false" ht="15.75" hidden="false" customHeight="false" outlineLevel="0" collapsed="false">
      <c r="A290" s="50"/>
      <c r="B290" s="50"/>
      <c r="C290" s="5"/>
      <c r="D290" s="48"/>
      <c r="E290" s="50"/>
      <c r="F290" s="5"/>
      <c r="G290" s="5"/>
      <c r="H290" s="5"/>
      <c r="I290" s="5"/>
      <c r="J290" s="5"/>
      <c r="K290" s="50"/>
      <c r="L290" s="50"/>
      <c r="M290" s="50"/>
      <c r="N290" s="50"/>
      <c r="O290" s="50"/>
      <c r="P290" s="50"/>
      <c r="Q290" s="50"/>
      <c r="R290" s="50"/>
      <c r="S290" s="50"/>
      <c r="T290" s="50"/>
      <c r="U290" s="50"/>
      <c r="V290" s="50"/>
      <c r="W290" s="50"/>
      <c r="X290" s="50"/>
      <c r="Y290" s="50"/>
      <c r="Z290" s="50"/>
      <c r="AA290" s="50"/>
      <c r="AB290" s="50"/>
    </row>
    <row r="291" customFormat="false" ht="15.75" hidden="false" customHeight="false" outlineLevel="0" collapsed="false">
      <c r="A291" s="50"/>
      <c r="B291" s="50"/>
      <c r="C291" s="5"/>
      <c r="D291" s="48"/>
      <c r="E291" s="50"/>
      <c r="F291" s="5"/>
      <c r="G291" s="5"/>
      <c r="H291" s="5"/>
      <c r="I291" s="5"/>
      <c r="J291" s="5"/>
      <c r="K291" s="50"/>
      <c r="L291" s="50"/>
      <c r="M291" s="50"/>
      <c r="N291" s="50"/>
      <c r="O291" s="50"/>
      <c r="P291" s="50"/>
      <c r="Q291" s="50"/>
      <c r="R291" s="50"/>
      <c r="S291" s="50"/>
      <c r="T291" s="50"/>
      <c r="U291" s="50"/>
      <c r="V291" s="50"/>
      <c r="W291" s="50"/>
      <c r="X291" s="50"/>
      <c r="Y291" s="50"/>
      <c r="Z291" s="50"/>
      <c r="AA291" s="50"/>
      <c r="AB291" s="50"/>
    </row>
    <row r="292" customFormat="false" ht="15.75" hidden="false" customHeight="false" outlineLevel="0" collapsed="false">
      <c r="A292" s="50"/>
      <c r="B292" s="50"/>
      <c r="C292" s="5"/>
      <c r="D292" s="48"/>
      <c r="E292" s="50"/>
      <c r="F292" s="5"/>
      <c r="G292" s="5"/>
      <c r="H292" s="5"/>
      <c r="I292" s="5"/>
      <c r="J292" s="5"/>
      <c r="K292" s="50"/>
      <c r="L292" s="50"/>
      <c r="M292" s="50"/>
      <c r="N292" s="50"/>
      <c r="O292" s="50"/>
      <c r="P292" s="50"/>
      <c r="Q292" s="50"/>
      <c r="R292" s="50"/>
      <c r="S292" s="50"/>
      <c r="T292" s="50"/>
      <c r="U292" s="50"/>
      <c r="V292" s="50"/>
      <c r="W292" s="50"/>
      <c r="X292" s="50"/>
      <c r="Y292" s="50"/>
      <c r="Z292" s="50"/>
      <c r="AA292" s="50"/>
      <c r="AB292" s="50"/>
    </row>
    <row r="293" customFormat="false" ht="15.75" hidden="false" customHeight="false" outlineLevel="0" collapsed="false">
      <c r="A293" s="50"/>
      <c r="B293" s="50"/>
      <c r="C293" s="5"/>
      <c r="D293" s="48"/>
      <c r="E293" s="50"/>
      <c r="F293" s="5"/>
      <c r="G293" s="5"/>
      <c r="H293" s="5"/>
      <c r="I293" s="5"/>
      <c r="J293" s="5"/>
      <c r="K293" s="50"/>
      <c r="L293" s="50"/>
      <c r="M293" s="50"/>
      <c r="N293" s="50"/>
      <c r="O293" s="50"/>
      <c r="P293" s="50"/>
      <c r="Q293" s="50"/>
      <c r="R293" s="50"/>
      <c r="S293" s="50"/>
      <c r="T293" s="50"/>
      <c r="U293" s="50"/>
      <c r="V293" s="50"/>
      <c r="W293" s="50"/>
      <c r="X293" s="50"/>
      <c r="Y293" s="50"/>
      <c r="Z293" s="50"/>
      <c r="AA293" s="50"/>
      <c r="AB293" s="50"/>
    </row>
    <row r="294" customFormat="false" ht="15.75" hidden="false" customHeight="false" outlineLevel="0" collapsed="false">
      <c r="A294" s="50"/>
      <c r="B294" s="50"/>
      <c r="C294" s="5"/>
      <c r="D294" s="48"/>
      <c r="E294" s="50"/>
      <c r="F294" s="5"/>
      <c r="G294" s="5"/>
      <c r="H294" s="5"/>
      <c r="I294" s="5"/>
      <c r="J294" s="5"/>
      <c r="K294" s="50"/>
      <c r="L294" s="50"/>
      <c r="M294" s="50"/>
      <c r="N294" s="50"/>
      <c r="O294" s="50"/>
      <c r="P294" s="50"/>
      <c r="Q294" s="50"/>
      <c r="R294" s="50"/>
      <c r="S294" s="50"/>
      <c r="T294" s="50"/>
      <c r="U294" s="50"/>
      <c r="V294" s="50"/>
      <c r="W294" s="50"/>
      <c r="X294" s="50"/>
      <c r="Y294" s="50"/>
      <c r="Z294" s="50"/>
      <c r="AA294" s="50"/>
      <c r="AB294" s="50"/>
    </row>
    <row r="295" customFormat="false" ht="15.75" hidden="false" customHeight="false" outlineLevel="0" collapsed="false">
      <c r="A295" s="50"/>
      <c r="B295" s="50"/>
      <c r="C295" s="5"/>
      <c r="D295" s="48"/>
      <c r="E295" s="50"/>
      <c r="F295" s="5"/>
      <c r="G295" s="5"/>
      <c r="H295" s="5"/>
      <c r="I295" s="5"/>
      <c r="J295" s="5"/>
      <c r="K295" s="50"/>
      <c r="L295" s="50"/>
      <c r="M295" s="50"/>
      <c r="N295" s="50"/>
      <c r="O295" s="50"/>
      <c r="P295" s="50"/>
      <c r="Q295" s="50"/>
      <c r="R295" s="50"/>
      <c r="S295" s="50"/>
      <c r="T295" s="50"/>
      <c r="U295" s="50"/>
      <c r="V295" s="50"/>
      <c r="W295" s="50"/>
      <c r="X295" s="50"/>
      <c r="Y295" s="50"/>
      <c r="Z295" s="50"/>
      <c r="AA295" s="50"/>
      <c r="AB295" s="50"/>
    </row>
    <row r="296" customFormat="false" ht="15.75" hidden="false" customHeight="false" outlineLevel="0" collapsed="false">
      <c r="A296" s="50"/>
      <c r="B296" s="50"/>
      <c r="C296" s="5"/>
      <c r="D296" s="48"/>
      <c r="E296" s="50"/>
      <c r="F296" s="5"/>
      <c r="G296" s="5"/>
      <c r="H296" s="5"/>
      <c r="I296" s="5"/>
      <c r="J296" s="5"/>
      <c r="K296" s="50"/>
      <c r="L296" s="50"/>
      <c r="M296" s="50"/>
      <c r="N296" s="50"/>
      <c r="O296" s="50"/>
      <c r="P296" s="50"/>
      <c r="Q296" s="50"/>
      <c r="R296" s="50"/>
      <c r="S296" s="50"/>
      <c r="T296" s="50"/>
      <c r="U296" s="50"/>
      <c r="V296" s="50"/>
      <c r="W296" s="50"/>
      <c r="X296" s="50"/>
      <c r="Y296" s="50"/>
      <c r="Z296" s="50"/>
      <c r="AA296" s="50"/>
      <c r="AB296" s="50"/>
    </row>
    <row r="297" customFormat="false" ht="15.75" hidden="false" customHeight="false" outlineLevel="0" collapsed="false">
      <c r="A297" s="50"/>
      <c r="B297" s="50"/>
      <c r="C297" s="5"/>
      <c r="D297" s="48"/>
      <c r="E297" s="50"/>
      <c r="F297" s="5"/>
      <c r="G297" s="5"/>
      <c r="H297" s="5"/>
      <c r="I297" s="5"/>
      <c r="J297" s="5"/>
      <c r="K297" s="50"/>
      <c r="L297" s="50"/>
      <c r="M297" s="50"/>
      <c r="N297" s="50"/>
      <c r="O297" s="50"/>
      <c r="P297" s="50"/>
      <c r="Q297" s="50"/>
      <c r="R297" s="50"/>
      <c r="S297" s="50"/>
      <c r="T297" s="50"/>
      <c r="U297" s="50"/>
      <c r="V297" s="50"/>
      <c r="W297" s="50"/>
      <c r="X297" s="50"/>
      <c r="Y297" s="50"/>
      <c r="Z297" s="50"/>
      <c r="AA297" s="50"/>
      <c r="AB297" s="50"/>
    </row>
    <row r="298" customFormat="false" ht="15.75" hidden="false" customHeight="false" outlineLevel="0" collapsed="false">
      <c r="A298" s="50"/>
      <c r="B298" s="50"/>
      <c r="C298" s="5"/>
      <c r="D298" s="48"/>
      <c r="E298" s="50"/>
      <c r="F298" s="5"/>
      <c r="G298" s="5"/>
      <c r="H298" s="5"/>
      <c r="I298" s="5"/>
      <c r="J298" s="5"/>
      <c r="K298" s="50"/>
      <c r="L298" s="50"/>
      <c r="M298" s="50"/>
      <c r="N298" s="50"/>
      <c r="O298" s="50"/>
      <c r="P298" s="50"/>
      <c r="Q298" s="50"/>
      <c r="R298" s="50"/>
      <c r="S298" s="50"/>
      <c r="T298" s="50"/>
      <c r="U298" s="50"/>
      <c r="V298" s="50"/>
      <c r="W298" s="50"/>
      <c r="X298" s="50"/>
      <c r="Y298" s="50"/>
      <c r="Z298" s="50"/>
      <c r="AA298" s="50"/>
      <c r="AB298" s="50"/>
    </row>
    <row r="299" customFormat="false" ht="15.75" hidden="false" customHeight="false" outlineLevel="0" collapsed="false">
      <c r="A299" s="50"/>
      <c r="B299" s="50"/>
      <c r="C299" s="5"/>
      <c r="D299" s="48"/>
      <c r="E299" s="50"/>
      <c r="F299" s="5"/>
      <c r="G299" s="5"/>
      <c r="H299" s="5"/>
      <c r="I299" s="5"/>
      <c r="J299" s="5"/>
      <c r="K299" s="50"/>
      <c r="L299" s="50"/>
      <c r="M299" s="50"/>
      <c r="N299" s="50"/>
      <c r="O299" s="50"/>
      <c r="P299" s="50"/>
      <c r="Q299" s="50"/>
      <c r="R299" s="50"/>
      <c r="S299" s="50"/>
      <c r="T299" s="50"/>
      <c r="U299" s="50"/>
      <c r="V299" s="50"/>
      <c r="W299" s="50"/>
      <c r="X299" s="50"/>
      <c r="Y299" s="50"/>
      <c r="Z299" s="50"/>
      <c r="AA299" s="50"/>
      <c r="AB299" s="50"/>
    </row>
    <row r="300" customFormat="false" ht="15.75" hidden="false" customHeight="false" outlineLevel="0" collapsed="false">
      <c r="A300" s="50"/>
      <c r="B300" s="50"/>
      <c r="C300" s="5"/>
      <c r="D300" s="48"/>
      <c r="E300" s="50"/>
      <c r="F300" s="5"/>
      <c r="G300" s="5"/>
      <c r="H300" s="5"/>
      <c r="I300" s="5"/>
      <c r="J300" s="5"/>
      <c r="K300" s="50"/>
      <c r="L300" s="50"/>
      <c r="M300" s="50"/>
      <c r="N300" s="50"/>
      <c r="O300" s="50"/>
      <c r="P300" s="50"/>
      <c r="Q300" s="50"/>
      <c r="R300" s="50"/>
      <c r="S300" s="50"/>
      <c r="T300" s="50"/>
      <c r="U300" s="50"/>
      <c r="V300" s="50"/>
      <c r="W300" s="50"/>
      <c r="X300" s="50"/>
      <c r="Y300" s="50"/>
      <c r="Z300" s="50"/>
      <c r="AA300" s="50"/>
      <c r="AB300" s="50"/>
    </row>
    <row r="301" customFormat="false" ht="15.75" hidden="false" customHeight="false" outlineLevel="0" collapsed="false">
      <c r="A301" s="50"/>
      <c r="B301" s="50"/>
      <c r="C301" s="5"/>
      <c r="D301" s="48"/>
      <c r="E301" s="50"/>
      <c r="F301" s="5"/>
      <c r="G301" s="5"/>
      <c r="H301" s="5"/>
      <c r="I301" s="5"/>
      <c r="J301" s="5"/>
      <c r="K301" s="50"/>
      <c r="L301" s="50"/>
      <c r="M301" s="50"/>
      <c r="N301" s="50"/>
      <c r="O301" s="50"/>
      <c r="P301" s="50"/>
      <c r="Q301" s="50"/>
      <c r="R301" s="50"/>
      <c r="S301" s="50"/>
      <c r="T301" s="50"/>
      <c r="U301" s="50"/>
      <c r="V301" s="50"/>
      <c r="W301" s="50"/>
      <c r="X301" s="50"/>
      <c r="Y301" s="50"/>
      <c r="Z301" s="50"/>
      <c r="AA301" s="50"/>
      <c r="AB301" s="50"/>
    </row>
    <row r="302" customFormat="false" ht="15.75" hidden="false" customHeight="false" outlineLevel="0" collapsed="false">
      <c r="A302" s="50"/>
      <c r="B302" s="50"/>
      <c r="C302" s="5"/>
      <c r="D302" s="48"/>
      <c r="E302" s="50"/>
      <c r="F302" s="5"/>
      <c r="G302" s="5"/>
      <c r="H302" s="5"/>
      <c r="I302" s="5"/>
      <c r="J302" s="5"/>
      <c r="K302" s="50"/>
      <c r="L302" s="50"/>
      <c r="M302" s="50"/>
      <c r="N302" s="50"/>
      <c r="O302" s="50"/>
      <c r="P302" s="50"/>
      <c r="Q302" s="50"/>
      <c r="R302" s="50"/>
      <c r="S302" s="50"/>
      <c r="T302" s="50"/>
      <c r="U302" s="50"/>
      <c r="V302" s="50"/>
      <c r="W302" s="50"/>
      <c r="X302" s="50"/>
      <c r="Y302" s="50"/>
      <c r="Z302" s="50"/>
      <c r="AA302" s="50"/>
      <c r="AB302" s="50"/>
    </row>
    <row r="303" customFormat="false" ht="15.75" hidden="false" customHeight="false" outlineLevel="0" collapsed="false">
      <c r="A303" s="50"/>
      <c r="B303" s="50"/>
      <c r="C303" s="5"/>
      <c r="D303" s="48"/>
      <c r="E303" s="50"/>
      <c r="F303" s="5"/>
      <c r="G303" s="5"/>
      <c r="H303" s="5"/>
      <c r="I303" s="5"/>
      <c r="J303" s="5"/>
      <c r="K303" s="50"/>
      <c r="L303" s="50"/>
      <c r="M303" s="50"/>
      <c r="N303" s="50"/>
      <c r="O303" s="50"/>
      <c r="P303" s="50"/>
      <c r="Q303" s="50"/>
      <c r="R303" s="50"/>
      <c r="S303" s="50"/>
      <c r="T303" s="50"/>
      <c r="U303" s="50"/>
      <c r="V303" s="50"/>
      <c r="W303" s="50"/>
      <c r="X303" s="50"/>
      <c r="Y303" s="50"/>
      <c r="Z303" s="50"/>
      <c r="AA303" s="50"/>
      <c r="AB303" s="50"/>
    </row>
    <row r="304" customFormat="false" ht="15.75" hidden="false" customHeight="false" outlineLevel="0" collapsed="false">
      <c r="A304" s="50"/>
      <c r="B304" s="50"/>
      <c r="C304" s="5"/>
      <c r="D304" s="48"/>
      <c r="E304" s="50"/>
      <c r="F304" s="5"/>
      <c r="G304" s="5"/>
      <c r="H304" s="5"/>
      <c r="I304" s="5"/>
      <c r="J304" s="5"/>
      <c r="K304" s="50"/>
      <c r="L304" s="50"/>
      <c r="M304" s="50"/>
      <c r="N304" s="50"/>
      <c r="O304" s="50"/>
      <c r="P304" s="50"/>
      <c r="Q304" s="50"/>
      <c r="R304" s="50"/>
      <c r="S304" s="50"/>
      <c r="T304" s="50"/>
      <c r="U304" s="50"/>
      <c r="V304" s="50"/>
      <c r="W304" s="50"/>
      <c r="X304" s="50"/>
      <c r="Y304" s="50"/>
      <c r="Z304" s="50"/>
      <c r="AA304" s="50"/>
      <c r="AB304" s="50"/>
    </row>
    <row r="305" customFormat="false" ht="15.75" hidden="false" customHeight="false" outlineLevel="0" collapsed="false">
      <c r="A305" s="50"/>
      <c r="B305" s="50"/>
      <c r="C305" s="5"/>
      <c r="D305" s="48"/>
      <c r="E305" s="50"/>
      <c r="F305" s="5"/>
      <c r="G305" s="5"/>
      <c r="H305" s="5"/>
      <c r="I305" s="5"/>
      <c r="J305" s="5"/>
      <c r="K305" s="50"/>
      <c r="L305" s="50"/>
      <c r="M305" s="50"/>
      <c r="N305" s="50"/>
      <c r="O305" s="50"/>
      <c r="P305" s="50"/>
      <c r="Q305" s="50"/>
      <c r="R305" s="50"/>
      <c r="S305" s="50"/>
      <c r="T305" s="50"/>
      <c r="U305" s="50"/>
      <c r="V305" s="50"/>
      <c r="W305" s="50"/>
      <c r="X305" s="50"/>
      <c r="Y305" s="50"/>
      <c r="Z305" s="50"/>
      <c r="AA305" s="50"/>
      <c r="AB305" s="50"/>
    </row>
    <row r="306" customFormat="false" ht="15.75" hidden="false" customHeight="false" outlineLevel="0" collapsed="false">
      <c r="A306" s="50"/>
      <c r="B306" s="50"/>
      <c r="C306" s="5"/>
      <c r="D306" s="48"/>
      <c r="E306" s="50"/>
      <c r="F306" s="5"/>
      <c r="G306" s="5"/>
      <c r="H306" s="5"/>
      <c r="I306" s="5"/>
      <c r="J306" s="5"/>
      <c r="K306" s="50"/>
      <c r="L306" s="50"/>
      <c r="M306" s="50"/>
      <c r="N306" s="50"/>
      <c r="O306" s="50"/>
      <c r="P306" s="50"/>
      <c r="Q306" s="50"/>
      <c r="R306" s="50"/>
      <c r="S306" s="50"/>
      <c r="T306" s="50"/>
      <c r="U306" s="50"/>
      <c r="V306" s="50"/>
      <c r="W306" s="50"/>
      <c r="X306" s="50"/>
      <c r="Y306" s="50"/>
      <c r="Z306" s="50"/>
      <c r="AA306" s="50"/>
      <c r="AB306" s="50"/>
    </row>
    <row r="307" customFormat="false" ht="15.75" hidden="false" customHeight="false" outlineLevel="0" collapsed="false">
      <c r="A307" s="50"/>
      <c r="B307" s="50"/>
      <c r="C307" s="5"/>
      <c r="D307" s="48"/>
      <c r="E307" s="50"/>
      <c r="F307" s="5"/>
      <c r="G307" s="5"/>
      <c r="H307" s="5"/>
      <c r="I307" s="5"/>
      <c r="J307" s="5"/>
      <c r="K307" s="50"/>
      <c r="L307" s="50"/>
      <c r="M307" s="50"/>
      <c r="N307" s="50"/>
      <c r="O307" s="50"/>
      <c r="P307" s="50"/>
      <c r="Q307" s="50"/>
      <c r="R307" s="50"/>
      <c r="S307" s="50"/>
      <c r="T307" s="50"/>
      <c r="U307" s="50"/>
      <c r="V307" s="50"/>
      <c r="W307" s="50"/>
      <c r="X307" s="50"/>
      <c r="Y307" s="50"/>
      <c r="Z307" s="50"/>
      <c r="AA307" s="50"/>
      <c r="AB307" s="50"/>
    </row>
    <row r="308" customFormat="false" ht="15.75" hidden="false" customHeight="false" outlineLevel="0" collapsed="false">
      <c r="A308" s="50"/>
      <c r="B308" s="50"/>
      <c r="C308" s="5"/>
      <c r="D308" s="48"/>
      <c r="E308" s="50"/>
      <c r="F308" s="5"/>
      <c r="G308" s="5"/>
      <c r="H308" s="5"/>
      <c r="I308" s="5"/>
      <c r="J308" s="5"/>
      <c r="K308" s="50"/>
      <c r="L308" s="50"/>
      <c r="M308" s="50"/>
      <c r="N308" s="50"/>
      <c r="O308" s="50"/>
      <c r="P308" s="50"/>
      <c r="Q308" s="50"/>
      <c r="R308" s="50"/>
      <c r="S308" s="50"/>
      <c r="T308" s="50"/>
      <c r="U308" s="50"/>
      <c r="V308" s="50"/>
      <c r="W308" s="50"/>
      <c r="X308" s="50"/>
      <c r="Y308" s="50"/>
      <c r="Z308" s="50"/>
      <c r="AA308" s="50"/>
      <c r="AB308" s="50"/>
    </row>
    <row r="309" customFormat="false" ht="15.75" hidden="false" customHeight="false" outlineLevel="0" collapsed="false">
      <c r="A309" s="50"/>
      <c r="B309" s="50"/>
      <c r="C309" s="5"/>
      <c r="D309" s="48"/>
      <c r="E309" s="50"/>
      <c r="F309" s="5"/>
      <c r="G309" s="5"/>
      <c r="H309" s="5"/>
      <c r="I309" s="5"/>
      <c r="J309" s="5"/>
      <c r="K309" s="50"/>
      <c r="L309" s="50"/>
      <c r="M309" s="50"/>
      <c r="N309" s="50"/>
      <c r="O309" s="50"/>
      <c r="P309" s="50"/>
      <c r="Q309" s="50"/>
      <c r="R309" s="50"/>
      <c r="S309" s="50"/>
      <c r="T309" s="50"/>
      <c r="U309" s="50"/>
      <c r="V309" s="50"/>
      <c r="W309" s="50"/>
      <c r="X309" s="50"/>
      <c r="Y309" s="50"/>
      <c r="Z309" s="50"/>
      <c r="AA309" s="50"/>
      <c r="AB309" s="50"/>
    </row>
    <row r="310" customFormat="false" ht="15.75" hidden="false" customHeight="false" outlineLevel="0" collapsed="false">
      <c r="A310" s="50"/>
      <c r="B310" s="50"/>
      <c r="C310" s="5"/>
      <c r="D310" s="48"/>
      <c r="E310" s="50"/>
      <c r="F310" s="5"/>
      <c r="G310" s="5"/>
      <c r="H310" s="5"/>
      <c r="I310" s="5"/>
      <c r="J310" s="5"/>
      <c r="K310" s="50"/>
      <c r="L310" s="50"/>
      <c r="M310" s="50"/>
      <c r="N310" s="50"/>
      <c r="O310" s="50"/>
      <c r="P310" s="50"/>
      <c r="Q310" s="50"/>
      <c r="R310" s="50"/>
      <c r="S310" s="50"/>
      <c r="T310" s="50"/>
      <c r="U310" s="50"/>
      <c r="V310" s="50"/>
      <c r="W310" s="50"/>
      <c r="X310" s="50"/>
      <c r="Y310" s="50"/>
      <c r="Z310" s="50"/>
      <c r="AA310" s="50"/>
      <c r="AB310" s="50"/>
    </row>
    <row r="311" customFormat="false" ht="15.75" hidden="false" customHeight="false" outlineLevel="0" collapsed="false">
      <c r="A311" s="50"/>
      <c r="B311" s="50"/>
      <c r="C311" s="5"/>
      <c r="D311" s="48"/>
      <c r="E311" s="50"/>
      <c r="F311" s="5"/>
      <c r="G311" s="5"/>
      <c r="H311" s="5"/>
      <c r="I311" s="5"/>
      <c r="J311" s="5"/>
      <c r="K311" s="50"/>
      <c r="L311" s="50"/>
      <c r="M311" s="50"/>
      <c r="N311" s="50"/>
      <c r="O311" s="50"/>
      <c r="P311" s="50"/>
      <c r="Q311" s="50"/>
      <c r="R311" s="50"/>
      <c r="S311" s="50"/>
      <c r="T311" s="50"/>
      <c r="U311" s="50"/>
      <c r="V311" s="50"/>
      <c r="W311" s="50"/>
      <c r="X311" s="50"/>
      <c r="Y311" s="50"/>
      <c r="Z311" s="50"/>
      <c r="AA311" s="50"/>
      <c r="AB311" s="50"/>
    </row>
    <row r="312" customFormat="false" ht="15.75" hidden="false" customHeight="false" outlineLevel="0" collapsed="false">
      <c r="A312" s="50"/>
      <c r="B312" s="50"/>
      <c r="C312" s="5"/>
      <c r="D312" s="48"/>
      <c r="E312" s="50"/>
      <c r="F312" s="5"/>
      <c r="G312" s="5"/>
      <c r="H312" s="5"/>
      <c r="I312" s="5"/>
      <c r="J312" s="5"/>
      <c r="K312" s="50"/>
      <c r="L312" s="50"/>
      <c r="M312" s="50"/>
      <c r="N312" s="50"/>
      <c r="O312" s="50"/>
      <c r="P312" s="50"/>
      <c r="Q312" s="50"/>
      <c r="R312" s="50"/>
      <c r="S312" s="50"/>
      <c r="T312" s="50"/>
      <c r="U312" s="50"/>
      <c r="V312" s="50"/>
      <c r="W312" s="50"/>
      <c r="X312" s="50"/>
      <c r="Y312" s="50"/>
      <c r="Z312" s="50"/>
      <c r="AA312" s="50"/>
      <c r="AB312" s="50"/>
    </row>
    <row r="313" customFormat="false" ht="15.75" hidden="false" customHeight="false" outlineLevel="0" collapsed="false">
      <c r="A313" s="50"/>
      <c r="B313" s="50"/>
      <c r="C313" s="5"/>
      <c r="D313" s="48"/>
      <c r="E313" s="50"/>
      <c r="F313" s="5"/>
      <c r="G313" s="5"/>
      <c r="H313" s="5"/>
      <c r="I313" s="5"/>
      <c r="J313" s="5"/>
      <c r="K313" s="50"/>
      <c r="L313" s="50"/>
      <c r="M313" s="50"/>
      <c r="N313" s="50"/>
      <c r="O313" s="50"/>
      <c r="P313" s="50"/>
      <c r="Q313" s="50"/>
      <c r="R313" s="50"/>
      <c r="S313" s="50"/>
      <c r="T313" s="50"/>
      <c r="U313" s="50"/>
      <c r="V313" s="50"/>
      <c r="W313" s="50"/>
      <c r="X313" s="50"/>
      <c r="Y313" s="50"/>
      <c r="Z313" s="50"/>
      <c r="AA313" s="50"/>
      <c r="AB313" s="50"/>
    </row>
    <row r="314" customFormat="false" ht="15.75" hidden="false" customHeight="false" outlineLevel="0" collapsed="false">
      <c r="A314" s="50"/>
      <c r="B314" s="50"/>
      <c r="C314" s="5"/>
      <c r="D314" s="48"/>
      <c r="E314" s="50"/>
      <c r="F314" s="5"/>
      <c r="G314" s="5"/>
      <c r="H314" s="5"/>
      <c r="I314" s="5"/>
      <c r="J314" s="5"/>
      <c r="K314" s="50"/>
      <c r="L314" s="50"/>
      <c r="M314" s="50"/>
      <c r="N314" s="50"/>
      <c r="O314" s="50"/>
      <c r="P314" s="50"/>
      <c r="Q314" s="50"/>
      <c r="R314" s="50"/>
      <c r="S314" s="50"/>
      <c r="T314" s="50"/>
      <c r="U314" s="50"/>
      <c r="V314" s="50"/>
      <c r="W314" s="50"/>
      <c r="X314" s="50"/>
      <c r="Y314" s="50"/>
      <c r="Z314" s="50"/>
      <c r="AA314" s="50"/>
      <c r="AB314" s="50"/>
    </row>
    <row r="315" customFormat="false" ht="15.75" hidden="false" customHeight="false" outlineLevel="0" collapsed="false">
      <c r="A315" s="50"/>
      <c r="B315" s="50"/>
      <c r="C315" s="5"/>
      <c r="D315" s="48"/>
      <c r="E315" s="50"/>
      <c r="F315" s="5"/>
      <c r="G315" s="5"/>
      <c r="H315" s="5"/>
      <c r="I315" s="5"/>
      <c r="J315" s="5"/>
      <c r="K315" s="50"/>
      <c r="L315" s="50"/>
      <c r="M315" s="50"/>
      <c r="N315" s="50"/>
      <c r="O315" s="50"/>
      <c r="P315" s="50"/>
      <c r="Q315" s="50"/>
      <c r="R315" s="50"/>
      <c r="S315" s="50"/>
      <c r="T315" s="50"/>
      <c r="U315" s="50"/>
      <c r="V315" s="50"/>
      <c r="W315" s="50"/>
      <c r="X315" s="50"/>
      <c r="Y315" s="50"/>
      <c r="Z315" s="50"/>
      <c r="AA315" s="50"/>
      <c r="AB315" s="50"/>
    </row>
    <row r="316" customFormat="false" ht="15.75" hidden="false" customHeight="false" outlineLevel="0" collapsed="false">
      <c r="A316" s="50"/>
      <c r="B316" s="50"/>
      <c r="C316" s="5"/>
      <c r="D316" s="48"/>
      <c r="E316" s="50"/>
      <c r="F316" s="5"/>
      <c r="G316" s="5"/>
      <c r="H316" s="5"/>
      <c r="I316" s="5"/>
      <c r="J316" s="5"/>
      <c r="K316" s="50"/>
      <c r="L316" s="50"/>
      <c r="M316" s="50"/>
      <c r="N316" s="50"/>
      <c r="O316" s="50"/>
      <c r="P316" s="50"/>
      <c r="Q316" s="50"/>
      <c r="R316" s="50"/>
      <c r="S316" s="50"/>
      <c r="T316" s="50"/>
      <c r="U316" s="50"/>
      <c r="V316" s="50"/>
      <c r="W316" s="50"/>
      <c r="X316" s="50"/>
      <c r="Y316" s="50"/>
      <c r="Z316" s="50"/>
      <c r="AA316" s="50"/>
      <c r="AB316" s="50"/>
    </row>
    <row r="317" customFormat="false" ht="15.75" hidden="false" customHeight="false" outlineLevel="0" collapsed="false">
      <c r="A317" s="50"/>
      <c r="B317" s="50"/>
      <c r="C317" s="5"/>
      <c r="D317" s="48"/>
      <c r="E317" s="50"/>
      <c r="F317" s="5"/>
      <c r="G317" s="5"/>
      <c r="H317" s="5"/>
      <c r="I317" s="5"/>
      <c r="J317" s="5"/>
      <c r="K317" s="50"/>
      <c r="L317" s="50"/>
      <c r="M317" s="50"/>
      <c r="N317" s="50"/>
      <c r="O317" s="50"/>
      <c r="P317" s="50"/>
      <c r="Q317" s="50"/>
      <c r="R317" s="50"/>
      <c r="S317" s="50"/>
      <c r="T317" s="50"/>
      <c r="U317" s="50"/>
      <c r="V317" s="50"/>
      <c r="W317" s="50"/>
      <c r="X317" s="50"/>
      <c r="Y317" s="50"/>
      <c r="Z317" s="50"/>
      <c r="AA317" s="50"/>
      <c r="AB317" s="50"/>
    </row>
    <row r="318" customFormat="false" ht="15.75" hidden="false" customHeight="false" outlineLevel="0" collapsed="false">
      <c r="A318" s="50"/>
      <c r="B318" s="50"/>
      <c r="C318" s="5"/>
      <c r="D318" s="48"/>
      <c r="E318" s="50"/>
      <c r="F318" s="5"/>
      <c r="G318" s="5"/>
      <c r="H318" s="5"/>
      <c r="I318" s="5"/>
      <c r="J318" s="5"/>
      <c r="K318" s="50"/>
      <c r="L318" s="50"/>
      <c r="M318" s="50"/>
      <c r="N318" s="50"/>
      <c r="O318" s="50"/>
      <c r="P318" s="50"/>
      <c r="Q318" s="50"/>
      <c r="R318" s="50"/>
      <c r="S318" s="50"/>
      <c r="T318" s="50"/>
      <c r="U318" s="50"/>
      <c r="V318" s="50"/>
      <c r="W318" s="50"/>
      <c r="X318" s="50"/>
      <c r="Y318" s="50"/>
      <c r="Z318" s="50"/>
      <c r="AA318" s="50"/>
      <c r="AB318" s="50"/>
    </row>
    <row r="319" customFormat="false" ht="15.75" hidden="false" customHeight="false" outlineLevel="0" collapsed="false">
      <c r="A319" s="50"/>
      <c r="B319" s="50"/>
      <c r="C319" s="5"/>
      <c r="D319" s="48"/>
      <c r="E319" s="50"/>
      <c r="F319" s="5"/>
      <c r="G319" s="5"/>
      <c r="H319" s="5"/>
      <c r="I319" s="5"/>
      <c r="J319" s="5"/>
      <c r="K319" s="50"/>
      <c r="L319" s="50"/>
      <c r="M319" s="50"/>
      <c r="N319" s="50"/>
      <c r="O319" s="50"/>
      <c r="P319" s="50"/>
      <c r="Q319" s="50"/>
      <c r="R319" s="50"/>
      <c r="S319" s="50"/>
      <c r="T319" s="50"/>
      <c r="U319" s="50"/>
      <c r="V319" s="50"/>
      <c r="W319" s="50"/>
      <c r="X319" s="50"/>
      <c r="Y319" s="50"/>
      <c r="Z319" s="50"/>
      <c r="AA319" s="50"/>
      <c r="AB319" s="50"/>
    </row>
    <row r="320" customFormat="false" ht="15.75" hidden="false" customHeight="false" outlineLevel="0" collapsed="false">
      <c r="A320" s="50"/>
      <c r="B320" s="50"/>
      <c r="C320" s="5"/>
      <c r="D320" s="48"/>
      <c r="E320" s="50"/>
      <c r="F320" s="5"/>
      <c r="G320" s="5"/>
      <c r="H320" s="5"/>
      <c r="I320" s="5"/>
      <c r="J320" s="5"/>
      <c r="K320" s="50"/>
      <c r="L320" s="50"/>
      <c r="M320" s="50"/>
      <c r="N320" s="50"/>
      <c r="O320" s="50"/>
      <c r="P320" s="50"/>
      <c r="Q320" s="50"/>
      <c r="R320" s="50"/>
      <c r="S320" s="50"/>
      <c r="T320" s="50"/>
      <c r="U320" s="50"/>
      <c r="V320" s="50"/>
      <c r="W320" s="50"/>
      <c r="X320" s="50"/>
      <c r="Y320" s="50"/>
      <c r="Z320" s="50"/>
      <c r="AA320" s="50"/>
      <c r="AB320" s="50"/>
    </row>
    <row r="321" customFormat="false" ht="15.75" hidden="false" customHeight="false" outlineLevel="0" collapsed="false">
      <c r="A321" s="50"/>
      <c r="B321" s="50"/>
      <c r="C321" s="5"/>
      <c r="D321" s="48"/>
      <c r="E321" s="50"/>
      <c r="F321" s="5"/>
      <c r="G321" s="5"/>
      <c r="H321" s="5"/>
      <c r="I321" s="5"/>
      <c r="J321" s="5"/>
      <c r="K321" s="50"/>
      <c r="L321" s="50"/>
      <c r="M321" s="50"/>
      <c r="N321" s="50"/>
      <c r="O321" s="50"/>
      <c r="P321" s="50"/>
      <c r="Q321" s="50"/>
      <c r="R321" s="50"/>
      <c r="S321" s="50"/>
      <c r="T321" s="50"/>
      <c r="U321" s="50"/>
      <c r="V321" s="50"/>
      <c r="W321" s="50"/>
      <c r="X321" s="50"/>
      <c r="Y321" s="50"/>
      <c r="Z321" s="50"/>
      <c r="AA321" s="50"/>
      <c r="AB321" s="50"/>
    </row>
    <row r="322" customFormat="false" ht="15.75" hidden="false" customHeight="false" outlineLevel="0" collapsed="false">
      <c r="A322" s="50"/>
      <c r="B322" s="50"/>
      <c r="C322" s="5"/>
      <c r="D322" s="48"/>
      <c r="E322" s="50"/>
      <c r="F322" s="5"/>
      <c r="G322" s="5"/>
      <c r="H322" s="5"/>
      <c r="I322" s="5"/>
      <c r="J322" s="5"/>
      <c r="K322" s="50"/>
      <c r="L322" s="50"/>
      <c r="M322" s="50"/>
      <c r="N322" s="50"/>
      <c r="O322" s="50"/>
      <c r="P322" s="50"/>
      <c r="Q322" s="50"/>
      <c r="R322" s="50"/>
      <c r="S322" s="50"/>
      <c r="T322" s="50"/>
      <c r="U322" s="50"/>
      <c r="V322" s="50"/>
      <c r="W322" s="50"/>
      <c r="X322" s="50"/>
      <c r="Y322" s="50"/>
      <c r="Z322" s="50"/>
      <c r="AA322" s="50"/>
      <c r="AB322" s="50"/>
    </row>
    <row r="323" customFormat="false" ht="15.75" hidden="false" customHeight="false" outlineLevel="0" collapsed="false">
      <c r="A323" s="50"/>
      <c r="B323" s="50"/>
      <c r="C323" s="5"/>
      <c r="D323" s="48"/>
      <c r="E323" s="50"/>
      <c r="F323" s="5"/>
      <c r="G323" s="5"/>
      <c r="H323" s="5"/>
      <c r="I323" s="5"/>
      <c r="J323" s="5"/>
      <c r="K323" s="50"/>
      <c r="L323" s="50"/>
      <c r="M323" s="50"/>
      <c r="N323" s="50"/>
      <c r="O323" s="50"/>
      <c r="P323" s="50"/>
      <c r="Q323" s="50"/>
      <c r="R323" s="50"/>
      <c r="S323" s="50"/>
      <c r="T323" s="50"/>
      <c r="U323" s="50"/>
      <c r="V323" s="50"/>
      <c r="W323" s="50"/>
      <c r="X323" s="50"/>
      <c r="Y323" s="50"/>
      <c r="Z323" s="50"/>
      <c r="AA323" s="50"/>
      <c r="AB323" s="50"/>
    </row>
    <row r="324" customFormat="false" ht="15.75" hidden="false" customHeight="false" outlineLevel="0" collapsed="false">
      <c r="A324" s="50"/>
      <c r="B324" s="50"/>
      <c r="C324" s="5"/>
      <c r="D324" s="48"/>
      <c r="E324" s="50"/>
      <c r="F324" s="5"/>
      <c r="G324" s="5"/>
      <c r="H324" s="5"/>
      <c r="I324" s="5"/>
      <c r="J324" s="5"/>
      <c r="K324" s="50"/>
      <c r="L324" s="50"/>
      <c r="M324" s="50"/>
      <c r="N324" s="50"/>
      <c r="O324" s="50"/>
      <c r="P324" s="50"/>
      <c r="Q324" s="50"/>
      <c r="R324" s="50"/>
      <c r="S324" s="50"/>
      <c r="T324" s="50"/>
      <c r="U324" s="50"/>
      <c r="V324" s="50"/>
      <c r="W324" s="50"/>
      <c r="X324" s="50"/>
      <c r="Y324" s="50"/>
      <c r="Z324" s="50"/>
      <c r="AA324" s="50"/>
      <c r="AB324" s="50"/>
    </row>
    <row r="325" customFormat="false" ht="15.75" hidden="false" customHeight="false" outlineLevel="0" collapsed="false">
      <c r="A325" s="50"/>
      <c r="B325" s="50"/>
      <c r="C325" s="5"/>
      <c r="D325" s="48"/>
      <c r="E325" s="50"/>
      <c r="F325" s="5"/>
      <c r="G325" s="5"/>
      <c r="H325" s="5"/>
      <c r="I325" s="5"/>
      <c r="J325" s="5"/>
      <c r="K325" s="50"/>
      <c r="L325" s="50"/>
      <c r="M325" s="50"/>
      <c r="N325" s="50"/>
      <c r="O325" s="50"/>
      <c r="P325" s="50"/>
      <c r="Q325" s="50"/>
      <c r="R325" s="50"/>
      <c r="S325" s="50"/>
      <c r="T325" s="50"/>
      <c r="U325" s="50"/>
      <c r="V325" s="50"/>
      <c r="W325" s="50"/>
      <c r="X325" s="50"/>
      <c r="Y325" s="50"/>
      <c r="Z325" s="50"/>
      <c r="AA325" s="50"/>
      <c r="AB325" s="50"/>
    </row>
    <row r="326" customFormat="false" ht="15.75" hidden="false" customHeight="false" outlineLevel="0" collapsed="false">
      <c r="A326" s="50"/>
      <c r="B326" s="50"/>
      <c r="C326" s="5"/>
      <c r="D326" s="48"/>
      <c r="E326" s="50"/>
      <c r="F326" s="5"/>
      <c r="G326" s="5"/>
      <c r="H326" s="5"/>
      <c r="I326" s="5"/>
      <c r="J326" s="5"/>
      <c r="K326" s="50"/>
      <c r="L326" s="50"/>
      <c r="M326" s="50"/>
      <c r="N326" s="50"/>
      <c r="O326" s="50"/>
      <c r="P326" s="50"/>
      <c r="Q326" s="50"/>
      <c r="R326" s="50"/>
      <c r="S326" s="50"/>
      <c r="T326" s="50"/>
      <c r="U326" s="50"/>
      <c r="V326" s="50"/>
      <c r="W326" s="50"/>
      <c r="X326" s="50"/>
      <c r="Y326" s="50"/>
      <c r="Z326" s="50"/>
      <c r="AA326" s="50"/>
      <c r="AB326" s="50"/>
    </row>
    <row r="327" customFormat="false" ht="15.75" hidden="false" customHeight="false" outlineLevel="0" collapsed="false">
      <c r="A327" s="50"/>
      <c r="B327" s="50"/>
      <c r="C327" s="5"/>
      <c r="D327" s="48"/>
      <c r="E327" s="50"/>
      <c r="F327" s="5"/>
      <c r="G327" s="5"/>
      <c r="H327" s="5"/>
      <c r="I327" s="5"/>
      <c r="J327" s="5"/>
      <c r="K327" s="50"/>
      <c r="L327" s="50"/>
      <c r="M327" s="50"/>
      <c r="N327" s="50"/>
      <c r="O327" s="50"/>
      <c r="P327" s="50"/>
      <c r="Q327" s="50"/>
      <c r="R327" s="50"/>
      <c r="S327" s="50"/>
      <c r="T327" s="50"/>
      <c r="U327" s="50"/>
      <c r="V327" s="50"/>
      <c r="W327" s="50"/>
      <c r="X327" s="50"/>
      <c r="Y327" s="50"/>
      <c r="Z327" s="50"/>
      <c r="AA327" s="50"/>
      <c r="AB327" s="50"/>
    </row>
    <row r="328" customFormat="false" ht="15.75" hidden="false" customHeight="false" outlineLevel="0" collapsed="false">
      <c r="A328" s="50"/>
      <c r="B328" s="50"/>
      <c r="C328" s="5"/>
      <c r="D328" s="48"/>
      <c r="E328" s="50"/>
      <c r="F328" s="5"/>
      <c r="G328" s="5"/>
      <c r="H328" s="5"/>
      <c r="I328" s="5"/>
      <c r="J328" s="5"/>
      <c r="K328" s="50"/>
      <c r="L328" s="50"/>
      <c r="M328" s="50"/>
      <c r="N328" s="50"/>
      <c r="O328" s="50"/>
      <c r="P328" s="50"/>
      <c r="Q328" s="50"/>
      <c r="R328" s="50"/>
      <c r="S328" s="50"/>
      <c r="T328" s="50"/>
      <c r="U328" s="50"/>
      <c r="V328" s="50"/>
      <c r="W328" s="50"/>
      <c r="X328" s="50"/>
      <c r="Y328" s="50"/>
      <c r="Z328" s="50"/>
      <c r="AA328" s="50"/>
      <c r="AB328" s="50"/>
    </row>
    <row r="329" customFormat="false" ht="15.75" hidden="false" customHeight="false" outlineLevel="0" collapsed="false">
      <c r="A329" s="50"/>
      <c r="B329" s="50"/>
      <c r="C329" s="5"/>
      <c r="D329" s="48"/>
      <c r="E329" s="50"/>
      <c r="F329" s="5"/>
      <c r="G329" s="5"/>
      <c r="H329" s="5"/>
      <c r="I329" s="5"/>
      <c r="J329" s="5"/>
      <c r="K329" s="50"/>
      <c r="L329" s="50"/>
      <c r="M329" s="50"/>
      <c r="N329" s="50"/>
      <c r="O329" s="50"/>
      <c r="P329" s="50"/>
      <c r="Q329" s="50"/>
      <c r="R329" s="50"/>
      <c r="S329" s="50"/>
      <c r="T329" s="50"/>
      <c r="U329" s="50"/>
      <c r="V329" s="50"/>
      <c r="W329" s="50"/>
      <c r="X329" s="50"/>
      <c r="Y329" s="50"/>
      <c r="Z329" s="50"/>
      <c r="AA329" s="50"/>
      <c r="AB329" s="50"/>
    </row>
    <row r="330" customFormat="false" ht="15.75" hidden="false" customHeight="false" outlineLevel="0" collapsed="false">
      <c r="A330" s="50"/>
      <c r="B330" s="50"/>
      <c r="C330" s="5"/>
      <c r="D330" s="48"/>
      <c r="E330" s="50"/>
      <c r="F330" s="5"/>
      <c r="G330" s="5"/>
      <c r="H330" s="5"/>
      <c r="I330" s="5"/>
      <c r="J330" s="5"/>
      <c r="K330" s="50"/>
      <c r="L330" s="50"/>
      <c r="M330" s="50"/>
      <c r="N330" s="50"/>
      <c r="O330" s="50"/>
      <c r="P330" s="50"/>
      <c r="Q330" s="50"/>
      <c r="R330" s="50"/>
      <c r="S330" s="50"/>
      <c r="T330" s="50"/>
      <c r="U330" s="50"/>
      <c r="V330" s="50"/>
      <c r="W330" s="50"/>
      <c r="X330" s="50"/>
      <c r="Y330" s="50"/>
      <c r="Z330" s="50"/>
      <c r="AA330" s="50"/>
      <c r="AB330" s="50"/>
    </row>
    <row r="331" customFormat="false" ht="15.75" hidden="false" customHeight="false" outlineLevel="0" collapsed="false">
      <c r="A331" s="50"/>
      <c r="B331" s="50"/>
      <c r="C331" s="5"/>
      <c r="D331" s="48"/>
      <c r="E331" s="50"/>
      <c r="F331" s="5"/>
      <c r="G331" s="5"/>
      <c r="H331" s="5"/>
      <c r="I331" s="5"/>
      <c r="J331" s="5"/>
      <c r="K331" s="50"/>
      <c r="L331" s="50"/>
      <c r="M331" s="50"/>
      <c r="N331" s="50"/>
      <c r="O331" s="50"/>
      <c r="P331" s="50"/>
      <c r="Q331" s="50"/>
      <c r="R331" s="50"/>
      <c r="S331" s="50"/>
      <c r="T331" s="50"/>
      <c r="U331" s="50"/>
      <c r="V331" s="50"/>
      <c r="W331" s="50"/>
      <c r="X331" s="50"/>
      <c r="Y331" s="50"/>
      <c r="Z331" s="50"/>
      <c r="AA331" s="50"/>
      <c r="AB331" s="50"/>
    </row>
    <row r="332" customFormat="false" ht="15.75" hidden="false" customHeight="false" outlineLevel="0" collapsed="false">
      <c r="A332" s="50"/>
      <c r="B332" s="50"/>
      <c r="C332" s="5"/>
      <c r="D332" s="48"/>
      <c r="E332" s="50"/>
      <c r="F332" s="5"/>
      <c r="G332" s="5"/>
      <c r="H332" s="5"/>
      <c r="I332" s="5"/>
      <c r="J332" s="5"/>
      <c r="K332" s="50"/>
      <c r="L332" s="50"/>
      <c r="M332" s="50"/>
      <c r="N332" s="50"/>
      <c r="O332" s="50"/>
      <c r="P332" s="50"/>
      <c r="Q332" s="50"/>
      <c r="R332" s="50"/>
      <c r="S332" s="50"/>
      <c r="T332" s="50"/>
      <c r="U332" s="50"/>
      <c r="V332" s="50"/>
      <c r="W332" s="50"/>
      <c r="X332" s="50"/>
      <c r="Y332" s="50"/>
      <c r="Z332" s="50"/>
      <c r="AA332" s="50"/>
      <c r="AB332" s="50"/>
    </row>
    <row r="333" customFormat="false" ht="15.75" hidden="false" customHeight="false" outlineLevel="0" collapsed="false">
      <c r="A333" s="50"/>
      <c r="B333" s="50"/>
      <c r="C333" s="5"/>
      <c r="D333" s="48"/>
      <c r="E333" s="50"/>
      <c r="F333" s="5"/>
      <c r="G333" s="5"/>
      <c r="H333" s="5"/>
      <c r="I333" s="5"/>
      <c r="J333" s="5"/>
      <c r="K333" s="50"/>
      <c r="L333" s="50"/>
      <c r="M333" s="50"/>
      <c r="N333" s="50"/>
      <c r="O333" s="50"/>
      <c r="P333" s="50"/>
      <c r="Q333" s="50"/>
      <c r="R333" s="50"/>
      <c r="S333" s="50"/>
      <c r="T333" s="50"/>
      <c r="U333" s="50"/>
      <c r="V333" s="50"/>
      <c r="W333" s="50"/>
      <c r="X333" s="50"/>
      <c r="Y333" s="50"/>
      <c r="Z333" s="50"/>
      <c r="AA333" s="50"/>
      <c r="AB333" s="50"/>
    </row>
    <row r="334" customFormat="false" ht="15.75" hidden="false" customHeight="false" outlineLevel="0" collapsed="false">
      <c r="A334" s="50"/>
      <c r="B334" s="50"/>
      <c r="C334" s="5"/>
      <c r="D334" s="48"/>
      <c r="E334" s="50"/>
      <c r="F334" s="5"/>
      <c r="G334" s="5"/>
      <c r="H334" s="5"/>
      <c r="I334" s="5"/>
      <c r="J334" s="5"/>
      <c r="K334" s="50"/>
      <c r="L334" s="50"/>
      <c r="M334" s="50"/>
      <c r="N334" s="50"/>
      <c r="O334" s="50"/>
      <c r="P334" s="50"/>
      <c r="Q334" s="50"/>
      <c r="R334" s="50"/>
      <c r="S334" s="50"/>
      <c r="T334" s="50"/>
      <c r="U334" s="50"/>
      <c r="V334" s="50"/>
      <c r="W334" s="50"/>
      <c r="X334" s="50"/>
      <c r="Y334" s="50"/>
      <c r="Z334" s="50"/>
      <c r="AA334" s="50"/>
      <c r="AB334" s="50"/>
    </row>
    <row r="335" customFormat="false" ht="15.75" hidden="false" customHeight="false" outlineLevel="0" collapsed="false">
      <c r="A335" s="50"/>
      <c r="B335" s="50"/>
      <c r="C335" s="5"/>
      <c r="D335" s="48"/>
      <c r="E335" s="50"/>
      <c r="F335" s="5"/>
      <c r="G335" s="5"/>
      <c r="H335" s="5"/>
      <c r="I335" s="5"/>
      <c r="J335" s="5"/>
      <c r="K335" s="50"/>
      <c r="L335" s="50"/>
      <c r="M335" s="50"/>
      <c r="N335" s="50"/>
      <c r="O335" s="50"/>
      <c r="P335" s="50"/>
      <c r="Q335" s="50"/>
      <c r="R335" s="50"/>
      <c r="S335" s="50"/>
      <c r="T335" s="50"/>
      <c r="U335" s="50"/>
      <c r="V335" s="50"/>
      <c r="W335" s="50"/>
      <c r="X335" s="50"/>
      <c r="Y335" s="50"/>
      <c r="Z335" s="50"/>
      <c r="AA335" s="50"/>
      <c r="AB335" s="50"/>
    </row>
    <row r="336" customFormat="false" ht="15.75" hidden="false" customHeight="false" outlineLevel="0" collapsed="false">
      <c r="A336" s="50"/>
      <c r="B336" s="50"/>
      <c r="C336" s="5"/>
      <c r="D336" s="48"/>
      <c r="E336" s="50"/>
      <c r="F336" s="5"/>
      <c r="G336" s="5"/>
      <c r="H336" s="5"/>
      <c r="I336" s="5"/>
      <c r="J336" s="5"/>
      <c r="K336" s="50"/>
      <c r="L336" s="50"/>
      <c r="M336" s="50"/>
      <c r="N336" s="50"/>
      <c r="O336" s="50"/>
      <c r="P336" s="50"/>
      <c r="Q336" s="50"/>
      <c r="R336" s="50"/>
      <c r="S336" s="50"/>
      <c r="T336" s="50"/>
      <c r="U336" s="50"/>
      <c r="V336" s="50"/>
      <c r="W336" s="50"/>
      <c r="X336" s="50"/>
      <c r="Y336" s="50"/>
      <c r="Z336" s="50"/>
      <c r="AA336" s="50"/>
      <c r="AB336" s="50"/>
    </row>
    <row r="337" customFormat="false" ht="15.75" hidden="false" customHeight="false" outlineLevel="0" collapsed="false">
      <c r="A337" s="50"/>
      <c r="B337" s="50"/>
      <c r="C337" s="5"/>
      <c r="D337" s="48"/>
      <c r="E337" s="50"/>
      <c r="F337" s="5"/>
      <c r="G337" s="5"/>
      <c r="H337" s="5"/>
      <c r="I337" s="5"/>
      <c r="J337" s="5"/>
      <c r="K337" s="50"/>
      <c r="L337" s="50"/>
      <c r="M337" s="50"/>
      <c r="N337" s="50"/>
      <c r="O337" s="50"/>
      <c r="P337" s="50"/>
      <c r="Q337" s="50"/>
      <c r="R337" s="50"/>
      <c r="S337" s="50"/>
      <c r="T337" s="50"/>
      <c r="U337" s="50"/>
      <c r="V337" s="50"/>
      <c r="W337" s="50"/>
      <c r="X337" s="50"/>
      <c r="Y337" s="50"/>
      <c r="Z337" s="50"/>
      <c r="AA337" s="50"/>
      <c r="AB337" s="50"/>
    </row>
    <row r="338" customFormat="false" ht="15.75" hidden="false" customHeight="false" outlineLevel="0" collapsed="false">
      <c r="A338" s="50"/>
      <c r="B338" s="50"/>
      <c r="C338" s="5"/>
      <c r="D338" s="48"/>
      <c r="E338" s="50"/>
      <c r="F338" s="5"/>
      <c r="G338" s="5"/>
      <c r="H338" s="5"/>
      <c r="I338" s="5"/>
      <c r="J338" s="5"/>
      <c r="K338" s="50"/>
      <c r="L338" s="50"/>
      <c r="M338" s="50"/>
      <c r="N338" s="50"/>
      <c r="O338" s="50"/>
      <c r="P338" s="50"/>
      <c r="Q338" s="50"/>
      <c r="R338" s="50"/>
      <c r="S338" s="50"/>
      <c r="T338" s="50"/>
      <c r="U338" s="50"/>
      <c r="V338" s="50"/>
      <c r="W338" s="50"/>
      <c r="X338" s="50"/>
      <c r="Y338" s="50"/>
      <c r="Z338" s="50"/>
      <c r="AA338" s="50"/>
      <c r="AB338" s="50"/>
    </row>
    <row r="339" customFormat="false" ht="15.75" hidden="false" customHeight="false" outlineLevel="0" collapsed="false">
      <c r="A339" s="50"/>
      <c r="B339" s="50"/>
      <c r="C339" s="5"/>
      <c r="D339" s="48"/>
      <c r="E339" s="50"/>
      <c r="F339" s="5"/>
      <c r="G339" s="5"/>
      <c r="H339" s="5"/>
      <c r="I339" s="5"/>
      <c r="J339" s="5"/>
      <c r="K339" s="50"/>
      <c r="L339" s="50"/>
      <c r="M339" s="50"/>
      <c r="N339" s="50"/>
      <c r="O339" s="50"/>
      <c r="P339" s="50"/>
      <c r="Q339" s="50"/>
      <c r="R339" s="50"/>
      <c r="S339" s="50"/>
      <c r="T339" s="50"/>
      <c r="U339" s="50"/>
      <c r="V339" s="50"/>
      <c r="W339" s="50"/>
      <c r="X339" s="50"/>
      <c r="Y339" s="50"/>
      <c r="Z339" s="50"/>
      <c r="AA339" s="50"/>
      <c r="AB339" s="50"/>
    </row>
    <row r="340" customFormat="false" ht="15.75" hidden="false" customHeight="false" outlineLevel="0" collapsed="false">
      <c r="A340" s="50"/>
      <c r="B340" s="50"/>
      <c r="C340" s="5"/>
      <c r="D340" s="48"/>
      <c r="E340" s="50"/>
      <c r="F340" s="5"/>
      <c r="G340" s="5"/>
      <c r="H340" s="5"/>
      <c r="I340" s="5"/>
      <c r="J340" s="5"/>
      <c r="K340" s="50"/>
      <c r="L340" s="50"/>
      <c r="M340" s="50"/>
      <c r="N340" s="50"/>
      <c r="O340" s="50"/>
      <c r="P340" s="50"/>
      <c r="Q340" s="50"/>
      <c r="R340" s="50"/>
      <c r="S340" s="50"/>
      <c r="T340" s="50"/>
      <c r="U340" s="50"/>
      <c r="V340" s="50"/>
      <c r="W340" s="50"/>
      <c r="X340" s="50"/>
      <c r="Y340" s="50"/>
      <c r="Z340" s="50"/>
      <c r="AA340" s="50"/>
      <c r="AB340" s="50"/>
    </row>
    <row r="341" customFormat="false" ht="15.75" hidden="false" customHeight="false" outlineLevel="0" collapsed="false">
      <c r="A341" s="50"/>
      <c r="B341" s="50"/>
      <c r="C341" s="5"/>
      <c r="D341" s="48"/>
      <c r="E341" s="50"/>
      <c r="F341" s="5"/>
      <c r="G341" s="5"/>
      <c r="H341" s="5"/>
      <c r="I341" s="5"/>
      <c r="J341" s="5"/>
      <c r="K341" s="50"/>
      <c r="L341" s="50"/>
      <c r="M341" s="50"/>
      <c r="N341" s="50"/>
      <c r="O341" s="50"/>
      <c r="P341" s="50"/>
      <c r="Q341" s="50"/>
      <c r="R341" s="50"/>
      <c r="S341" s="50"/>
      <c r="T341" s="50"/>
      <c r="U341" s="50"/>
      <c r="V341" s="50"/>
      <c r="W341" s="50"/>
      <c r="X341" s="50"/>
      <c r="Y341" s="50"/>
      <c r="Z341" s="50"/>
      <c r="AA341" s="50"/>
      <c r="AB341" s="50"/>
    </row>
    <row r="342" customFormat="false" ht="15.75" hidden="false" customHeight="false" outlineLevel="0" collapsed="false">
      <c r="A342" s="50"/>
      <c r="B342" s="50"/>
      <c r="C342" s="5"/>
      <c r="D342" s="48"/>
      <c r="E342" s="50"/>
      <c r="F342" s="5"/>
      <c r="G342" s="5"/>
      <c r="H342" s="5"/>
      <c r="I342" s="5"/>
      <c r="J342" s="5"/>
      <c r="K342" s="50"/>
      <c r="L342" s="50"/>
      <c r="M342" s="50"/>
      <c r="N342" s="50"/>
      <c r="O342" s="50"/>
      <c r="P342" s="50"/>
      <c r="Q342" s="50"/>
      <c r="R342" s="50"/>
      <c r="S342" s="50"/>
      <c r="T342" s="50"/>
      <c r="U342" s="50"/>
      <c r="V342" s="50"/>
      <c r="W342" s="50"/>
      <c r="X342" s="50"/>
      <c r="Y342" s="50"/>
      <c r="Z342" s="50"/>
      <c r="AA342" s="50"/>
      <c r="AB342" s="50"/>
    </row>
    <row r="343" customFormat="false" ht="15.75" hidden="false" customHeight="false" outlineLevel="0" collapsed="false">
      <c r="A343" s="50"/>
      <c r="B343" s="50"/>
      <c r="C343" s="5"/>
      <c r="D343" s="48"/>
      <c r="E343" s="50"/>
      <c r="F343" s="5"/>
      <c r="G343" s="5"/>
      <c r="H343" s="5"/>
      <c r="I343" s="5"/>
      <c r="J343" s="5"/>
      <c r="K343" s="50"/>
      <c r="L343" s="50"/>
      <c r="M343" s="50"/>
      <c r="N343" s="50"/>
      <c r="O343" s="50"/>
      <c r="P343" s="50"/>
      <c r="Q343" s="50"/>
      <c r="R343" s="50"/>
      <c r="S343" s="50"/>
      <c r="T343" s="50"/>
      <c r="U343" s="50"/>
      <c r="V343" s="50"/>
      <c r="W343" s="50"/>
      <c r="X343" s="50"/>
      <c r="Y343" s="50"/>
      <c r="Z343" s="50"/>
      <c r="AA343" s="50"/>
      <c r="AB343" s="50"/>
    </row>
    <row r="344" customFormat="false" ht="15.75" hidden="false" customHeight="false" outlineLevel="0" collapsed="false">
      <c r="A344" s="50"/>
      <c r="B344" s="50"/>
      <c r="C344" s="5"/>
      <c r="D344" s="48"/>
      <c r="E344" s="50"/>
      <c r="F344" s="5"/>
      <c r="G344" s="5"/>
      <c r="H344" s="5"/>
      <c r="I344" s="5"/>
      <c r="J344" s="5"/>
      <c r="K344" s="50"/>
      <c r="L344" s="50"/>
      <c r="M344" s="50"/>
      <c r="N344" s="50"/>
      <c r="O344" s="50"/>
      <c r="P344" s="50"/>
      <c r="Q344" s="50"/>
      <c r="R344" s="50"/>
      <c r="S344" s="50"/>
      <c r="T344" s="50"/>
      <c r="U344" s="50"/>
      <c r="V344" s="50"/>
      <c r="W344" s="50"/>
      <c r="X344" s="50"/>
      <c r="Y344" s="50"/>
      <c r="Z344" s="50"/>
      <c r="AA344" s="50"/>
      <c r="AB344" s="50"/>
    </row>
    <row r="345" customFormat="false" ht="15.75" hidden="false" customHeight="false" outlineLevel="0" collapsed="false">
      <c r="A345" s="50"/>
      <c r="B345" s="50"/>
      <c r="C345" s="5"/>
      <c r="D345" s="48"/>
      <c r="E345" s="50"/>
      <c r="F345" s="5"/>
      <c r="G345" s="5"/>
      <c r="H345" s="5"/>
      <c r="I345" s="5"/>
      <c r="J345" s="5"/>
      <c r="K345" s="50"/>
      <c r="L345" s="50"/>
      <c r="M345" s="50"/>
      <c r="N345" s="50"/>
      <c r="O345" s="50"/>
      <c r="P345" s="50"/>
      <c r="Q345" s="50"/>
      <c r="R345" s="50"/>
      <c r="S345" s="50"/>
      <c r="T345" s="50"/>
      <c r="U345" s="50"/>
      <c r="V345" s="50"/>
      <c r="W345" s="50"/>
      <c r="X345" s="50"/>
      <c r="Y345" s="50"/>
      <c r="Z345" s="50"/>
      <c r="AA345" s="50"/>
      <c r="AB345" s="50"/>
    </row>
    <row r="346" customFormat="false" ht="15.75" hidden="false" customHeight="false" outlineLevel="0" collapsed="false">
      <c r="A346" s="50"/>
      <c r="B346" s="50"/>
      <c r="C346" s="5"/>
      <c r="D346" s="48"/>
      <c r="E346" s="50"/>
      <c r="F346" s="5"/>
      <c r="G346" s="5"/>
      <c r="H346" s="5"/>
      <c r="I346" s="5"/>
      <c r="J346" s="5"/>
      <c r="K346" s="50"/>
      <c r="L346" s="50"/>
      <c r="M346" s="50"/>
      <c r="N346" s="50"/>
      <c r="O346" s="50"/>
      <c r="P346" s="50"/>
      <c r="Q346" s="50"/>
      <c r="R346" s="50"/>
      <c r="S346" s="50"/>
      <c r="T346" s="50"/>
      <c r="U346" s="50"/>
      <c r="V346" s="50"/>
      <c r="W346" s="50"/>
      <c r="X346" s="50"/>
      <c r="Y346" s="50"/>
      <c r="Z346" s="50"/>
      <c r="AA346" s="50"/>
      <c r="AB346" s="50"/>
    </row>
    <row r="347" customFormat="false" ht="15.75" hidden="false" customHeight="false" outlineLevel="0" collapsed="false">
      <c r="A347" s="50"/>
      <c r="B347" s="50"/>
      <c r="C347" s="5"/>
      <c r="D347" s="48"/>
      <c r="E347" s="50"/>
      <c r="F347" s="5"/>
      <c r="G347" s="5"/>
      <c r="H347" s="5"/>
      <c r="I347" s="5"/>
      <c r="J347" s="5"/>
      <c r="K347" s="50"/>
      <c r="L347" s="50"/>
      <c r="M347" s="50"/>
      <c r="N347" s="50"/>
      <c r="O347" s="50"/>
      <c r="P347" s="50"/>
      <c r="Q347" s="50"/>
      <c r="R347" s="50"/>
      <c r="S347" s="50"/>
      <c r="T347" s="50"/>
      <c r="U347" s="50"/>
      <c r="V347" s="50"/>
      <c r="W347" s="50"/>
      <c r="X347" s="50"/>
      <c r="Y347" s="50"/>
      <c r="Z347" s="50"/>
      <c r="AA347" s="50"/>
      <c r="AB347" s="50"/>
    </row>
    <row r="348" customFormat="false" ht="15.75" hidden="false" customHeight="false" outlineLevel="0" collapsed="false">
      <c r="A348" s="50"/>
      <c r="B348" s="50"/>
      <c r="C348" s="5"/>
      <c r="D348" s="48"/>
      <c r="E348" s="50"/>
      <c r="F348" s="5"/>
      <c r="G348" s="5"/>
      <c r="H348" s="5"/>
      <c r="I348" s="5"/>
      <c r="J348" s="5"/>
      <c r="K348" s="50"/>
      <c r="L348" s="50"/>
      <c r="M348" s="50"/>
      <c r="N348" s="50"/>
      <c r="O348" s="50"/>
      <c r="P348" s="50"/>
      <c r="Q348" s="50"/>
      <c r="R348" s="50"/>
      <c r="S348" s="50"/>
      <c r="T348" s="50"/>
      <c r="U348" s="50"/>
      <c r="V348" s="50"/>
      <c r="W348" s="50"/>
      <c r="X348" s="50"/>
      <c r="Y348" s="50"/>
      <c r="Z348" s="50"/>
      <c r="AA348" s="50"/>
      <c r="AB348" s="50"/>
    </row>
    <row r="349" customFormat="false" ht="15.75" hidden="false" customHeight="false" outlineLevel="0" collapsed="false">
      <c r="A349" s="50"/>
      <c r="B349" s="50"/>
      <c r="C349" s="5"/>
      <c r="D349" s="48"/>
      <c r="E349" s="50"/>
      <c r="F349" s="5"/>
      <c r="G349" s="5"/>
      <c r="H349" s="5"/>
      <c r="I349" s="5"/>
      <c r="J349" s="5"/>
      <c r="K349" s="50"/>
      <c r="L349" s="50"/>
      <c r="M349" s="50"/>
      <c r="N349" s="50"/>
      <c r="O349" s="50"/>
      <c r="P349" s="50"/>
      <c r="Q349" s="50"/>
      <c r="R349" s="50"/>
      <c r="S349" s="50"/>
      <c r="T349" s="50"/>
      <c r="U349" s="50"/>
      <c r="V349" s="50"/>
      <c r="W349" s="50"/>
      <c r="X349" s="50"/>
      <c r="Y349" s="50"/>
      <c r="Z349" s="50"/>
      <c r="AA349" s="50"/>
      <c r="AB349" s="50"/>
    </row>
    <row r="350" customFormat="false" ht="15.75" hidden="false" customHeight="false" outlineLevel="0" collapsed="false">
      <c r="A350" s="50"/>
      <c r="B350" s="50"/>
      <c r="C350" s="5"/>
      <c r="D350" s="48"/>
      <c r="E350" s="50"/>
      <c r="F350" s="5"/>
      <c r="G350" s="5"/>
      <c r="H350" s="5"/>
      <c r="I350" s="5"/>
      <c r="J350" s="5"/>
      <c r="K350" s="50"/>
      <c r="L350" s="50"/>
      <c r="M350" s="50"/>
      <c r="N350" s="50"/>
      <c r="O350" s="50"/>
      <c r="P350" s="50"/>
      <c r="Q350" s="50"/>
      <c r="R350" s="50"/>
      <c r="S350" s="50"/>
      <c r="T350" s="50"/>
      <c r="U350" s="50"/>
      <c r="V350" s="50"/>
      <c r="W350" s="50"/>
      <c r="X350" s="50"/>
      <c r="Y350" s="50"/>
      <c r="Z350" s="50"/>
      <c r="AA350" s="50"/>
      <c r="AB350" s="50"/>
    </row>
    <row r="351" customFormat="false" ht="15.75" hidden="false" customHeight="false" outlineLevel="0" collapsed="false">
      <c r="A351" s="50"/>
      <c r="B351" s="50"/>
      <c r="C351" s="5"/>
      <c r="D351" s="48"/>
      <c r="E351" s="50"/>
      <c r="F351" s="5"/>
      <c r="G351" s="5"/>
      <c r="H351" s="5"/>
      <c r="I351" s="5"/>
      <c r="J351" s="5"/>
      <c r="K351" s="50"/>
      <c r="L351" s="50"/>
      <c r="M351" s="50"/>
      <c r="N351" s="50"/>
      <c r="O351" s="50"/>
      <c r="P351" s="50"/>
      <c r="Q351" s="50"/>
      <c r="R351" s="50"/>
      <c r="S351" s="50"/>
      <c r="T351" s="50"/>
      <c r="U351" s="50"/>
      <c r="V351" s="50"/>
      <c r="W351" s="50"/>
      <c r="X351" s="50"/>
      <c r="Y351" s="50"/>
      <c r="Z351" s="50"/>
      <c r="AA351" s="50"/>
      <c r="AB351" s="50"/>
    </row>
    <row r="352" customFormat="false" ht="15.75" hidden="false" customHeight="false" outlineLevel="0" collapsed="false">
      <c r="A352" s="50"/>
      <c r="B352" s="50"/>
      <c r="C352" s="5"/>
      <c r="D352" s="48"/>
      <c r="E352" s="50"/>
      <c r="F352" s="5"/>
      <c r="G352" s="5"/>
      <c r="H352" s="5"/>
      <c r="I352" s="5"/>
      <c r="J352" s="5"/>
      <c r="K352" s="50"/>
      <c r="L352" s="50"/>
      <c r="M352" s="50"/>
      <c r="N352" s="50"/>
      <c r="O352" s="50"/>
      <c r="P352" s="50"/>
      <c r="Q352" s="50"/>
      <c r="R352" s="50"/>
      <c r="S352" s="50"/>
      <c r="T352" s="50"/>
      <c r="U352" s="50"/>
      <c r="V352" s="50"/>
      <c r="W352" s="50"/>
      <c r="X352" s="50"/>
      <c r="Y352" s="50"/>
      <c r="Z352" s="50"/>
      <c r="AA352" s="50"/>
      <c r="AB352" s="50"/>
    </row>
    <row r="353" customFormat="false" ht="15.75" hidden="false" customHeight="false" outlineLevel="0" collapsed="false">
      <c r="A353" s="50"/>
      <c r="B353" s="50"/>
      <c r="C353" s="5"/>
      <c r="D353" s="48"/>
      <c r="E353" s="50"/>
      <c r="F353" s="5"/>
      <c r="G353" s="5"/>
      <c r="H353" s="5"/>
      <c r="I353" s="5"/>
      <c r="J353" s="5"/>
      <c r="K353" s="50"/>
      <c r="L353" s="50"/>
      <c r="M353" s="50"/>
      <c r="N353" s="50"/>
      <c r="O353" s="50"/>
      <c r="P353" s="50"/>
      <c r="Q353" s="50"/>
      <c r="R353" s="50"/>
      <c r="S353" s="50"/>
      <c r="T353" s="50"/>
      <c r="U353" s="50"/>
      <c r="V353" s="50"/>
      <c r="W353" s="50"/>
      <c r="X353" s="50"/>
      <c r="Y353" s="50"/>
      <c r="Z353" s="50"/>
      <c r="AA353" s="50"/>
      <c r="AB353" s="50"/>
    </row>
    <row r="354" customFormat="false" ht="15.75" hidden="false" customHeight="false" outlineLevel="0" collapsed="false">
      <c r="A354" s="50"/>
      <c r="B354" s="50"/>
      <c r="C354" s="5"/>
      <c r="D354" s="48"/>
      <c r="E354" s="50"/>
      <c r="F354" s="5"/>
      <c r="G354" s="5"/>
      <c r="H354" s="5"/>
      <c r="I354" s="5"/>
      <c r="J354" s="5"/>
      <c r="K354" s="50"/>
      <c r="L354" s="50"/>
      <c r="M354" s="50"/>
      <c r="N354" s="50"/>
      <c r="O354" s="50"/>
      <c r="P354" s="50"/>
      <c r="Q354" s="50"/>
      <c r="R354" s="50"/>
      <c r="S354" s="50"/>
      <c r="T354" s="50"/>
      <c r="U354" s="50"/>
      <c r="V354" s="50"/>
      <c r="W354" s="50"/>
      <c r="X354" s="50"/>
      <c r="Y354" s="50"/>
      <c r="Z354" s="50"/>
      <c r="AA354" s="50"/>
      <c r="AB354" s="50"/>
    </row>
    <row r="355" customFormat="false" ht="15.75" hidden="false" customHeight="false" outlineLevel="0" collapsed="false">
      <c r="A355" s="50"/>
      <c r="B355" s="50"/>
      <c r="C355" s="5"/>
      <c r="D355" s="48"/>
      <c r="E355" s="50"/>
      <c r="F355" s="5"/>
      <c r="G355" s="5"/>
      <c r="H355" s="5"/>
      <c r="I355" s="5"/>
      <c r="J355" s="5"/>
      <c r="K355" s="50"/>
      <c r="L355" s="50"/>
      <c r="M355" s="50"/>
      <c r="N355" s="50"/>
      <c r="O355" s="50"/>
      <c r="P355" s="50"/>
      <c r="Q355" s="50"/>
      <c r="R355" s="50"/>
      <c r="S355" s="50"/>
      <c r="T355" s="50"/>
      <c r="U355" s="50"/>
      <c r="V355" s="50"/>
      <c r="W355" s="50"/>
      <c r="X355" s="50"/>
      <c r="Y355" s="50"/>
      <c r="Z355" s="50"/>
      <c r="AA355" s="50"/>
      <c r="AB355" s="50"/>
    </row>
    <row r="356" customFormat="false" ht="15.75" hidden="false" customHeight="false" outlineLevel="0" collapsed="false">
      <c r="A356" s="50"/>
      <c r="B356" s="50"/>
      <c r="C356" s="5"/>
      <c r="D356" s="48"/>
      <c r="E356" s="50"/>
      <c r="F356" s="5"/>
      <c r="G356" s="5"/>
      <c r="H356" s="5"/>
      <c r="I356" s="5"/>
      <c r="J356" s="5"/>
      <c r="K356" s="50"/>
      <c r="L356" s="50"/>
      <c r="M356" s="50"/>
      <c r="N356" s="50"/>
      <c r="O356" s="50"/>
      <c r="P356" s="50"/>
      <c r="Q356" s="50"/>
      <c r="R356" s="50"/>
      <c r="S356" s="50"/>
      <c r="T356" s="50"/>
      <c r="U356" s="50"/>
      <c r="V356" s="50"/>
      <c r="W356" s="50"/>
      <c r="X356" s="50"/>
      <c r="Y356" s="50"/>
      <c r="Z356" s="50"/>
      <c r="AA356" s="50"/>
      <c r="AB356" s="50"/>
    </row>
    <row r="357" customFormat="false" ht="15.75" hidden="false" customHeight="false" outlineLevel="0" collapsed="false">
      <c r="A357" s="50"/>
      <c r="B357" s="50"/>
      <c r="C357" s="5"/>
      <c r="D357" s="48"/>
      <c r="E357" s="50"/>
      <c r="F357" s="5"/>
      <c r="G357" s="5"/>
      <c r="H357" s="5"/>
      <c r="I357" s="5"/>
      <c r="J357" s="5"/>
      <c r="K357" s="50"/>
      <c r="L357" s="50"/>
      <c r="M357" s="50"/>
      <c r="N357" s="50"/>
      <c r="O357" s="50"/>
      <c r="P357" s="50"/>
      <c r="Q357" s="50"/>
      <c r="R357" s="50"/>
      <c r="S357" s="50"/>
      <c r="T357" s="50"/>
      <c r="U357" s="50"/>
      <c r="V357" s="50"/>
      <c r="W357" s="50"/>
      <c r="X357" s="50"/>
      <c r="Y357" s="50"/>
      <c r="Z357" s="50"/>
      <c r="AA357" s="50"/>
      <c r="AB357" s="50"/>
    </row>
    <row r="358" customFormat="false" ht="15.75" hidden="false" customHeight="false" outlineLevel="0" collapsed="false">
      <c r="A358" s="50"/>
      <c r="B358" s="50"/>
      <c r="C358" s="5"/>
      <c r="D358" s="48"/>
      <c r="E358" s="50"/>
      <c r="F358" s="5"/>
      <c r="G358" s="5"/>
      <c r="H358" s="5"/>
      <c r="I358" s="5"/>
      <c r="J358" s="5"/>
      <c r="K358" s="50"/>
      <c r="L358" s="50"/>
      <c r="M358" s="50"/>
      <c r="N358" s="50"/>
      <c r="O358" s="50"/>
      <c r="P358" s="50"/>
      <c r="Q358" s="50"/>
      <c r="R358" s="50"/>
      <c r="S358" s="50"/>
      <c r="T358" s="50"/>
      <c r="U358" s="50"/>
      <c r="V358" s="50"/>
      <c r="W358" s="50"/>
      <c r="X358" s="50"/>
      <c r="Y358" s="50"/>
      <c r="Z358" s="50"/>
      <c r="AA358" s="50"/>
      <c r="AB358" s="50"/>
    </row>
    <row r="359" customFormat="false" ht="15.75" hidden="false" customHeight="false" outlineLevel="0" collapsed="false">
      <c r="A359" s="50"/>
      <c r="B359" s="50"/>
      <c r="C359" s="5"/>
      <c r="D359" s="48"/>
      <c r="E359" s="50"/>
      <c r="F359" s="5"/>
      <c r="G359" s="5"/>
      <c r="H359" s="5"/>
      <c r="I359" s="5"/>
      <c r="J359" s="5"/>
      <c r="K359" s="50"/>
      <c r="L359" s="50"/>
      <c r="M359" s="50"/>
      <c r="N359" s="50"/>
      <c r="O359" s="50"/>
      <c r="P359" s="50"/>
      <c r="Q359" s="50"/>
      <c r="R359" s="50"/>
      <c r="S359" s="50"/>
      <c r="T359" s="50"/>
      <c r="U359" s="50"/>
      <c r="V359" s="50"/>
      <c r="W359" s="50"/>
      <c r="X359" s="50"/>
      <c r="Y359" s="50"/>
      <c r="Z359" s="50"/>
      <c r="AA359" s="50"/>
      <c r="AB359" s="50"/>
    </row>
    <row r="360" customFormat="false" ht="15.75" hidden="false" customHeight="false" outlineLevel="0" collapsed="false">
      <c r="A360" s="50"/>
      <c r="B360" s="50"/>
      <c r="C360" s="5"/>
      <c r="D360" s="48"/>
      <c r="E360" s="50"/>
      <c r="F360" s="5"/>
      <c r="G360" s="5"/>
      <c r="H360" s="5"/>
      <c r="I360" s="5"/>
      <c r="J360" s="5"/>
      <c r="K360" s="50"/>
      <c r="L360" s="50"/>
      <c r="M360" s="50"/>
      <c r="N360" s="50"/>
      <c r="O360" s="50"/>
      <c r="P360" s="50"/>
      <c r="Q360" s="50"/>
      <c r="R360" s="50"/>
      <c r="S360" s="50"/>
      <c r="T360" s="50"/>
      <c r="U360" s="50"/>
      <c r="V360" s="50"/>
      <c r="W360" s="50"/>
      <c r="X360" s="50"/>
      <c r="Y360" s="50"/>
      <c r="Z360" s="50"/>
      <c r="AA360" s="50"/>
      <c r="AB360" s="50"/>
    </row>
    <row r="361" customFormat="false" ht="15.75" hidden="false" customHeight="false" outlineLevel="0" collapsed="false">
      <c r="A361" s="50"/>
      <c r="B361" s="50"/>
      <c r="C361" s="5"/>
      <c r="D361" s="48"/>
      <c r="E361" s="50"/>
      <c r="F361" s="5"/>
      <c r="G361" s="5"/>
      <c r="H361" s="5"/>
      <c r="I361" s="5"/>
      <c r="J361" s="5"/>
      <c r="K361" s="50"/>
      <c r="L361" s="50"/>
      <c r="M361" s="50"/>
      <c r="N361" s="50"/>
      <c r="O361" s="50"/>
      <c r="P361" s="50"/>
      <c r="Q361" s="50"/>
      <c r="R361" s="50"/>
      <c r="S361" s="50"/>
      <c r="T361" s="50"/>
      <c r="U361" s="50"/>
      <c r="V361" s="50"/>
      <c r="W361" s="50"/>
      <c r="X361" s="50"/>
      <c r="Y361" s="50"/>
      <c r="Z361" s="50"/>
      <c r="AA361" s="50"/>
      <c r="AB361" s="50"/>
    </row>
    <row r="362" customFormat="false" ht="15.75" hidden="false" customHeight="false" outlineLevel="0" collapsed="false">
      <c r="A362" s="50"/>
      <c r="B362" s="50"/>
      <c r="C362" s="5"/>
      <c r="D362" s="48"/>
      <c r="E362" s="50"/>
      <c r="F362" s="5"/>
      <c r="G362" s="5"/>
      <c r="H362" s="5"/>
      <c r="I362" s="5"/>
      <c r="J362" s="5"/>
      <c r="K362" s="50"/>
      <c r="L362" s="50"/>
      <c r="M362" s="50"/>
      <c r="N362" s="50"/>
      <c r="O362" s="50"/>
      <c r="P362" s="50"/>
      <c r="Q362" s="50"/>
      <c r="R362" s="50"/>
      <c r="S362" s="50"/>
      <c r="T362" s="50"/>
      <c r="U362" s="50"/>
      <c r="V362" s="50"/>
      <c r="W362" s="50"/>
      <c r="X362" s="50"/>
      <c r="Y362" s="50"/>
      <c r="Z362" s="50"/>
      <c r="AA362" s="50"/>
      <c r="AB362" s="50"/>
    </row>
    <row r="363" customFormat="false" ht="15.75" hidden="false" customHeight="false" outlineLevel="0" collapsed="false">
      <c r="A363" s="50"/>
      <c r="B363" s="50"/>
      <c r="C363" s="5"/>
      <c r="D363" s="48"/>
      <c r="E363" s="50"/>
      <c r="F363" s="5"/>
      <c r="G363" s="5"/>
      <c r="H363" s="5"/>
      <c r="I363" s="5"/>
      <c r="J363" s="5"/>
      <c r="K363" s="50"/>
      <c r="L363" s="50"/>
      <c r="M363" s="50"/>
      <c r="N363" s="50"/>
      <c r="O363" s="50"/>
      <c r="P363" s="50"/>
      <c r="Q363" s="50"/>
      <c r="R363" s="50"/>
      <c r="S363" s="50"/>
      <c r="T363" s="50"/>
      <c r="U363" s="50"/>
      <c r="V363" s="50"/>
      <c r="W363" s="50"/>
      <c r="X363" s="50"/>
      <c r="Y363" s="50"/>
      <c r="Z363" s="50"/>
      <c r="AA363" s="50"/>
      <c r="AB363" s="50"/>
    </row>
    <row r="364" customFormat="false" ht="15.75" hidden="false" customHeight="false" outlineLevel="0" collapsed="false">
      <c r="A364" s="50"/>
      <c r="B364" s="50"/>
      <c r="C364" s="5"/>
      <c r="D364" s="48"/>
      <c r="E364" s="50"/>
      <c r="F364" s="5"/>
      <c r="G364" s="5"/>
      <c r="H364" s="5"/>
      <c r="I364" s="5"/>
      <c r="J364" s="5"/>
      <c r="K364" s="50"/>
      <c r="L364" s="50"/>
      <c r="M364" s="50"/>
      <c r="N364" s="50"/>
      <c r="O364" s="50"/>
      <c r="P364" s="50"/>
      <c r="Q364" s="50"/>
      <c r="R364" s="50"/>
      <c r="S364" s="50"/>
      <c r="T364" s="50"/>
      <c r="U364" s="50"/>
      <c r="V364" s="50"/>
      <c r="W364" s="50"/>
      <c r="X364" s="50"/>
      <c r="Y364" s="50"/>
      <c r="Z364" s="50"/>
      <c r="AA364" s="50"/>
      <c r="AB364" s="50"/>
    </row>
    <row r="365" customFormat="false" ht="15.75" hidden="false" customHeight="false" outlineLevel="0" collapsed="false">
      <c r="A365" s="50"/>
      <c r="B365" s="50"/>
      <c r="C365" s="5"/>
      <c r="D365" s="48"/>
      <c r="E365" s="50"/>
      <c r="F365" s="5"/>
      <c r="G365" s="5"/>
      <c r="H365" s="5"/>
      <c r="I365" s="5"/>
      <c r="J365" s="5"/>
      <c r="K365" s="50"/>
      <c r="L365" s="50"/>
      <c r="M365" s="50"/>
      <c r="N365" s="50"/>
      <c r="O365" s="50"/>
      <c r="P365" s="50"/>
      <c r="Q365" s="50"/>
      <c r="R365" s="50"/>
      <c r="S365" s="50"/>
      <c r="T365" s="50"/>
      <c r="U365" s="50"/>
      <c r="V365" s="50"/>
      <c r="W365" s="50"/>
      <c r="X365" s="50"/>
      <c r="Y365" s="50"/>
      <c r="Z365" s="50"/>
      <c r="AA365" s="50"/>
      <c r="AB365" s="50"/>
    </row>
    <row r="366" customFormat="false" ht="15.75" hidden="false" customHeight="false" outlineLevel="0" collapsed="false">
      <c r="A366" s="50"/>
      <c r="B366" s="50"/>
      <c r="C366" s="5"/>
      <c r="D366" s="48"/>
      <c r="E366" s="50"/>
      <c r="F366" s="5"/>
      <c r="G366" s="5"/>
      <c r="H366" s="5"/>
      <c r="I366" s="5"/>
      <c r="J366" s="5"/>
      <c r="K366" s="50"/>
      <c r="L366" s="50"/>
      <c r="M366" s="50"/>
      <c r="N366" s="50"/>
      <c r="O366" s="50"/>
      <c r="P366" s="50"/>
      <c r="Q366" s="50"/>
      <c r="R366" s="50"/>
      <c r="S366" s="50"/>
      <c r="T366" s="50"/>
      <c r="U366" s="50"/>
      <c r="V366" s="50"/>
      <c r="W366" s="50"/>
      <c r="X366" s="50"/>
      <c r="Y366" s="50"/>
      <c r="Z366" s="50"/>
      <c r="AA366" s="50"/>
      <c r="AB366" s="50"/>
    </row>
    <row r="367" customFormat="false" ht="15.75" hidden="false" customHeight="false" outlineLevel="0" collapsed="false">
      <c r="A367" s="50"/>
      <c r="B367" s="50"/>
      <c r="C367" s="5"/>
      <c r="D367" s="48"/>
      <c r="E367" s="50"/>
      <c r="F367" s="5"/>
      <c r="G367" s="5"/>
      <c r="H367" s="5"/>
      <c r="I367" s="5"/>
      <c r="J367" s="5"/>
      <c r="K367" s="50"/>
      <c r="L367" s="50"/>
      <c r="M367" s="50"/>
      <c r="N367" s="50"/>
      <c r="O367" s="50"/>
      <c r="P367" s="50"/>
      <c r="Q367" s="50"/>
      <c r="R367" s="50"/>
      <c r="S367" s="50"/>
      <c r="T367" s="50"/>
      <c r="U367" s="50"/>
      <c r="V367" s="50"/>
      <c r="W367" s="50"/>
      <c r="X367" s="50"/>
      <c r="Y367" s="50"/>
      <c r="Z367" s="50"/>
      <c r="AA367" s="50"/>
      <c r="AB367" s="50"/>
    </row>
    <row r="368" customFormat="false" ht="15.75" hidden="false" customHeight="false" outlineLevel="0" collapsed="false">
      <c r="A368" s="50"/>
      <c r="B368" s="50"/>
      <c r="C368" s="5"/>
      <c r="D368" s="48"/>
      <c r="E368" s="50"/>
      <c r="F368" s="5"/>
      <c r="G368" s="5"/>
      <c r="H368" s="5"/>
      <c r="I368" s="5"/>
      <c r="J368" s="5"/>
      <c r="K368" s="50"/>
      <c r="L368" s="50"/>
      <c r="M368" s="50"/>
      <c r="N368" s="50"/>
      <c r="O368" s="50"/>
      <c r="P368" s="50"/>
      <c r="Q368" s="50"/>
      <c r="R368" s="50"/>
      <c r="S368" s="50"/>
      <c r="T368" s="50"/>
      <c r="U368" s="50"/>
      <c r="V368" s="50"/>
      <c r="W368" s="50"/>
      <c r="X368" s="50"/>
      <c r="Y368" s="50"/>
      <c r="Z368" s="50"/>
      <c r="AA368" s="50"/>
      <c r="AB368" s="50"/>
    </row>
    <row r="369" customFormat="false" ht="15.75" hidden="false" customHeight="false" outlineLevel="0" collapsed="false">
      <c r="A369" s="50"/>
      <c r="B369" s="50"/>
      <c r="C369" s="5"/>
      <c r="D369" s="48"/>
      <c r="E369" s="50"/>
      <c r="F369" s="5"/>
      <c r="G369" s="5"/>
      <c r="H369" s="5"/>
      <c r="I369" s="5"/>
      <c r="J369" s="5"/>
      <c r="K369" s="50"/>
      <c r="L369" s="50"/>
      <c r="M369" s="50"/>
      <c r="N369" s="50"/>
      <c r="O369" s="50"/>
      <c r="P369" s="50"/>
      <c r="Q369" s="50"/>
      <c r="R369" s="50"/>
      <c r="S369" s="50"/>
      <c r="T369" s="50"/>
      <c r="U369" s="50"/>
      <c r="V369" s="50"/>
      <c r="W369" s="50"/>
      <c r="X369" s="50"/>
      <c r="Y369" s="50"/>
      <c r="Z369" s="50"/>
      <c r="AA369" s="50"/>
      <c r="AB369" s="50"/>
    </row>
    <row r="370" customFormat="false" ht="15.75" hidden="false" customHeight="false" outlineLevel="0" collapsed="false">
      <c r="A370" s="50"/>
      <c r="B370" s="50"/>
      <c r="C370" s="5"/>
      <c r="D370" s="48"/>
      <c r="E370" s="50"/>
      <c r="F370" s="5"/>
      <c r="G370" s="5"/>
      <c r="H370" s="5"/>
      <c r="I370" s="5"/>
      <c r="J370" s="5"/>
      <c r="K370" s="50"/>
      <c r="L370" s="50"/>
      <c r="M370" s="50"/>
      <c r="N370" s="50"/>
      <c r="O370" s="50"/>
      <c r="P370" s="50"/>
      <c r="Q370" s="50"/>
      <c r="R370" s="50"/>
      <c r="S370" s="50"/>
      <c r="T370" s="50"/>
      <c r="U370" s="50"/>
      <c r="V370" s="50"/>
      <c r="W370" s="50"/>
      <c r="X370" s="50"/>
      <c r="Y370" s="50"/>
      <c r="Z370" s="50"/>
      <c r="AA370" s="50"/>
      <c r="AB370" s="50"/>
    </row>
    <row r="371" customFormat="false" ht="15.75" hidden="false" customHeight="false" outlineLevel="0" collapsed="false">
      <c r="A371" s="50"/>
      <c r="B371" s="50"/>
      <c r="C371" s="5"/>
      <c r="D371" s="48"/>
      <c r="E371" s="50"/>
      <c r="F371" s="5"/>
      <c r="G371" s="5"/>
      <c r="H371" s="5"/>
      <c r="I371" s="5"/>
      <c r="J371" s="5"/>
      <c r="K371" s="50"/>
      <c r="L371" s="50"/>
      <c r="M371" s="50"/>
      <c r="N371" s="50"/>
      <c r="O371" s="50"/>
      <c r="P371" s="50"/>
      <c r="Q371" s="50"/>
      <c r="R371" s="50"/>
      <c r="S371" s="50"/>
      <c r="T371" s="50"/>
      <c r="U371" s="50"/>
      <c r="V371" s="50"/>
      <c r="W371" s="50"/>
      <c r="X371" s="50"/>
      <c r="Y371" s="50"/>
      <c r="Z371" s="50"/>
      <c r="AA371" s="50"/>
      <c r="AB371" s="50"/>
    </row>
    <row r="372" customFormat="false" ht="15.75" hidden="false" customHeight="false" outlineLevel="0" collapsed="false">
      <c r="A372" s="50"/>
      <c r="B372" s="50"/>
      <c r="C372" s="5"/>
      <c r="D372" s="48"/>
      <c r="E372" s="50"/>
      <c r="F372" s="5"/>
      <c r="G372" s="5"/>
      <c r="H372" s="5"/>
      <c r="I372" s="5"/>
      <c r="J372" s="5"/>
      <c r="K372" s="50"/>
      <c r="L372" s="50"/>
      <c r="M372" s="50"/>
      <c r="N372" s="50"/>
      <c r="O372" s="50"/>
      <c r="P372" s="50"/>
      <c r="Q372" s="50"/>
      <c r="R372" s="50"/>
      <c r="S372" s="50"/>
      <c r="T372" s="50"/>
      <c r="U372" s="50"/>
      <c r="V372" s="50"/>
      <c r="W372" s="50"/>
      <c r="X372" s="50"/>
      <c r="Y372" s="50"/>
      <c r="Z372" s="50"/>
      <c r="AA372" s="50"/>
      <c r="AB372" s="50"/>
    </row>
    <row r="373" customFormat="false" ht="15.75" hidden="false" customHeight="false" outlineLevel="0" collapsed="false">
      <c r="A373" s="50"/>
      <c r="B373" s="50"/>
      <c r="C373" s="5"/>
      <c r="D373" s="48"/>
      <c r="E373" s="50"/>
      <c r="F373" s="5"/>
      <c r="G373" s="5"/>
      <c r="H373" s="5"/>
      <c r="I373" s="5"/>
      <c r="J373" s="5"/>
      <c r="K373" s="50"/>
      <c r="L373" s="50"/>
      <c r="M373" s="50"/>
      <c r="N373" s="50"/>
      <c r="O373" s="50"/>
      <c r="P373" s="50"/>
      <c r="Q373" s="50"/>
      <c r="R373" s="50"/>
      <c r="S373" s="50"/>
      <c r="T373" s="50"/>
      <c r="U373" s="50"/>
      <c r="V373" s="50"/>
      <c r="W373" s="50"/>
      <c r="X373" s="50"/>
      <c r="Y373" s="50"/>
      <c r="Z373" s="50"/>
      <c r="AA373" s="50"/>
      <c r="AB373" s="50"/>
    </row>
    <row r="374" customFormat="false" ht="15.75" hidden="false" customHeight="false" outlineLevel="0" collapsed="false">
      <c r="A374" s="50"/>
      <c r="B374" s="50"/>
      <c r="C374" s="5"/>
      <c r="D374" s="48"/>
      <c r="E374" s="50"/>
      <c r="F374" s="5"/>
      <c r="G374" s="5"/>
      <c r="H374" s="5"/>
      <c r="I374" s="5"/>
      <c r="J374" s="5"/>
      <c r="K374" s="50"/>
      <c r="L374" s="50"/>
      <c r="M374" s="50"/>
      <c r="N374" s="50"/>
      <c r="O374" s="50"/>
      <c r="P374" s="50"/>
      <c r="Q374" s="50"/>
      <c r="R374" s="50"/>
      <c r="S374" s="50"/>
      <c r="T374" s="50"/>
      <c r="U374" s="50"/>
      <c r="V374" s="50"/>
      <c r="W374" s="50"/>
      <c r="X374" s="50"/>
      <c r="Y374" s="50"/>
      <c r="Z374" s="50"/>
      <c r="AA374" s="50"/>
      <c r="AB374" s="50"/>
    </row>
    <row r="375" customFormat="false" ht="15.75" hidden="false" customHeight="false" outlineLevel="0" collapsed="false">
      <c r="A375" s="50"/>
      <c r="B375" s="50"/>
      <c r="C375" s="5"/>
      <c r="D375" s="48"/>
      <c r="E375" s="50"/>
      <c r="F375" s="5"/>
      <c r="G375" s="5"/>
      <c r="H375" s="5"/>
      <c r="I375" s="5"/>
      <c r="J375" s="5"/>
      <c r="K375" s="50"/>
      <c r="L375" s="50"/>
      <c r="M375" s="50"/>
      <c r="N375" s="50"/>
      <c r="O375" s="50"/>
      <c r="P375" s="50"/>
      <c r="Q375" s="50"/>
      <c r="R375" s="50"/>
      <c r="S375" s="50"/>
      <c r="T375" s="50"/>
      <c r="U375" s="50"/>
      <c r="V375" s="50"/>
      <c r="W375" s="50"/>
      <c r="X375" s="50"/>
      <c r="Y375" s="50"/>
      <c r="Z375" s="50"/>
      <c r="AA375" s="50"/>
      <c r="AB375" s="50"/>
    </row>
    <row r="376" customFormat="false" ht="15.75" hidden="false" customHeight="false" outlineLevel="0" collapsed="false">
      <c r="A376" s="50"/>
      <c r="B376" s="50"/>
      <c r="C376" s="5"/>
      <c r="D376" s="48"/>
      <c r="E376" s="50"/>
      <c r="F376" s="5"/>
      <c r="G376" s="5"/>
      <c r="H376" s="5"/>
      <c r="I376" s="5"/>
      <c r="J376" s="5"/>
      <c r="K376" s="50"/>
      <c r="L376" s="50"/>
      <c r="M376" s="50"/>
      <c r="N376" s="50"/>
      <c r="O376" s="50"/>
      <c r="P376" s="50"/>
      <c r="Q376" s="50"/>
      <c r="R376" s="50"/>
      <c r="S376" s="50"/>
      <c r="T376" s="50"/>
      <c r="U376" s="50"/>
      <c r="V376" s="50"/>
      <c r="W376" s="50"/>
      <c r="X376" s="50"/>
      <c r="Y376" s="50"/>
      <c r="Z376" s="50"/>
      <c r="AA376" s="50"/>
      <c r="AB376" s="50"/>
    </row>
    <row r="377" customFormat="false" ht="15.75" hidden="false" customHeight="false" outlineLevel="0" collapsed="false">
      <c r="A377" s="50"/>
      <c r="B377" s="50"/>
      <c r="C377" s="5"/>
      <c r="D377" s="48"/>
      <c r="E377" s="50"/>
      <c r="F377" s="5"/>
      <c r="G377" s="5"/>
      <c r="H377" s="5"/>
      <c r="I377" s="5"/>
      <c r="J377" s="5"/>
      <c r="K377" s="50"/>
      <c r="L377" s="50"/>
      <c r="M377" s="50"/>
      <c r="N377" s="50"/>
      <c r="O377" s="50"/>
      <c r="P377" s="50"/>
      <c r="Q377" s="50"/>
      <c r="R377" s="50"/>
      <c r="S377" s="50"/>
      <c r="T377" s="50"/>
      <c r="U377" s="50"/>
      <c r="V377" s="50"/>
      <c r="W377" s="50"/>
      <c r="X377" s="50"/>
      <c r="Y377" s="50"/>
      <c r="Z377" s="50"/>
      <c r="AA377" s="50"/>
      <c r="AB377" s="50"/>
    </row>
    <row r="378" customFormat="false" ht="15.75" hidden="false" customHeight="false" outlineLevel="0" collapsed="false">
      <c r="A378" s="50"/>
      <c r="B378" s="50"/>
      <c r="C378" s="5"/>
      <c r="D378" s="48"/>
      <c r="E378" s="50"/>
      <c r="F378" s="5"/>
      <c r="G378" s="5"/>
      <c r="H378" s="5"/>
      <c r="I378" s="5"/>
      <c r="J378" s="5"/>
      <c r="K378" s="50"/>
      <c r="L378" s="50"/>
      <c r="M378" s="50"/>
      <c r="N378" s="50"/>
      <c r="O378" s="50"/>
      <c r="P378" s="50"/>
      <c r="Q378" s="50"/>
      <c r="R378" s="50"/>
      <c r="S378" s="50"/>
      <c r="T378" s="50"/>
      <c r="U378" s="50"/>
      <c r="V378" s="50"/>
      <c r="W378" s="50"/>
      <c r="X378" s="50"/>
      <c r="Y378" s="50"/>
      <c r="Z378" s="50"/>
      <c r="AA378" s="50"/>
      <c r="AB378" s="50"/>
    </row>
    <row r="379" customFormat="false" ht="15.75" hidden="false" customHeight="false" outlineLevel="0" collapsed="false">
      <c r="A379" s="50"/>
      <c r="B379" s="50"/>
      <c r="C379" s="5"/>
      <c r="D379" s="48"/>
      <c r="E379" s="50"/>
      <c r="F379" s="5"/>
      <c r="G379" s="5"/>
      <c r="H379" s="5"/>
      <c r="I379" s="5"/>
      <c r="J379" s="5"/>
      <c r="K379" s="50"/>
      <c r="L379" s="50"/>
      <c r="M379" s="50"/>
      <c r="N379" s="50"/>
      <c r="O379" s="50"/>
      <c r="P379" s="50"/>
      <c r="Q379" s="50"/>
      <c r="R379" s="50"/>
      <c r="S379" s="50"/>
      <c r="T379" s="50"/>
      <c r="U379" s="50"/>
      <c r="V379" s="50"/>
      <c r="W379" s="50"/>
      <c r="X379" s="50"/>
      <c r="Y379" s="50"/>
      <c r="Z379" s="50"/>
      <c r="AA379" s="50"/>
      <c r="AB379" s="50"/>
    </row>
    <row r="380" customFormat="false" ht="15.75" hidden="false" customHeight="false" outlineLevel="0" collapsed="false">
      <c r="A380" s="50"/>
      <c r="B380" s="50"/>
      <c r="C380" s="5"/>
      <c r="D380" s="48"/>
      <c r="E380" s="50"/>
      <c r="F380" s="5"/>
      <c r="G380" s="5"/>
      <c r="H380" s="5"/>
      <c r="I380" s="5"/>
      <c r="J380" s="5"/>
      <c r="K380" s="50"/>
      <c r="L380" s="50"/>
      <c r="M380" s="50"/>
      <c r="N380" s="50"/>
      <c r="O380" s="50"/>
      <c r="P380" s="50"/>
      <c r="Q380" s="50"/>
      <c r="R380" s="50"/>
      <c r="S380" s="50"/>
      <c r="T380" s="50"/>
      <c r="U380" s="50"/>
      <c r="V380" s="50"/>
      <c r="W380" s="50"/>
      <c r="X380" s="50"/>
      <c r="Y380" s="50"/>
      <c r="Z380" s="50"/>
      <c r="AA380" s="50"/>
      <c r="AB380" s="50"/>
    </row>
    <row r="381" customFormat="false" ht="15.75" hidden="false" customHeight="false" outlineLevel="0" collapsed="false">
      <c r="A381" s="50"/>
      <c r="B381" s="50"/>
      <c r="C381" s="5"/>
      <c r="D381" s="48"/>
      <c r="E381" s="50"/>
      <c r="F381" s="5"/>
      <c r="G381" s="5"/>
      <c r="H381" s="5"/>
      <c r="I381" s="5"/>
      <c r="J381" s="5"/>
      <c r="K381" s="50"/>
      <c r="L381" s="50"/>
      <c r="M381" s="50"/>
      <c r="N381" s="50"/>
      <c r="O381" s="50"/>
      <c r="P381" s="50"/>
      <c r="Q381" s="50"/>
      <c r="R381" s="50"/>
      <c r="S381" s="50"/>
      <c r="T381" s="50"/>
      <c r="U381" s="50"/>
      <c r="V381" s="50"/>
      <c r="W381" s="50"/>
      <c r="X381" s="50"/>
      <c r="Y381" s="50"/>
      <c r="Z381" s="50"/>
      <c r="AA381" s="50"/>
      <c r="AB381" s="50"/>
    </row>
    <row r="382" customFormat="false" ht="15.75" hidden="false" customHeight="false" outlineLevel="0" collapsed="false">
      <c r="A382" s="50"/>
      <c r="B382" s="50"/>
      <c r="C382" s="5"/>
      <c r="D382" s="48"/>
      <c r="E382" s="50"/>
      <c r="F382" s="5"/>
      <c r="G382" s="5"/>
      <c r="H382" s="5"/>
      <c r="I382" s="5"/>
      <c r="J382" s="5"/>
      <c r="K382" s="50"/>
      <c r="L382" s="50"/>
      <c r="M382" s="50"/>
      <c r="N382" s="50"/>
      <c r="O382" s="50"/>
      <c r="P382" s="50"/>
      <c r="Q382" s="50"/>
      <c r="R382" s="50"/>
      <c r="S382" s="50"/>
      <c r="T382" s="50"/>
      <c r="U382" s="50"/>
      <c r="V382" s="50"/>
      <c r="W382" s="50"/>
      <c r="X382" s="50"/>
      <c r="Y382" s="50"/>
      <c r="Z382" s="50"/>
      <c r="AA382" s="50"/>
      <c r="AB382" s="50"/>
    </row>
    <row r="383" customFormat="false" ht="15.75" hidden="false" customHeight="false" outlineLevel="0" collapsed="false">
      <c r="A383" s="50"/>
      <c r="B383" s="50"/>
      <c r="C383" s="5"/>
      <c r="D383" s="48"/>
      <c r="E383" s="50"/>
      <c r="F383" s="5"/>
      <c r="G383" s="5"/>
      <c r="H383" s="5"/>
      <c r="I383" s="5"/>
      <c r="J383" s="5"/>
      <c r="K383" s="50"/>
      <c r="L383" s="50"/>
      <c r="M383" s="50"/>
      <c r="N383" s="50"/>
      <c r="O383" s="50"/>
      <c r="P383" s="50"/>
      <c r="Q383" s="50"/>
      <c r="R383" s="50"/>
      <c r="S383" s="50"/>
      <c r="T383" s="50"/>
      <c r="U383" s="50"/>
      <c r="V383" s="50"/>
      <c r="W383" s="50"/>
      <c r="X383" s="50"/>
      <c r="Y383" s="50"/>
      <c r="Z383" s="50"/>
      <c r="AA383" s="50"/>
      <c r="AB383" s="50"/>
    </row>
    <row r="384" customFormat="false" ht="15.75" hidden="false" customHeight="false" outlineLevel="0" collapsed="false">
      <c r="A384" s="50"/>
      <c r="B384" s="50"/>
      <c r="C384" s="5"/>
      <c r="D384" s="48"/>
      <c r="E384" s="50"/>
      <c r="F384" s="5"/>
      <c r="G384" s="5"/>
      <c r="H384" s="5"/>
      <c r="I384" s="5"/>
      <c r="J384" s="5"/>
      <c r="K384" s="50"/>
      <c r="L384" s="50"/>
      <c r="M384" s="50"/>
      <c r="N384" s="50"/>
      <c r="O384" s="50"/>
      <c r="P384" s="50"/>
      <c r="Q384" s="50"/>
      <c r="R384" s="50"/>
      <c r="S384" s="50"/>
      <c r="T384" s="50"/>
      <c r="U384" s="50"/>
      <c r="V384" s="50"/>
      <c r="W384" s="50"/>
      <c r="X384" s="50"/>
      <c r="Y384" s="50"/>
      <c r="Z384" s="50"/>
      <c r="AA384" s="50"/>
      <c r="AB384" s="50"/>
    </row>
    <row r="385" customFormat="false" ht="15.75" hidden="false" customHeight="false" outlineLevel="0" collapsed="false">
      <c r="A385" s="50"/>
      <c r="B385" s="50"/>
      <c r="C385" s="5"/>
      <c r="D385" s="48"/>
      <c r="E385" s="50"/>
      <c r="F385" s="5"/>
      <c r="G385" s="5"/>
      <c r="H385" s="5"/>
      <c r="I385" s="5"/>
      <c r="J385" s="5"/>
      <c r="K385" s="50"/>
      <c r="L385" s="50"/>
      <c r="M385" s="50"/>
      <c r="N385" s="50"/>
      <c r="O385" s="50"/>
      <c r="P385" s="50"/>
      <c r="Q385" s="50"/>
      <c r="R385" s="50"/>
      <c r="S385" s="50"/>
      <c r="T385" s="50"/>
      <c r="U385" s="50"/>
      <c r="V385" s="50"/>
      <c r="W385" s="50"/>
      <c r="X385" s="50"/>
      <c r="Y385" s="50"/>
      <c r="Z385" s="50"/>
      <c r="AA385" s="50"/>
      <c r="AB385" s="50"/>
    </row>
    <row r="386" customFormat="false" ht="15.75" hidden="false" customHeight="false" outlineLevel="0" collapsed="false">
      <c r="A386" s="50"/>
      <c r="B386" s="50"/>
      <c r="C386" s="5"/>
      <c r="D386" s="48"/>
      <c r="E386" s="50"/>
      <c r="F386" s="5"/>
      <c r="G386" s="5"/>
      <c r="H386" s="5"/>
      <c r="I386" s="5"/>
      <c r="J386" s="5"/>
      <c r="K386" s="50"/>
      <c r="L386" s="50"/>
      <c r="M386" s="50"/>
      <c r="N386" s="50"/>
      <c r="O386" s="50"/>
      <c r="P386" s="50"/>
      <c r="Q386" s="50"/>
      <c r="R386" s="50"/>
      <c r="S386" s="50"/>
      <c r="T386" s="50"/>
      <c r="U386" s="50"/>
      <c r="V386" s="50"/>
      <c r="W386" s="50"/>
      <c r="X386" s="50"/>
      <c r="Y386" s="50"/>
      <c r="Z386" s="50"/>
      <c r="AA386" s="50"/>
      <c r="AB386" s="50"/>
    </row>
    <row r="387" customFormat="false" ht="15.75" hidden="false" customHeight="false" outlineLevel="0" collapsed="false">
      <c r="A387" s="50"/>
      <c r="B387" s="50"/>
      <c r="C387" s="5"/>
      <c r="D387" s="48"/>
      <c r="E387" s="50"/>
      <c r="F387" s="5"/>
      <c r="G387" s="5"/>
      <c r="H387" s="5"/>
      <c r="I387" s="5"/>
      <c r="J387" s="5"/>
      <c r="K387" s="50"/>
      <c r="L387" s="50"/>
      <c r="M387" s="50"/>
      <c r="N387" s="50"/>
      <c r="O387" s="50"/>
      <c r="P387" s="50"/>
      <c r="Q387" s="50"/>
      <c r="R387" s="50"/>
      <c r="S387" s="50"/>
      <c r="T387" s="50"/>
      <c r="U387" s="50"/>
      <c r="V387" s="50"/>
      <c r="W387" s="50"/>
      <c r="X387" s="50"/>
      <c r="Y387" s="50"/>
      <c r="Z387" s="50"/>
      <c r="AA387" s="50"/>
      <c r="AB387" s="50"/>
    </row>
    <row r="388" customFormat="false" ht="15.75" hidden="false" customHeight="false" outlineLevel="0" collapsed="false">
      <c r="A388" s="50"/>
      <c r="B388" s="50"/>
      <c r="C388" s="5"/>
      <c r="D388" s="48"/>
      <c r="E388" s="50"/>
      <c r="F388" s="5"/>
      <c r="G388" s="5"/>
      <c r="H388" s="5"/>
      <c r="I388" s="5"/>
      <c r="J388" s="5"/>
      <c r="K388" s="50"/>
      <c r="L388" s="50"/>
      <c r="M388" s="50"/>
      <c r="N388" s="50"/>
      <c r="O388" s="50"/>
      <c r="P388" s="50"/>
      <c r="Q388" s="50"/>
      <c r="R388" s="50"/>
      <c r="S388" s="50"/>
      <c r="T388" s="50"/>
      <c r="U388" s="50"/>
      <c r="V388" s="50"/>
      <c r="W388" s="50"/>
      <c r="X388" s="50"/>
      <c r="Y388" s="50"/>
      <c r="Z388" s="50"/>
      <c r="AA388" s="50"/>
      <c r="AB388" s="50"/>
    </row>
    <row r="389" customFormat="false" ht="15.75" hidden="false" customHeight="false" outlineLevel="0" collapsed="false">
      <c r="A389" s="50"/>
      <c r="B389" s="50"/>
      <c r="C389" s="5"/>
      <c r="D389" s="48"/>
      <c r="E389" s="50"/>
      <c r="F389" s="5"/>
      <c r="G389" s="5"/>
      <c r="H389" s="5"/>
      <c r="I389" s="5"/>
      <c r="J389" s="5"/>
      <c r="K389" s="50"/>
      <c r="L389" s="50"/>
      <c r="M389" s="50"/>
      <c r="N389" s="50"/>
      <c r="O389" s="50"/>
      <c r="P389" s="50"/>
      <c r="Q389" s="50"/>
      <c r="R389" s="50"/>
      <c r="S389" s="50"/>
      <c r="T389" s="50"/>
      <c r="U389" s="50"/>
      <c r="V389" s="50"/>
      <c r="W389" s="50"/>
      <c r="X389" s="50"/>
      <c r="Y389" s="50"/>
      <c r="Z389" s="50"/>
      <c r="AA389" s="50"/>
      <c r="AB389" s="50"/>
    </row>
    <row r="390" customFormat="false" ht="15.75" hidden="false" customHeight="false" outlineLevel="0" collapsed="false">
      <c r="A390" s="50"/>
      <c r="B390" s="50"/>
      <c r="C390" s="5"/>
      <c r="D390" s="48"/>
      <c r="E390" s="50"/>
      <c r="F390" s="5"/>
      <c r="G390" s="5"/>
      <c r="H390" s="5"/>
      <c r="I390" s="5"/>
      <c r="J390" s="5"/>
      <c r="K390" s="50"/>
      <c r="L390" s="50"/>
      <c r="M390" s="50"/>
      <c r="N390" s="50"/>
      <c r="O390" s="50"/>
      <c r="P390" s="50"/>
      <c r="Q390" s="50"/>
      <c r="R390" s="50"/>
      <c r="S390" s="50"/>
      <c r="T390" s="50"/>
      <c r="U390" s="50"/>
      <c r="V390" s="50"/>
      <c r="W390" s="50"/>
      <c r="X390" s="50"/>
      <c r="Y390" s="50"/>
      <c r="Z390" s="50"/>
      <c r="AA390" s="50"/>
      <c r="AB390" s="50"/>
    </row>
    <row r="391" customFormat="false" ht="15.75" hidden="false" customHeight="false" outlineLevel="0" collapsed="false">
      <c r="A391" s="50"/>
      <c r="B391" s="50"/>
      <c r="C391" s="5"/>
      <c r="D391" s="48"/>
      <c r="E391" s="50"/>
      <c r="F391" s="5"/>
      <c r="G391" s="5"/>
      <c r="H391" s="5"/>
      <c r="I391" s="5"/>
      <c r="J391" s="5"/>
      <c r="K391" s="50"/>
      <c r="L391" s="50"/>
      <c r="M391" s="50"/>
      <c r="N391" s="50"/>
      <c r="O391" s="50"/>
      <c r="P391" s="50"/>
      <c r="Q391" s="50"/>
      <c r="R391" s="50"/>
      <c r="S391" s="50"/>
      <c r="T391" s="50"/>
      <c r="U391" s="50"/>
      <c r="V391" s="50"/>
      <c r="W391" s="50"/>
      <c r="X391" s="50"/>
      <c r="Y391" s="50"/>
      <c r="Z391" s="50"/>
      <c r="AA391" s="50"/>
      <c r="AB391" s="50"/>
    </row>
    <row r="392" customFormat="false" ht="15.75" hidden="false" customHeight="false" outlineLevel="0" collapsed="false">
      <c r="A392" s="50"/>
      <c r="B392" s="50"/>
      <c r="C392" s="5"/>
      <c r="D392" s="48"/>
      <c r="E392" s="50"/>
      <c r="F392" s="5"/>
      <c r="G392" s="5"/>
      <c r="H392" s="5"/>
      <c r="I392" s="5"/>
      <c r="J392" s="5"/>
      <c r="K392" s="50"/>
      <c r="L392" s="50"/>
      <c r="M392" s="50"/>
      <c r="N392" s="50"/>
      <c r="O392" s="50"/>
      <c r="P392" s="50"/>
      <c r="Q392" s="50"/>
      <c r="R392" s="50"/>
      <c r="S392" s="50"/>
      <c r="T392" s="50"/>
      <c r="U392" s="50"/>
      <c r="V392" s="50"/>
      <c r="W392" s="50"/>
      <c r="X392" s="50"/>
      <c r="Y392" s="50"/>
      <c r="Z392" s="50"/>
      <c r="AA392" s="50"/>
      <c r="AB392" s="50"/>
    </row>
    <row r="393" customFormat="false" ht="15.75" hidden="false" customHeight="false" outlineLevel="0" collapsed="false">
      <c r="A393" s="50"/>
      <c r="B393" s="50"/>
      <c r="C393" s="5"/>
      <c r="D393" s="48"/>
      <c r="E393" s="50"/>
      <c r="F393" s="5"/>
      <c r="G393" s="5"/>
      <c r="H393" s="5"/>
      <c r="I393" s="5"/>
      <c r="J393" s="5"/>
      <c r="K393" s="50"/>
      <c r="L393" s="50"/>
      <c r="M393" s="50"/>
      <c r="N393" s="50"/>
      <c r="O393" s="50"/>
      <c r="P393" s="50"/>
      <c r="Q393" s="50"/>
      <c r="R393" s="50"/>
      <c r="S393" s="50"/>
      <c r="T393" s="50"/>
      <c r="U393" s="50"/>
      <c r="V393" s="50"/>
      <c r="W393" s="50"/>
      <c r="X393" s="50"/>
      <c r="Y393" s="50"/>
      <c r="Z393" s="50"/>
      <c r="AA393" s="50"/>
      <c r="AB393" s="50"/>
    </row>
    <row r="394" customFormat="false" ht="15.75" hidden="false" customHeight="false" outlineLevel="0" collapsed="false">
      <c r="A394" s="50"/>
      <c r="B394" s="50"/>
      <c r="C394" s="5"/>
      <c r="D394" s="48"/>
      <c r="E394" s="50"/>
      <c r="F394" s="5"/>
      <c r="G394" s="5"/>
      <c r="H394" s="5"/>
      <c r="I394" s="5"/>
      <c r="J394" s="5"/>
      <c r="K394" s="50"/>
      <c r="L394" s="50"/>
      <c r="M394" s="50"/>
      <c r="N394" s="50"/>
      <c r="O394" s="50"/>
      <c r="P394" s="50"/>
      <c r="Q394" s="50"/>
      <c r="R394" s="50"/>
      <c r="S394" s="50"/>
      <c r="T394" s="50"/>
      <c r="U394" s="50"/>
      <c r="V394" s="50"/>
      <c r="W394" s="50"/>
      <c r="X394" s="50"/>
      <c r="Y394" s="50"/>
      <c r="Z394" s="50"/>
      <c r="AA394" s="50"/>
      <c r="AB394" s="50"/>
    </row>
    <row r="395" customFormat="false" ht="15.75" hidden="false" customHeight="false" outlineLevel="0" collapsed="false">
      <c r="A395" s="50"/>
      <c r="B395" s="50"/>
      <c r="C395" s="5"/>
      <c r="D395" s="48"/>
      <c r="E395" s="50"/>
      <c r="F395" s="5"/>
      <c r="G395" s="5"/>
      <c r="H395" s="5"/>
      <c r="I395" s="5"/>
      <c r="J395" s="5"/>
      <c r="K395" s="50"/>
      <c r="L395" s="50"/>
      <c r="M395" s="50"/>
      <c r="N395" s="50"/>
      <c r="O395" s="50"/>
      <c r="P395" s="50"/>
      <c r="Q395" s="50"/>
      <c r="R395" s="50"/>
      <c r="S395" s="50"/>
      <c r="T395" s="50"/>
      <c r="U395" s="50"/>
      <c r="V395" s="50"/>
      <c r="W395" s="50"/>
      <c r="X395" s="50"/>
      <c r="Y395" s="50"/>
      <c r="Z395" s="50"/>
      <c r="AA395" s="50"/>
      <c r="AB395" s="50"/>
    </row>
    <row r="396" customFormat="false" ht="15.75" hidden="false" customHeight="false" outlineLevel="0" collapsed="false">
      <c r="A396" s="50"/>
      <c r="B396" s="50"/>
      <c r="C396" s="5"/>
      <c r="D396" s="48"/>
      <c r="E396" s="50"/>
      <c r="F396" s="5"/>
      <c r="G396" s="5"/>
      <c r="H396" s="5"/>
      <c r="I396" s="5"/>
      <c r="J396" s="5"/>
      <c r="K396" s="50"/>
      <c r="L396" s="50"/>
      <c r="M396" s="50"/>
      <c r="N396" s="50"/>
      <c r="O396" s="50"/>
      <c r="P396" s="50"/>
      <c r="Q396" s="50"/>
      <c r="R396" s="50"/>
      <c r="S396" s="50"/>
      <c r="T396" s="50"/>
      <c r="U396" s="50"/>
      <c r="V396" s="50"/>
      <c r="W396" s="50"/>
      <c r="X396" s="50"/>
      <c r="Y396" s="50"/>
      <c r="Z396" s="50"/>
      <c r="AA396" s="50"/>
      <c r="AB396" s="50"/>
    </row>
    <row r="397" customFormat="false" ht="15.75" hidden="false" customHeight="false" outlineLevel="0" collapsed="false">
      <c r="A397" s="50"/>
      <c r="B397" s="50"/>
      <c r="C397" s="5"/>
      <c r="D397" s="48"/>
      <c r="E397" s="50"/>
      <c r="F397" s="5"/>
      <c r="G397" s="5"/>
      <c r="H397" s="5"/>
      <c r="I397" s="5"/>
      <c r="J397" s="5"/>
      <c r="K397" s="50"/>
      <c r="L397" s="50"/>
      <c r="M397" s="50"/>
      <c r="N397" s="50"/>
      <c r="O397" s="50"/>
      <c r="P397" s="50"/>
      <c r="Q397" s="50"/>
      <c r="R397" s="50"/>
      <c r="S397" s="50"/>
      <c r="T397" s="50"/>
      <c r="U397" s="50"/>
      <c r="V397" s="50"/>
      <c r="W397" s="50"/>
      <c r="X397" s="50"/>
      <c r="Y397" s="50"/>
      <c r="Z397" s="50"/>
      <c r="AA397" s="50"/>
      <c r="AB397" s="50"/>
    </row>
    <row r="398" customFormat="false" ht="15.75" hidden="false" customHeight="false" outlineLevel="0" collapsed="false">
      <c r="A398" s="50"/>
      <c r="B398" s="50"/>
      <c r="C398" s="5"/>
      <c r="D398" s="48"/>
      <c r="E398" s="50"/>
      <c r="F398" s="5"/>
      <c r="G398" s="5"/>
      <c r="H398" s="5"/>
      <c r="I398" s="5"/>
      <c r="J398" s="5"/>
      <c r="K398" s="50"/>
      <c r="L398" s="50"/>
      <c r="M398" s="50"/>
      <c r="N398" s="50"/>
      <c r="O398" s="50"/>
      <c r="P398" s="50"/>
      <c r="Q398" s="50"/>
      <c r="R398" s="50"/>
      <c r="S398" s="50"/>
      <c r="T398" s="50"/>
      <c r="U398" s="50"/>
      <c r="V398" s="50"/>
      <c r="W398" s="50"/>
      <c r="X398" s="50"/>
      <c r="Y398" s="50"/>
      <c r="Z398" s="50"/>
      <c r="AA398" s="50"/>
      <c r="AB398" s="50"/>
    </row>
    <row r="399" customFormat="false" ht="15.75" hidden="false" customHeight="false" outlineLevel="0" collapsed="false">
      <c r="A399" s="50"/>
      <c r="B399" s="50"/>
      <c r="C399" s="5"/>
      <c r="D399" s="48"/>
      <c r="E399" s="50"/>
      <c r="F399" s="5"/>
      <c r="G399" s="5"/>
      <c r="H399" s="5"/>
      <c r="I399" s="5"/>
      <c r="J399" s="5"/>
      <c r="K399" s="50"/>
      <c r="L399" s="50"/>
      <c r="M399" s="50"/>
      <c r="N399" s="50"/>
      <c r="O399" s="50"/>
      <c r="P399" s="50"/>
      <c r="Q399" s="50"/>
      <c r="R399" s="50"/>
      <c r="S399" s="50"/>
      <c r="T399" s="50"/>
      <c r="U399" s="50"/>
      <c r="V399" s="50"/>
      <c r="W399" s="50"/>
      <c r="X399" s="50"/>
      <c r="Y399" s="50"/>
      <c r="Z399" s="50"/>
      <c r="AA399" s="50"/>
      <c r="AB399" s="50"/>
    </row>
    <row r="400" customFormat="false" ht="15.75" hidden="false" customHeight="false" outlineLevel="0" collapsed="false">
      <c r="A400" s="50"/>
      <c r="B400" s="50"/>
      <c r="C400" s="5"/>
      <c r="D400" s="48"/>
      <c r="E400" s="50"/>
      <c r="F400" s="5"/>
      <c r="G400" s="5"/>
      <c r="H400" s="5"/>
      <c r="I400" s="5"/>
      <c r="J400" s="5"/>
      <c r="K400" s="50"/>
      <c r="L400" s="50"/>
      <c r="M400" s="50"/>
      <c r="N400" s="50"/>
      <c r="O400" s="50"/>
      <c r="P400" s="50"/>
      <c r="Q400" s="50"/>
      <c r="R400" s="50"/>
      <c r="S400" s="50"/>
      <c r="T400" s="50"/>
      <c r="U400" s="50"/>
      <c r="V400" s="50"/>
      <c r="W400" s="50"/>
      <c r="X400" s="50"/>
      <c r="Y400" s="50"/>
      <c r="Z400" s="50"/>
      <c r="AA400" s="50"/>
      <c r="AB400" s="50"/>
    </row>
    <row r="401" customFormat="false" ht="15.75" hidden="false" customHeight="false" outlineLevel="0" collapsed="false">
      <c r="A401" s="50"/>
      <c r="B401" s="50"/>
      <c r="C401" s="5"/>
      <c r="D401" s="48"/>
      <c r="E401" s="50"/>
      <c r="F401" s="5"/>
      <c r="G401" s="5"/>
      <c r="H401" s="5"/>
      <c r="I401" s="5"/>
      <c r="J401" s="5"/>
      <c r="K401" s="50"/>
      <c r="L401" s="50"/>
      <c r="M401" s="50"/>
      <c r="N401" s="50"/>
      <c r="O401" s="50"/>
      <c r="P401" s="50"/>
      <c r="Q401" s="50"/>
      <c r="R401" s="50"/>
      <c r="S401" s="50"/>
      <c r="T401" s="50"/>
      <c r="U401" s="50"/>
      <c r="V401" s="50"/>
      <c r="W401" s="50"/>
      <c r="X401" s="50"/>
      <c r="Y401" s="50"/>
      <c r="Z401" s="50"/>
      <c r="AA401" s="50"/>
      <c r="AB401" s="50"/>
    </row>
    <row r="402" customFormat="false" ht="15.75" hidden="false" customHeight="false" outlineLevel="0" collapsed="false">
      <c r="A402" s="50"/>
      <c r="B402" s="50"/>
      <c r="C402" s="5"/>
      <c r="D402" s="48"/>
      <c r="E402" s="50"/>
      <c r="F402" s="5"/>
      <c r="G402" s="5"/>
      <c r="H402" s="5"/>
      <c r="I402" s="5"/>
      <c r="J402" s="5"/>
      <c r="K402" s="50"/>
      <c r="L402" s="50"/>
      <c r="M402" s="50"/>
      <c r="N402" s="50"/>
      <c r="O402" s="50"/>
      <c r="P402" s="50"/>
      <c r="Q402" s="50"/>
      <c r="R402" s="50"/>
      <c r="S402" s="50"/>
      <c r="T402" s="50"/>
      <c r="U402" s="50"/>
      <c r="V402" s="50"/>
      <c r="W402" s="50"/>
      <c r="X402" s="50"/>
      <c r="Y402" s="50"/>
      <c r="Z402" s="50"/>
      <c r="AA402" s="50"/>
      <c r="AB402" s="50"/>
    </row>
    <row r="403" customFormat="false" ht="15.75" hidden="false" customHeight="false" outlineLevel="0" collapsed="false">
      <c r="A403" s="50"/>
      <c r="B403" s="50"/>
      <c r="C403" s="5"/>
      <c r="D403" s="48"/>
      <c r="E403" s="50"/>
      <c r="F403" s="5"/>
      <c r="G403" s="5"/>
      <c r="H403" s="5"/>
      <c r="I403" s="5"/>
      <c r="J403" s="5"/>
      <c r="K403" s="50"/>
      <c r="L403" s="50"/>
      <c r="M403" s="50"/>
      <c r="N403" s="50"/>
      <c r="O403" s="50"/>
      <c r="P403" s="50"/>
      <c r="Q403" s="50"/>
      <c r="R403" s="50"/>
      <c r="S403" s="50"/>
      <c r="T403" s="50"/>
      <c r="U403" s="50"/>
      <c r="V403" s="50"/>
      <c r="W403" s="50"/>
      <c r="X403" s="50"/>
      <c r="Y403" s="50"/>
      <c r="Z403" s="50"/>
      <c r="AA403" s="50"/>
      <c r="AB403" s="50"/>
    </row>
    <row r="404" customFormat="false" ht="15.75" hidden="false" customHeight="false" outlineLevel="0" collapsed="false">
      <c r="A404" s="50"/>
      <c r="B404" s="50"/>
      <c r="C404" s="5"/>
      <c r="D404" s="48"/>
      <c r="E404" s="50"/>
      <c r="F404" s="5"/>
      <c r="G404" s="5"/>
      <c r="H404" s="5"/>
      <c r="I404" s="5"/>
      <c r="J404" s="5"/>
      <c r="K404" s="50"/>
      <c r="L404" s="50"/>
      <c r="M404" s="50"/>
      <c r="N404" s="50"/>
      <c r="O404" s="50"/>
      <c r="P404" s="50"/>
      <c r="Q404" s="50"/>
      <c r="R404" s="50"/>
      <c r="S404" s="50"/>
      <c r="T404" s="50"/>
      <c r="U404" s="50"/>
      <c r="V404" s="50"/>
      <c r="W404" s="50"/>
      <c r="X404" s="50"/>
      <c r="Y404" s="50"/>
      <c r="Z404" s="50"/>
      <c r="AA404" s="50"/>
      <c r="AB404" s="50"/>
    </row>
    <row r="405" customFormat="false" ht="15.75" hidden="false" customHeight="false" outlineLevel="0" collapsed="false">
      <c r="A405" s="50"/>
      <c r="B405" s="50"/>
      <c r="C405" s="5"/>
      <c r="D405" s="48"/>
      <c r="E405" s="50"/>
      <c r="F405" s="5"/>
      <c r="G405" s="5"/>
      <c r="H405" s="5"/>
      <c r="I405" s="5"/>
      <c r="J405" s="5"/>
      <c r="K405" s="50"/>
      <c r="L405" s="50"/>
      <c r="M405" s="50"/>
      <c r="N405" s="50"/>
      <c r="O405" s="50"/>
      <c r="P405" s="50"/>
      <c r="Q405" s="50"/>
      <c r="R405" s="50"/>
      <c r="S405" s="50"/>
      <c r="T405" s="50"/>
      <c r="U405" s="50"/>
      <c r="V405" s="50"/>
      <c r="W405" s="50"/>
      <c r="X405" s="50"/>
      <c r="Y405" s="50"/>
      <c r="Z405" s="50"/>
      <c r="AA405" s="50"/>
      <c r="AB405" s="50"/>
    </row>
    <row r="406" customFormat="false" ht="15.75" hidden="false" customHeight="false" outlineLevel="0" collapsed="false">
      <c r="A406" s="50"/>
      <c r="B406" s="50"/>
      <c r="C406" s="5"/>
      <c r="D406" s="48"/>
      <c r="E406" s="50"/>
      <c r="F406" s="5"/>
      <c r="G406" s="5"/>
      <c r="H406" s="5"/>
      <c r="I406" s="5"/>
      <c r="J406" s="5"/>
      <c r="K406" s="50"/>
      <c r="L406" s="50"/>
      <c r="M406" s="50"/>
      <c r="N406" s="50"/>
      <c r="O406" s="50"/>
      <c r="P406" s="50"/>
      <c r="Q406" s="50"/>
      <c r="R406" s="50"/>
      <c r="S406" s="50"/>
      <c r="T406" s="50"/>
      <c r="U406" s="50"/>
      <c r="V406" s="50"/>
      <c r="W406" s="50"/>
      <c r="X406" s="50"/>
      <c r="Y406" s="50"/>
      <c r="Z406" s="50"/>
      <c r="AA406" s="50"/>
      <c r="AB406" s="50"/>
    </row>
    <row r="407" customFormat="false" ht="15.75" hidden="false" customHeight="false" outlineLevel="0" collapsed="false">
      <c r="A407" s="50"/>
      <c r="B407" s="50"/>
      <c r="C407" s="5"/>
      <c r="D407" s="48"/>
      <c r="E407" s="50"/>
      <c r="F407" s="5"/>
      <c r="G407" s="5"/>
      <c r="H407" s="5"/>
      <c r="I407" s="5"/>
      <c r="J407" s="5"/>
      <c r="K407" s="50"/>
      <c r="L407" s="50"/>
      <c r="M407" s="50"/>
      <c r="N407" s="50"/>
      <c r="O407" s="50"/>
      <c r="P407" s="50"/>
      <c r="Q407" s="50"/>
      <c r="R407" s="50"/>
      <c r="S407" s="50"/>
      <c r="T407" s="50"/>
      <c r="U407" s="50"/>
      <c r="V407" s="50"/>
      <c r="W407" s="50"/>
      <c r="X407" s="50"/>
      <c r="Y407" s="50"/>
      <c r="Z407" s="50"/>
      <c r="AA407" s="50"/>
      <c r="AB407" s="50"/>
    </row>
    <row r="408" customFormat="false" ht="15.75" hidden="false" customHeight="false" outlineLevel="0" collapsed="false">
      <c r="A408" s="50"/>
      <c r="B408" s="50"/>
      <c r="C408" s="5"/>
      <c r="D408" s="48"/>
      <c r="E408" s="50"/>
      <c r="F408" s="5"/>
      <c r="G408" s="5"/>
      <c r="H408" s="5"/>
      <c r="I408" s="5"/>
      <c r="J408" s="5"/>
      <c r="K408" s="50"/>
      <c r="L408" s="50"/>
      <c r="M408" s="50"/>
      <c r="N408" s="50"/>
      <c r="O408" s="50"/>
      <c r="P408" s="50"/>
      <c r="Q408" s="50"/>
      <c r="R408" s="50"/>
      <c r="S408" s="50"/>
      <c r="T408" s="50"/>
      <c r="U408" s="50"/>
      <c r="V408" s="50"/>
      <c r="W408" s="50"/>
      <c r="X408" s="50"/>
      <c r="Y408" s="50"/>
      <c r="Z408" s="50"/>
      <c r="AA408" s="50"/>
      <c r="AB408" s="50"/>
    </row>
    <row r="409" customFormat="false" ht="15.75" hidden="false" customHeight="false" outlineLevel="0" collapsed="false">
      <c r="A409" s="50"/>
      <c r="B409" s="50"/>
      <c r="C409" s="5"/>
      <c r="D409" s="48"/>
      <c r="E409" s="50"/>
      <c r="F409" s="5"/>
      <c r="G409" s="5"/>
      <c r="H409" s="5"/>
      <c r="I409" s="5"/>
      <c r="J409" s="5"/>
      <c r="K409" s="50"/>
      <c r="L409" s="50"/>
      <c r="M409" s="50"/>
      <c r="N409" s="50"/>
      <c r="O409" s="50"/>
      <c r="P409" s="50"/>
      <c r="Q409" s="50"/>
      <c r="R409" s="50"/>
      <c r="S409" s="50"/>
      <c r="T409" s="50"/>
      <c r="U409" s="50"/>
      <c r="V409" s="50"/>
      <c r="W409" s="50"/>
      <c r="X409" s="50"/>
      <c r="Y409" s="50"/>
      <c r="Z409" s="50"/>
      <c r="AA409" s="50"/>
      <c r="AB409" s="50"/>
    </row>
    <row r="410" customFormat="false" ht="15.75" hidden="false" customHeight="false" outlineLevel="0" collapsed="false">
      <c r="A410" s="50"/>
      <c r="B410" s="50"/>
      <c r="C410" s="5"/>
      <c r="D410" s="48"/>
      <c r="E410" s="50"/>
      <c r="F410" s="5"/>
      <c r="G410" s="5"/>
      <c r="H410" s="5"/>
      <c r="I410" s="5"/>
      <c r="J410" s="5"/>
      <c r="K410" s="50"/>
      <c r="L410" s="50"/>
      <c r="M410" s="50"/>
      <c r="N410" s="50"/>
      <c r="O410" s="50"/>
      <c r="P410" s="50"/>
      <c r="Q410" s="50"/>
      <c r="R410" s="50"/>
      <c r="S410" s="50"/>
      <c r="T410" s="50"/>
      <c r="U410" s="50"/>
      <c r="V410" s="50"/>
      <c r="W410" s="50"/>
      <c r="X410" s="50"/>
      <c r="Y410" s="50"/>
      <c r="Z410" s="50"/>
      <c r="AA410" s="50"/>
      <c r="AB410" s="50"/>
    </row>
    <row r="411" customFormat="false" ht="15.75" hidden="false" customHeight="false" outlineLevel="0" collapsed="false">
      <c r="A411" s="50"/>
      <c r="B411" s="50"/>
      <c r="C411" s="5"/>
      <c r="D411" s="48"/>
      <c r="E411" s="50"/>
      <c r="F411" s="5"/>
      <c r="G411" s="5"/>
      <c r="H411" s="5"/>
      <c r="I411" s="5"/>
      <c r="J411" s="5"/>
      <c r="K411" s="50"/>
      <c r="L411" s="50"/>
      <c r="M411" s="50"/>
      <c r="N411" s="50"/>
      <c r="O411" s="50"/>
      <c r="P411" s="50"/>
      <c r="Q411" s="50"/>
      <c r="R411" s="50"/>
      <c r="S411" s="50"/>
      <c r="T411" s="50"/>
      <c r="U411" s="50"/>
      <c r="V411" s="50"/>
      <c r="W411" s="50"/>
      <c r="X411" s="50"/>
      <c r="Y411" s="50"/>
      <c r="Z411" s="50"/>
      <c r="AA411" s="50"/>
      <c r="AB411" s="50"/>
    </row>
    <row r="412" customFormat="false" ht="15.75" hidden="false" customHeight="false" outlineLevel="0" collapsed="false">
      <c r="A412" s="50"/>
      <c r="B412" s="50"/>
      <c r="C412" s="5"/>
      <c r="D412" s="48"/>
      <c r="E412" s="50"/>
      <c r="F412" s="5"/>
      <c r="G412" s="5"/>
      <c r="H412" s="5"/>
      <c r="I412" s="5"/>
      <c r="J412" s="5"/>
      <c r="K412" s="50"/>
      <c r="L412" s="50"/>
      <c r="M412" s="50"/>
      <c r="N412" s="50"/>
      <c r="O412" s="50"/>
      <c r="P412" s="50"/>
      <c r="Q412" s="50"/>
      <c r="R412" s="50"/>
      <c r="S412" s="50"/>
      <c r="T412" s="50"/>
      <c r="U412" s="50"/>
      <c r="V412" s="50"/>
      <c r="W412" s="50"/>
      <c r="X412" s="50"/>
      <c r="Y412" s="50"/>
      <c r="Z412" s="50"/>
      <c r="AA412" s="50"/>
      <c r="AB412" s="50"/>
    </row>
    <row r="413" customFormat="false" ht="15.75" hidden="false" customHeight="false" outlineLevel="0" collapsed="false">
      <c r="A413" s="50"/>
      <c r="B413" s="50"/>
      <c r="C413" s="5"/>
      <c r="D413" s="48"/>
      <c r="E413" s="50"/>
      <c r="F413" s="5"/>
      <c r="G413" s="5"/>
      <c r="H413" s="5"/>
      <c r="I413" s="5"/>
      <c r="J413" s="5"/>
      <c r="K413" s="50"/>
      <c r="L413" s="50"/>
      <c r="M413" s="50"/>
      <c r="N413" s="50"/>
      <c r="O413" s="50"/>
      <c r="P413" s="50"/>
      <c r="Q413" s="50"/>
      <c r="R413" s="50"/>
      <c r="S413" s="50"/>
      <c r="T413" s="50"/>
      <c r="U413" s="50"/>
      <c r="V413" s="50"/>
      <c r="W413" s="50"/>
      <c r="X413" s="50"/>
      <c r="Y413" s="50"/>
      <c r="Z413" s="50"/>
      <c r="AA413" s="50"/>
      <c r="AB413" s="50"/>
    </row>
    <row r="414" customFormat="false" ht="15.75" hidden="false" customHeight="false" outlineLevel="0" collapsed="false">
      <c r="A414" s="50"/>
      <c r="B414" s="50"/>
      <c r="C414" s="5"/>
      <c r="D414" s="48"/>
      <c r="E414" s="50"/>
      <c r="F414" s="5"/>
      <c r="G414" s="5"/>
      <c r="H414" s="5"/>
      <c r="I414" s="5"/>
      <c r="J414" s="5"/>
      <c r="K414" s="50"/>
      <c r="L414" s="50"/>
      <c r="M414" s="50"/>
      <c r="N414" s="50"/>
      <c r="O414" s="50"/>
      <c r="P414" s="50"/>
      <c r="Q414" s="50"/>
      <c r="R414" s="50"/>
      <c r="S414" s="50"/>
      <c r="T414" s="50"/>
      <c r="U414" s="50"/>
      <c r="V414" s="50"/>
      <c r="W414" s="50"/>
      <c r="X414" s="50"/>
      <c r="Y414" s="50"/>
      <c r="Z414" s="50"/>
      <c r="AA414" s="50"/>
      <c r="AB414" s="50"/>
    </row>
    <row r="415" customFormat="false" ht="15.75" hidden="false" customHeight="false" outlineLevel="0" collapsed="false">
      <c r="A415" s="50"/>
      <c r="B415" s="50"/>
      <c r="C415" s="5"/>
      <c r="D415" s="48"/>
      <c r="E415" s="50"/>
      <c r="F415" s="5"/>
      <c r="G415" s="5"/>
      <c r="H415" s="5"/>
      <c r="I415" s="5"/>
      <c r="J415" s="5"/>
      <c r="K415" s="50"/>
      <c r="L415" s="50"/>
      <c r="M415" s="50"/>
      <c r="N415" s="50"/>
      <c r="O415" s="50"/>
      <c r="P415" s="50"/>
      <c r="Q415" s="50"/>
      <c r="R415" s="50"/>
      <c r="S415" s="50"/>
      <c r="T415" s="50"/>
      <c r="U415" s="50"/>
      <c r="V415" s="50"/>
      <c r="W415" s="50"/>
      <c r="X415" s="50"/>
      <c r="Y415" s="50"/>
      <c r="Z415" s="50"/>
      <c r="AA415" s="50"/>
      <c r="AB415" s="50"/>
    </row>
    <row r="416" customFormat="false" ht="15.75" hidden="false" customHeight="false" outlineLevel="0" collapsed="false">
      <c r="A416" s="50"/>
      <c r="B416" s="50"/>
      <c r="C416" s="5"/>
      <c r="D416" s="48"/>
      <c r="E416" s="50"/>
      <c r="F416" s="5"/>
      <c r="G416" s="5"/>
      <c r="H416" s="5"/>
      <c r="I416" s="5"/>
      <c r="J416" s="5"/>
      <c r="K416" s="50"/>
      <c r="L416" s="50"/>
      <c r="M416" s="50"/>
      <c r="N416" s="50"/>
      <c r="O416" s="50"/>
      <c r="P416" s="50"/>
      <c r="Q416" s="50"/>
      <c r="R416" s="50"/>
      <c r="S416" s="50"/>
      <c r="T416" s="50"/>
      <c r="U416" s="50"/>
      <c r="V416" s="50"/>
      <c r="W416" s="50"/>
      <c r="X416" s="50"/>
      <c r="Y416" s="50"/>
      <c r="Z416" s="50"/>
      <c r="AA416" s="50"/>
      <c r="AB416" s="50"/>
    </row>
    <row r="417" customFormat="false" ht="15.75" hidden="false" customHeight="false" outlineLevel="0" collapsed="false">
      <c r="A417" s="50"/>
      <c r="B417" s="50"/>
      <c r="C417" s="5"/>
      <c r="D417" s="48"/>
      <c r="E417" s="50"/>
      <c r="F417" s="5"/>
      <c r="G417" s="5"/>
      <c r="H417" s="5"/>
      <c r="I417" s="5"/>
      <c r="J417" s="5"/>
      <c r="K417" s="50"/>
      <c r="L417" s="50"/>
      <c r="M417" s="50"/>
      <c r="N417" s="50"/>
      <c r="O417" s="50"/>
      <c r="P417" s="50"/>
      <c r="Q417" s="50"/>
      <c r="R417" s="50"/>
      <c r="S417" s="50"/>
      <c r="T417" s="50"/>
      <c r="U417" s="50"/>
      <c r="V417" s="50"/>
      <c r="W417" s="50"/>
      <c r="X417" s="50"/>
      <c r="Y417" s="50"/>
      <c r="Z417" s="50"/>
      <c r="AA417" s="50"/>
      <c r="AB417" s="50"/>
    </row>
    <row r="418" customFormat="false" ht="15.75" hidden="false" customHeight="false" outlineLevel="0" collapsed="false">
      <c r="A418" s="50"/>
      <c r="B418" s="50"/>
      <c r="C418" s="5"/>
      <c r="D418" s="48"/>
      <c r="E418" s="50"/>
      <c r="F418" s="5"/>
      <c r="G418" s="5"/>
      <c r="H418" s="5"/>
      <c r="I418" s="5"/>
      <c r="J418" s="5"/>
      <c r="K418" s="50"/>
      <c r="L418" s="50"/>
      <c r="M418" s="50"/>
      <c r="N418" s="50"/>
      <c r="O418" s="50"/>
      <c r="P418" s="50"/>
      <c r="Q418" s="50"/>
      <c r="R418" s="50"/>
      <c r="S418" s="50"/>
      <c r="T418" s="50"/>
      <c r="U418" s="50"/>
      <c r="V418" s="50"/>
      <c r="W418" s="50"/>
      <c r="X418" s="50"/>
      <c r="Y418" s="50"/>
      <c r="Z418" s="50"/>
      <c r="AA418" s="50"/>
      <c r="AB418" s="50"/>
    </row>
    <row r="419" customFormat="false" ht="15.75" hidden="false" customHeight="false" outlineLevel="0" collapsed="false">
      <c r="A419" s="50"/>
      <c r="B419" s="50"/>
      <c r="C419" s="5"/>
      <c r="D419" s="48"/>
      <c r="E419" s="50"/>
      <c r="F419" s="5"/>
      <c r="G419" s="5"/>
      <c r="H419" s="5"/>
      <c r="I419" s="5"/>
      <c r="J419" s="5"/>
      <c r="K419" s="50"/>
      <c r="L419" s="50"/>
      <c r="M419" s="50"/>
      <c r="N419" s="50"/>
      <c r="O419" s="50"/>
      <c r="P419" s="50"/>
      <c r="Q419" s="50"/>
      <c r="R419" s="50"/>
      <c r="S419" s="50"/>
      <c r="T419" s="50"/>
      <c r="U419" s="50"/>
      <c r="V419" s="50"/>
      <c r="W419" s="50"/>
      <c r="X419" s="50"/>
      <c r="Y419" s="50"/>
      <c r="Z419" s="50"/>
      <c r="AA419" s="50"/>
      <c r="AB419" s="50"/>
    </row>
    <row r="420" customFormat="false" ht="15.75" hidden="false" customHeight="false" outlineLevel="0" collapsed="false">
      <c r="A420" s="50"/>
      <c r="B420" s="50"/>
      <c r="C420" s="5"/>
      <c r="D420" s="48"/>
      <c r="E420" s="50"/>
      <c r="F420" s="5"/>
      <c r="G420" s="5"/>
      <c r="H420" s="5"/>
      <c r="I420" s="5"/>
      <c r="J420" s="5"/>
      <c r="K420" s="50"/>
      <c r="L420" s="50"/>
      <c r="M420" s="50"/>
      <c r="N420" s="50"/>
      <c r="O420" s="50"/>
      <c r="P420" s="50"/>
      <c r="Q420" s="50"/>
      <c r="R420" s="50"/>
      <c r="S420" s="50"/>
      <c r="T420" s="50"/>
      <c r="U420" s="50"/>
      <c r="V420" s="50"/>
      <c r="W420" s="50"/>
      <c r="X420" s="50"/>
      <c r="Y420" s="50"/>
      <c r="Z420" s="50"/>
      <c r="AA420" s="50"/>
      <c r="AB420" s="50"/>
    </row>
    <row r="421" customFormat="false" ht="15.75" hidden="false" customHeight="false" outlineLevel="0" collapsed="false">
      <c r="A421" s="50"/>
      <c r="B421" s="50"/>
      <c r="C421" s="5"/>
      <c r="D421" s="48"/>
      <c r="E421" s="50"/>
      <c r="F421" s="5"/>
      <c r="G421" s="5"/>
      <c r="H421" s="5"/>
      <c r="I421" s="5"/>
      <c r="J421" s="5"/>
      <c r="K421" s="50"/>
      <c r="L421" s="50"/>
      <c r="M421" s="50"/>
      <c r="N421" s="50"/>
      <c r="O421" s="50"/>
      <c r="P421" s="50"/>
      <c r="Q421" s="50"/>
      <c r="R421" s="50"/>
      <c r="S421" s="50"/>
      <c r="T421" s="50"/>
      <c r="U421" s="50"/>
      <c r="V421" s="50"/>
      <c r="W421" s="50"/>
      <c r="X421" s="50"/>
      <c r="Y421" s="50"/>
      <c r="Z421" s="50"/>
      <c r="AA421" s="50"/>
      <c r="AB421" s="50"/>
    </row>
    <row r="422" customFormat="false" ht="15.75" hidden="false" customHeight="false" outlineLevel="0" collapsed="false">
      <c r="A422" s="50"/>
      <c r="B422" s="50"/>
      <c r="C422" s="5"/>
      <c r="D422" s="48"/>
      <c r="E422" s="50"/>
      <c r="F422" s="5"/>
      <c r="G422" s="5"/>
      <c r="H422" s="5"/>
      <c r="I422" s="5"/>
      <c r="J422" s="5"/>
      <c r="K422" s="50"/>
      <c r="L422" s="50"/>
      <c r="M422" s="50"/>
      <c r="N422" s="50"/>
      <c r="O422" s="50"/>
      <c r="P422" s="50"/>
      <c r="Q422" s="50"/>
      <c r="R422" s="50"/>
      <c r="S422" s="50"/>
      <c r="T422" s="50"/>
      <c r="U422" s="50"/>
      <c r="V422" s="50"/>
      <c r="W422" s="50"/>
      <c r="X422" s="50"/>
      <c r="Y422" s="50"/>
      <c r="Z422" s="50"/>
      <c r="AA422" s="50"/>
      <c r="AB422" s="50"/>
    </row>
    <row r="423" customFormat="false" ht="15.75" hidden="false" customHeight="false" outlineLevel="0" collapsed="false">
      <c r="A423" s="50"/>
      <c r="B423" s="50"/>
      <c r="C423" s="5"/>
      <c r="D423" s="48"/>
      <c r="E423" s="50"/>
      <c r="F423" s="5"/>
      <c r="G423" s="5"/>
      <c r="H423" s="5"/>
      <c r="I423" s="5"/>
      <c r="J423" s="5"/>
      <c r="K423" s="50"/>
      <c r="L423" s="50"/>
      <c r="M423" s="50"/>
      <c r="N423" s="50"/>
      <c r="O423" s="50"/>
      <c r="P423" s="50"/>
      <c r="Q423" s="50"/>
      <c r="R423" s="50"/>
      <c r="S423" s="50"/>
      <c r="T423" s="50"/>
      <c r="U423" s="50"/>
      <c r="V423" s="50"/>
      <c r="W423" s="50"/>
      <c r="X423" s="50"/>
      <c r="Y423" s="50"/>
      <c r="Z423" s="50"/>
      <c r="AA423" s="50"/>
      <c r="AB423" s="50"/>
    </row>
    <row r="424" customFormat="false" ht="15.75" hidden="false" customHeight="false" outlineLevel="0" collapsed="false">
      <c r="A424" s="50"/>
      <c r="B424" s="50"/>
      <c r="C424" s="5"/>
      <c r="D424" s="48"/>
      <c r="E424" s="50"/>
      <c r="F424" s="5"/>
      <c r="G424" s="5"/>
      <c r="H424" s="5"/>
      <c r="I424" s="5"/>
      <c r="J424" s="5"/>
      <c r="K424" s="50"/>
      <c r="L424" s="50"/>
      <c r="M424" s="50"/>
      <c r="N424" s="50"/>
      <c r="O424" s="50"/>
      <c r="P424" s="50"/>
      <c r="Q424" s="50"/>
      <c r="R424" s="50"/>
      <c r="S424" s="50"/>
      <c r="T424" s="50"/>
      <c r="U424" s="50"/>
      <c r="V424" s="50"/>
      <c r="W424" s="50"/>
      <c r="X424" s="50"/>
      <c r="Y424" s="50"/>
      <c r="Z424" s="50"/>
      <c r="AA424" s="50"/>
      <c r="AB424" s="50"/>
    </row>
    <row r="425" customFormat="false" ht="15.75" hidden="false" customHeight="false" outlineLevel="0" collapsed="false">
      <c r="A425" s="50"/>
      <c r="B425" s="50"/>
      <c r="C425" s="5"/>
      <c r="D425" s="48"/>
      <c r="E425" s="50"/>
      <c r="F425" s="5"/>
      <c r="G425" s="5"/>
      <c r="H425" s="5"/>
      <c r="I425" s="5"/>
      <c r="J425" s="5"/>
      <c r="K425" s="50"/>
      <c r="L425" s="50"/>
      <c r="M425" s="50"/>
      <c r="N425" s="50"/>
      <c r="O425" s="50"/>
      <c r="P425" s="50"/>
      <c r="Q425" s="50"/>
      <c r="R425" s="50"/>
      <c r="S425" s="50"/>
      <c r="T425" s="50"/>
      <c r="U425" s="50"/>
      <c r="V425" s="50"/>
      <c r="W425" s="50"/>
      <c r="X425" s="50"/>
      <c r="Y425" s="50"/>
      <c r="Z425" s="50"/>
      <c r="AA425" s="50"/>
      <c r="AB425" s="50"/>
    </row>
    <row r="426" customFormat="false" ht="15.75" hidden="false" customHeight="false" outlineLevel="0" collapsed="false">
      <c r="A426" s="50"/>
      <c r="B426" s="50"/>
      <c r="C426" s="5"/>
      <c r="D426" s="48"/>
      <c r="E426" s="50"/>
      <c r="F426" s="5"/>
      <c r="G426" s="5"/>
      <c r="H426" s="5"/>
      <c r="I426" s="5"/>
      <c r="J426" s="5"/>
      <c r="K426" s="50"/>
      <c r="L426" s="50"/>
      <c r="M426" s="50"/>
      <c r="N426" s="50"/>
      <c r="O426" s="50"/>
      <c r="P426" s="50"/>
      <c r="Q426" s="50"/>
      <c r="R426" s="50"/>
      <c r="S426" s="50"/>
      <c r="T426" s="50"/>
      <c r="U426" s="50"/>
      <c r="V426" s="50"/>
      <c r="W426" s="50"/>
      <c r="X426" s="50"/>
      <c r="Y426" s="50"/>
      <c r="Z426" s="50"/>
      <c r="AA426" s="50"/>
      <c r="AB426" s="50"/>
    </row>
    <row r="427" customFormat="false" ht="15.75" hidden="false" customHeight="false" outlineLevel="0" collapsed="false">
      <c r="A427" s="50"/>
      <c r="B427" s="50"/>
      <c r="C427" s="5"/>
      <c r="D427" s="48"/>
      <c r="E427" s="50"/>
      <c r="F427" s="5"/>
      <c r="G427" s="5"/>
      <c r="H427" s="5"/>
      <c r="I427" s="5"/>
      <c r="J427" s="5"/>
      <c r="K427" s="50"/>
      <c r="L427" s="50"/>
      <c r="M427" s="50"/>
      <c r="N427" s="50"/>
      <c r="O427" s="50"/>
      <c r="P427" s="50"/>
      <c r="Q427" s="50"/>
      <c r="R427" s="50"/>
      <c r="S427" s="50"/>
      <c r="T427" s="50"/>
      <c r="U427" s="50"/>
      <c r="V427" s="50"/>
      <c r="W427" s="50"/>
      <c r="X427" s="50"/>
      <c r="Y427" s="50"/>
      <c r="Z427" s="50"/>
      <c r="AA427" s="50"/>
      <c r="AB427" s="50"/>
    </row>
    <row r="428" customFormat="false" ht="15.75" hidden="false" customHeight="false" outlineLevel="0" collapsed="false">
      <c r="A428" s="50"/>
      <c r="B428" s="50"/>
      <c r="C428" s="5"/>
      <c r="D428" s="48"/>
      <c r="E428" s="50"/>
      <c r="F428" s="5"/>
      <c r="G428" s="5"/>
      <c r="H428" s="5"/>
      <c r="I428" s="5"/>
      <c r="J428" s="5"/>
      <c r="K428" s="50"/>
      <c r="L428" s="50"/>
      <c r="M428" s="50"/>
      <c r="N428" s="50"/>
      <c r="O428" s="50"/>
      <c r="P428" s="50"/>
      <c r="Q428" s="50"/>
      <c r="R428" s="50"/>
      <c r="S428" s="50"/>
      <c r="T428" s="50"/>
      <c r="U428" s="50"/>
      <c r="V428" s="50"/>
      <c r="W428" s="50"/>
      <c r="X428" s="50"/>
      <c r="Y428" s="50"/>
      <c r="Z428" s="50"/>
      <c r="AA428" s="50"/>
      <c r="AB428" s="50"/>
    </row>
    <row r="429" customFormat="false" ht="15.75" hidden="false" customHeight="false" outlineLevel="0" collapsed="false">
      <c r="A429" s="50"/>
      <c r="B429" s="50"/>
      <c r="C429" s="5"/>
      <c r="D429" s="48"/>
      <c r="E429" s="50"/>
      <c r="F429" s="5"/>
      <c r="G429" s="5"/>
      <c r="H429" s="5"/>
      <c r="I429" s="5"/>
      <c r="J429" s="5"/>
      <c r="K429" s="50"/>
      <c r="L429" s="50"/>
      <c r="M429" s="50"/>
      <c r="N429" s="50"/>
      <c r="O429" s="50"/>
      <c r="P429" s="50"/>
      <c r="Q429" s="50"/>
      <c r="R429" s="50"/>
      <c r="S429" s="50"/>
      <c r="T429" s="50"/>
      <c r="U429" s="50"/>
      <c r="V429" s="50"/>
      <c r="W429" s="50"/>
      <c r="X429" s="50"/>
      <c r="Y429" s="50"/>
      <c r="Z429" s="50"/>
      <c r="AA429" s="50"/>
      <c r="AB429" s="50"/>
    </row>
    <row r="430" customFormat="false" ht="15.75" hidden="false" customHeight="false" outlineLevel="0" collapsed="false">
      <c r="A430" s="50"/>
      <c r="B430" s="50"/>
      <c r="C430" s="5"/>
      <c r="D430" s="48"/>
      <c r="E430" s="50"/>
      <c r="F430" s="5"/>
      <c r="G430" s="5"/>
      <c r="H430" s="5"/>
      <c r="I430" s="5"/>
      <c r="J430" s="5"/>
      <c r="K430" s="50"/>
      <c r="L430" s="50"/>
      <c r="M430" s="50"/>
      <c r="N430" s="50"/>
      <c r="O430" s="50"/>
      <c r="P430" s="50"/>
      <c r="Q430" s="50"/>
      <c r="R430" s="50"/>
      <c r="S430" s="50"/>
      <c r="T430" s="50"/>
      <c r="U430" s="50"/>
      <c r="V430" s="50"/>
      <c r="W430" s="50"/>
      <c r="X430" s="50"/>
      <c r="Y430" s="50"/>
      <c r="Z430" s="50"/>
      <c r="AA430" s="50"/>
      <c r="AB430" s="50"/>
    </row>
    <row r="431" customFormat="false" ht="15.75" hidden="false" customHeight="false" outlineLevel="0" collapsed="false">
      <c r="A431" s="50"/>
      <c r="B431" s="50"/>
      <c r="C431" s="5"/>
      <c r="D431" s="48"/>
      <c r="E431" s="50"/>
      <c r="F431" s="5"/>
      <c r="G431" s="5"/>
      <c r="H431" s="5"/>
      <c r="I431" s="5"/>
      <c r="J431" s="5"/>
      <c r="K431" s="50"/>
      <c r="L431" s="50"/>
      <c r="M431" s="50"/>
      <c r="N431" s="50"/>
      <c r="O431" s="50"/>
      <c r="P431" s="50"/>
      <c r="Q431" s="50"/>
      <c r="R431" s="50"/>
      <c r="S431" s="50"/>
      <c r="T431" s="50"/>
      <c r="U431" s="50"/>
      <c r="V431" s="50"/>
      <c r="W431" s="50"/>
      <c r="X431" s="50"/>
      <c r="Y431" s="50"/>
      <c r="Z431" s="50"/>
      <c r="AA431" s="50"/>
      <c r="AB431" s="50"/>
    </row>
    <row r="432" customFormat="false" ht="15.75" hidden="false" customHeight="false" outlineLevel="0" collapsed="false">
      <c r="A432" s="50"/>
      <c r="B432" s="50"/>
      <c r="C432" s="5"/>
      <c r="D432" s="48"/>
      <c r="E432" s="50"/>
      <c r="F432" s="5"/>
      <c r="G432" s="5"/>
      <c r="H432" s="5"/>
      <c r="I432" s="5"/>
      <c r="J432" s="5"/>
      <c r="K432" s="50"/>
      <c r="L432" s="50"/>
      <c r="M432" s="50"/>
      <c r="N432" s="50"/>
      <c r="O432" s="50"/>
      <c r="P432" s="50"/>
      <c r="Q432" s="50"/>
      <c r="R432" s="50"/>
      <c r="S432" s="50"/>
      <c r="T432" s="50"/>
      <c r="U432" s="50"/>
      <c r="V432" s="50"/>
      <c r="W432" s="50"/>
      <c r="X432" s="50"/>
      <c r="Y432" s="50"/>
      <c r="Z432" s="50"/>
      <c r="AA432" s="50"/>
      <c r="AB432" s="50"/>
    </row>
    <row r="433" customFormat="false" ht="15.75" hidden="false" customHeight="false" outlineLevel="0" collapsed="false">
      <c r="A433" s="50"/>
      <c r="B433" s="50"/>
      <c r="C433" s="5"/>
      <c r="D433" s="48"/>
      <c r="E433" s="50"/>
      <c r="F433" s="5"/>
      <c r="G433" s="5"/>
      <c r="H433" s="5"/>
      <c r="I433" s="5"/>
      <c r="J433" s="5"/>
      <c r="K433" s="50"/>
      <c r="L433" s="50"/>
      <c r="M433" s="50"/>
      <c r="N433" s="50"/>
      <c r="O433" s="50"/>
      <c r="P433" s="50"/>
      <c r="Q433" s="50"/>
      <c r="R433" s="50"/>
      <c r="S433" s="50"/>
      <c r="T433" s="50"/>
      <c r="U433" s="50"/>
      <c r="V433" s="50"/>
      <c r="W433" s="50"/>
      <c r="X433" s="50"/>
      <c r="Y433" s="50"/>
      <c r="Z433" s="50"/>
      <c r="AA433" s="50"/>
      <c r="AB433" s="50"/>
    </row>
    <row r="434" customFormat="false" ht="15.75" hidden="false" customHeight="false" outlineLevel="0" collapsed="false">
      <c r="A434" s="50"/>
      <c r="B434" s="50"/>
      <c r="C434" s="5"/>
      <c r="D434" s="48"/>
      <c r="E434" s="50"/>
      <c r="F434" s="5"/>
      <c r="G434" s="5"/>
      <c r="H434" s="5"/>
      <c r="I434" s="5"/>
      <c r="J434" s="5"/>
      <c r="K434" s="50"/>
      <c r="L434" s="50"/>
      <c r="M434" s="50"/>
      <c r="N434" s="50"/>
      <c r="O434" s="50"/>
      <c r="P434" s="50"/>
      <c r="Q434" s="50"/>
      <c r="R434" s="50"/>
      <c r="S434" s="50"/>
      <c r="T434" s="50"/>
      <c r="U434" s="50"/>
      <c r="V434" s="50"/>
      <c r="W434" s="50"/>
      <c r="X434" s="50"/>
      <c r="Y434" s="50"/>
      <c r="Z434" s="50"/>
      <c r="AA434" s="50"/>
      <c r="AB434" s="50"/>
    </row>
    <row r="435" customFormat="false" ht="15.75" hidden="false" customHeight="false" outlineLevel="0" collapsed="false">
      <c r="A435" s="50"/>
      <c r="B435" s="50"/>
      <c r="C435" s="5"/>
      <c r="D435" s="48"/>
      <c r="E435" s="50"/>
      <c r="F435" s="5"/>
      <c r="G435" s="5"/>
      <c r="H435" s="5"/>
      <c r="I435" s="5"/>
      <c r="J435" s="5"/>
      <c r="K435" s="50"/>
      <c r="L435" s="50"/>
      <c r="M435" s="50"/>
      <c r="N435" s="50"/>
      <c r="O435" s="50"/>
      <c r="P435" s="50"/>
      <c r="Q435" s="50"/>
      <c r="R435" s="50"/>
      <c r="S435" s="50"/>
      <c r="T435" s="50"/>
      <c r="U435" s="50"/>
      <c r="V435" s="50"/>
      <c r="W435" s="50"/>
      <c r="X435" s="50"/>
      <c r="Y435" s="50"/>
      <c r="Z435" s="50"/>
      <c r="AA435" s="50"/>
      <c r="AB435" s="50"/>
    </row>
    <row r="436" customFormat="false" ht="15.75" hidden="false" customHeight="false" outlineLevel="0" collapsed="false">
      <c r="A436" s="50"/>
      <c r="B436" s="50"/>
      <c r="C436" s="5"/>
      <c r="D436" s="48"/>
      <c r="E436" s="50"/>
      <c r="F436" s="5"/>
      <c r="G436" s="5"/>
      <c r="H436" s="5"/>
      <c r="I436" s="5"/>
      <c r="J436" s="5"/>
      <c r="K436" s="50"/>
      <c r="L436" s="50"/>
      <c r="M436" s="50"/>
      <c r="N436" s="50"/>
      <c r="O436" s="50"/>
      <c r="P436" s="50"/>
      <c r="Q436" s="50"/>
      <c r="R436" s="50"/>
      <c r="S436" s="50"/>
      <c r="T436" s="50"/>
      <c r="U436" s="50"/>
      <c r="V436" s="50"/>
      <c r="W436" s="50"/>
      <c r="X436" s="50"/>
      <c r="Y436" s="50"/>
      <c r="Z436" s="50"/>
      <c r="AA436" s="50"/>
      <c r="AB436" s="50"/>
    </row>
    <row r="437" customFormat="false" ht="15.75" hidden="false" customHeight="false" outlineLevel="0" collapsed="false">
      <c r="A437" s="50"/>
      <c r="B437" s="50"/>
      <c r="C437" s="5"/>
      <c r="D437" s="48"/>
      <c r="E437" s="50"/>
      <c r="F437" s="5"/>
      <c r="G437" s="5"/>
      <c r="H437" s="5"/>
      <c r="I437" s="5"/>
      <c r="J437" s="5"/>
      <c r="K437" s="50"/>
      <c r="L437" s="50"/>
      <c r="M437" s="50"/>
      <c r="N437" s="50"/>
      <c r="O437" s="50"/>
      <c r="P437" s="50"/>
      <c r="Q437" s="50"/>
      <c r="R437" s="50"/>
      <c r="S437" s="50"/>
      <c r="T437" s="50"/>
      <c r="U437" s="50"/>
      <c r="V437" s="50"/>
      <c r="W437" s="50"/>
      <c r="X437" s="50"/>
      <c r="Y437" s="50"/>
      <c r="Z437" s="50"/>
      <c r="AA437" s="50"/>
      <c r="AB437" s="50"/>
    </row>
    <row r="438" customFormat="false" ht="15.75" hidden="false" customHeight="false" outlineLevel="0" collapsed="false">
      <c r="A438" s="50"/>
      <c r="B438" s="50"/>
      <c r="C438" s="5"/>
      <c r="D438" s="48"/>
      <c r="E438" s="50"/>
      <c r="F438" s="5"/>
      <c r="G438" s="5"/>
      <c r="H438" s="5"/>
      <c r="I438" s="5"/>
      <c r="J438" s="5"/>
      <c r="K438" s="50"/>
      <c r="L438" s="50"/>
      <c r="M438" s="50"/>
      <c r="N438" s="50"/>
      <c r="O438" s="50"/>
      <c r="P438" s="50"/>
      <c r="Q438" s="50"/>
      <c r="R438" s="50"/>
      <c r="S438" s="50"/>
      <c r="T438" s="50"/>
      <c r="U438" s="50"/>
      <c r="V438" s="50"/>
      <c r="W438" s="50"/>
      <c r="X438" s="50"/>
      <c r="Y438" s="50"/>
      <c r="Z438" s="50"/>
      <c r="AA438" s="50"/>
      <c r="AB438" s="50"/>
    </row>
    <row r="439" customFormat="false" ht="15.75" hidden="false" customHeight="false" outlineLevel="0" collapsed="false">
      <c r="A439" s="50"/>
      <c r="B439" s="50"/>
      <c r="C439" s="5"/>
      <c r="D439" s="48"/>
      <c r="E439" s="50"/>
      <c r="F439" s="5"/>
      <c r="G439" s="5"/>
      <c r="H439" s="5"/>
      <c r="I439" s="5"/>
      <c r="J439" s="5"/>
      <c r="K439" s="50"/>
      <c r="L439" s="50"/>
      <c r="M439" s="50"/>
      <c r="N439" s="50"/>
      <c r="O439" s="50"/>
      <c r="P439" s="50"/>
      <c r="Q439" s="50"/>
      <c r="R439" s="50"/>
      <c r="S439" s="50"/>
      <c r="T439" s="50"/>
      <c r="U439" s="50"/>
      <c r="V439" s="50"/>
      <c r="W439" s="50"/>
      <c r="X439" s="50"/>
      <c r="Y439" s="50"/>
      <c r="Z439" s="50"/>
      <c r="AA439" s="50"/>
      <c r="AB439" s="50"/>
    </row>
    <row r="440" customFormat="false" ht="15.75" hidden="false" customHeight="false" outlineLevel="0" collapsed="false">
      <c r="A440" s="50"/>
      <c r="B440" s="50"/>
      <c r="C440" s="5"/>
      <c r="D440" s="48"/>
      <c r="E440" s="50"/>
      <c r="F440" s="5"/>
      <c r="G440" s="5"/>
      <c r="H440" s="5"/>
      <c r="I440" s="5"/>
      <c r="J440" s="5"/>
      <c r="K440" s="50"/>
      <c r="L440" s="50"/>
      <c r="M440" s="50"/>
      <c r="N440" s="50"/>
      <c r="O440" s="50"/>
      <c r="P440" s="50"/>
      <c r="Q440" s="50"/>
      <c r="R440" s="50"/>
      <c r="S440" s="50"/>
      <c r="T440" s="50"/>
      <c r="U440" s="50"/>
      <c r="V440" s="50"/>
      <c r="W440" s="50"/>
      <c r="X440" s="50"/>
      <c r="Y440" s="50"/>
      <c r="Z440" s="50"/>
      <c r="AA440" s="50"/>
      <c r="AB440" s="50"/>
    </row>
    <row r="441" customFormat="false" ht="15.75" hidden="false" customHeight="false" outlineLevel="0" collapsed="false">
      <c r="A441" s="50"/>
      <c r="B441" s="50"/>
      <c r="C441" s="5"/>
      <c r="D441" s="48"/>
      <c r="E441" s="50"/>
      <c r="F441" s="5"/>
      <c r="G441" s="5"/>
      <c r="H441" s="5"/>
      <c r="I441" s="5"/>
      <c r="J441" s="5"/>
      <c r="K441" s="50"/>
      <c r="L441" s="50"/>
      <c r="M441" s="50"/>
      <c r="N441" s="50"/>
      <c r="O441" s="50"/>
      <c r="P441" s="50"/>
      <c r="Q441" s="50"/>
      <c r="R441" s="50"/>
      <c r="S441" s="50"/>
      <c r="T441" s="50"/>
      <c r="U441" s="50"/>
      <c r="V441" s="50"/>
      <c r="W441" s="50"/>
      <c r="X441" s="50"/>
      <c r="Y441" s="50"/>
      <c r="Z441" s="50"/>
      <c r="AA441" s="50"/>
      <c r="AB441" s="50"/>
    </row>
    <row r="442" customFormat="false" ht="15.75" hidden="false" customHeight="false" outlineLevel="0" collapsed="false">
      <c r="A442" s="50"/>
      <c r="B442" s="50"/>
      <c r="C442" s="5"/>
      <c r="D442" s="48"/>
      <c r="E442" s="50"/>
      <c r="F442" s="5"/>
      <c r="G442" s="5"/>
      <c r="H442" s="5"/>
      <c r="I442" s="5"/>
      <c r="J442" s="5"/>
      <c r="K442" s="50"/>
      <c r="L442" s="50"/>
      <c r="M442" s="50"/>
      <c r="N442" s="50"/>
      <c r="O442" s="50"/>
      <c r="P442" s="50"/>
      <c r="Q442" s="50"/>
      <c r="R442" s="50"/>
      <c r="S442" s="50"/>
      <c r="T442" s="50"/>
      <c r="U442" s="50"/>
      <c r="V442" s="50"/>
      <c r="W442" s="50"/>
      <c r="X442" s="50"/>
      <c r="Y442" s="50"/>
      <c r="Z442" s="50"/>
      <c r="AA442" s="50"/>
      <c r="AB442" s="50"/>
    </row>
    <row r="443" customFormat="false" ht="15.75" hidden="false" customHeight="false" outlineLevel="0" collapsed="false">
      <c r="A443" s="50"/>
      <c r="B443" s="50"/>
      <c r="C443" s="5"/>
      <c r="D443" s="48"/>
      <c r="E443" s="50"/>
      <c r="F443" s="5"/>
      <c r="G443" s="5"/>
      <c r="H443" s="5"/>
      <c r="I443" s="5"/>
      <c r="J443" s="5"/>
      <c r="K443" s="50"/>
      <c r="L443" s="50"/>
      <c r="M443" s="50"/>
      <c r="N443" s="50"/>
      <c r="O443" s="50"/>
      <c r="P443" s="50"/>
      <c r="Q443" s="50"/>
      <c r="R443" s="50"/>
      <c r="S443" s="50"/>
      <c r="T443" s="50"/>
      <c r="U443" s="50"/>
      <c r="V443" s="50"/>
      <c r="W443" s="50"/>
      <c r="X443" s="50"/>
      <c r="Y443" s="50"/>
      <c r="Z443" s="50"/>
      <c r="AA443" s="50"/>
      <c r="AB443" s="50"/>
    </row>
    <row r="444" customFormat="false" ht="15.75" hidden="false" customHeight="false" outlineLevel="0" collapsed="false">
      <c r="A444" s="50"/>
      <c r="B444" s="50"/>
      <c r="C444" s="5"/>
      <c r="D444" s="48"/>
      <c r="E444" s="50"/>
      <c r="F444" s="5"/>
      <c r="G444" s="5"/>
      <c r="H444" s="5"/>
      <c r="I444" s="5"/>
      <c r="J444" s="5"/>
      <c r="K444" s="50"/>
      <c r="L444" s="50"/>
      <c r="M444" s="50"/>
      <c r="N444" s="50"/>
      <c r="O444" s="50"/>
      <c r="P444" s="50"/>
      <c r="Q444" s="50"/>
      <c r="R444" s="50"/>
      <c r="S444" s="50"/>
      <c r="T444" s="50"/>
      <c r="U444" s="50"/>
      <c r="V444" s="50"/>
      <c r="W444" s="50"/>
      <c r="X444" s="50"/>
      <c r="Y444" s="50"/>
      <c r="Z444" s="50"/>
      <c r="AA444" s="50"/>
      <c r="AB444" s="50"/>
    </row>
    <row r="445" customFormat="false" ht="15.75" hidden="false" customHeight="false" outlineLevel="0" collapsed="false">
      <c r="A445" s="50"/>
      <c r="B445" s="50"/>
      <c r="C445" s="5"/>
      <c r="D445" s="48"/>
      <c r="E445" s="50"/>
      <c r="F445" s="5"/>
      <c r="G445" s="5"/>
      <c r="H445" s="5"/>
      <c r="I445" s="5"/>
      <c r="J445" s="5"/>
      <c r="K445" s="50"/>
      <c r="L445" s="50"/>
      <c r="M445" s="50"/>
      <c r="N445" s="50"/>
      <c r="O445" s="50"/>
      <c r="P445" s="50"/>
      <c r="Q445" s="50"/>
      <c r="R445" s="50"/>
      <c r="S445" s="50"/>
      <c r="T445" s="50"/>
      <c r="U445" s="50"/>
      <c r="V445" s="50"/>
      <c r="W445" s="50"/>
      <c r="X445" s="50"/>
      <c r="Y445" s="50"/>
      <c r="Z445" s="50"/>
      <c r="AA445" s="50"/>
      <c r="AB445" s="50"/>
    </row>
    <row r="446" customFormat="false" ht="15.75" hidden="false" customHeight="false" outlineLevel="0" collapsed="false">
      <c r="A446" s="50"/>
      <c r="B446" s="50"/>
      <c r="C446" s="5"/>
      <c r="D446" s="48"/>
      <c r="E446" s="50"/>
      <c r="F446" s="5"/>
      <c r="G446" s="5"/>
      <c r="H446" s="5"/>
      <c r="I446" s="5"/>
      <c r="J446" s="5"/>
      <c r="K446" s="50"/>
      <c r="L446" s="50"/>
      <c r="M446" s="50"/>
      <c r="N446" s="50"/>
      <c r="O446" s="50"/>
      <c r="P446" s="50"/>
      <c r="Q446" s="50"/>
      <c r="R446" s="50"/>
      <c r="S446" s="50"/>
      <c r="T446" s="50"/>
      <c r="U446" s="50"/>
      <c r="V446" s="50"/>
      <c r="W446" s="50"/>
      <c r="X446" s="50"/>
      <c r="Y446" s="50"/>
      <c r="Z446" s="50"/>
      <c r="AA446" s="50"/>
      <c r="AB446" s="50"/>
    </row>
    <row r="447" customFormat="false" ht="15.75" hidden="false" customHeight="false" outlineLevel="0" collapsed="false">
      <c r="A447" s="50"/>
      <c r="B447" s="50"/>
      <c r="C447" s="5"/>
      <c r="D447" s="48"/>
      <c r="E447" s="50"/>
      <c r="F447" s="5"/>
      <c r="G447" s="5"/>
      <c r="H447" s="5"/>
      <c r="I447" s="5"/>
      <c r="J447" s="5"/>
      <c r="K447" s="50"/>
      <c r="L447" s="50"/>
      <c r="M447" s="50"/>
      <c r="N447" s="50"/>
      <c r="O447" s="50"/>
      <c r="P447" s="50"/>
      <c r="Q447" s="50"/>
      <c r="R447" s="50"/>
      <c r="S447" s="50"/>
      <c r="T447" s="50"/>
      <c r="U447" s="50"/>
      <c r="V447" s="50"/>
      <c r="W447" s="50"/>
      <c r="X447" s="50"/>
      <c r="Y447" s="50"/>
      <c r="Z447" s="50"/>
      <c r="AA447" s="50"/>
      <c r="AB447" s="50"/>
    </row>
    <row r="448" customFormat="false" ht="15.75" hidden="false" customHeight="false" outlineLevel="0" collapsed="false">
      <c r="A448" s="50"/>
      <c r="B448" s="50"/>
      <c r="C448" s="5"/>
      <c r="D448" s="48"/>
      <c r="E448" s="50"/>
      <c r="F448" s="5"/>
      <c r="G448" s="5"/>
      <c r="H448" s="5"/>
      <c r="I448" s="5"/>
      <c r="J448" s="5"/>
      <c r="K448" s="50"/>
      <c r="L448" s="50"/>
      <c r="M448" s="50"/>
      <c r="N448" s="50"/>
      <c r="O448" s="50"/>
      <c r="P448" s="50"/>
      <c r="Q448" s="50"/>
      <c r="R448" s="50"/>
      <c r="S448" s="50"/>
      <c r="T448" s="50"/>
      <c r="U448" s="50"/>
      <c r="V448" s="50"/>
      <c r="W448" s="50"/>
      <c r="X448" s="50"/>
      <c r="Y448" s="50"/>
      <c r="Z448" s="50"/>
      <c r="AA448" s="50"/>
      <c r="AB448" s="50"/>
    </row>
    <row r="449" customFormat="false" ht="15.75" hidden="false" customHeight="false" outlineLevel="0" collapsed="false">
      <c r="A449" s="50"/>
      <c r="B449" s="50"/>
      <c r="C449" s="5"/>
      <c r="D449" s="48"/>
      <c r="E449" s="50"/>
      <c r="F449" s="5"/>
      <c r="G449" s="5"/>
      <c r="H449" s="5"/>
      <c r="I449" s="5"/>
      <c r="J449" s="5"/>
      <c r="K449" s="50"/>
      <c r="L449" s="50"/>
      <c r="M449" s="50"/>
      <c r="N449" s="50"/>
      <c r="O449" s="50"/>
      <c r="P449" s="50"/>
      <c r="Q449" s="50"/>
      <c r="R449" s="50"/>
      <c r="S449" s="50"/>
      <c r="T449" s="50"/>
      <c r="U449" s="50"/>
      <c r="V449" s="50"/>
      <c r="W449" s="50"/>
      <c r="X449" s="50"/>
      <c r="Y449" s="50"/>
      <c r="Z449" s="50"/>
      <c r="AA449" s="50"/>
      <c r="AB449" s="50"/>
    </row>
    <row r="450" customFormat="false" ht="15.75" hidden="false" customHeight="false" outlineLevel="0" collapsed="false">
      <c r="A450" s="50"/>
      <c r="B450" s="50"/>
      <c r="C450" s="5"/>
      <c r="D450" s="48"/>
      <c r="E450" s="50"/>
      <c r="F450" s="5"/>
      <c r="G450" s="5"/>
      <c r="H450" s="5"/>
      <c r="I450" s="5"/>
      <c r="J450" s="5"/>
      <c r="K450" s="50"/>
      <c r="L450" s="50"/>
      <c r="M450" s="50"/>
      <c r="N450" s="50"/>
      <c r="O450" s="50"/>
      <c r="P450" s="50"/>
      <c r="Q450" s="50"/>
      <c r="R450" s="50"/>
      <c r="S450" s="50"/>
      <c r="T450" s="50"/>
      <c r="U450" s="50"/>
      <c r="V450" s="50"/>
      <c r="W450" s="50"/>
      <c r="X450" s="50"/>
      <c r="Y450" s="50"/>
      <c r="Z450" s="50"/>
      <c r="AA450" s="50"/>
      <c r="AB450" s="50"/>
    </row>
    <row r="451" customFormat="false" ht="15.75" hidden="false" customHeight="false" outlineLevel="0" collapsed="false">
      <c r="A451" s="50"/>
      <c r="B451" s="50"/>
      <c r="C451" s="5"/>
      <c r="D451" s="48"/>
      <c r="E451" s="50"/>
      <c r="F451" s="5"/>
      <c r="G451" s="5"/>
      <c r="H451" s="5"/>
      <c r="I451" s="5"/>
      <c r="J451" s="5"/>
      <c r="K451" s="50"/>
      <c r="L451" s="50"/>
      <c r="M451" s="50"/>
      <c r="N451" s="50"/>
      <c r="O451" s="50"/>
      <c r="P451" s="50"/>
      <c r="Q451" s="50"/>
      <c r="R451" s="50"/>
      <c r="S451" s="50"/>
      <c r="T451" s="50"/>
      <c r="U451" s="50"/>
      <c r="V451" s="50"/>
      <c r="W451" s="50"/>
      <c r="X451" s="50"/>
      <c r="Y451" s="50"/>
      <c r="Z451" s="50"/>
      <c r="AA451" s="50"/>
      <c r="AB451" s="50"/>
    </row>
    <row r="452" customFormat="false" ht="15.75" hidden="false" customHeight="false" outlineLevel="0" collapsed="false">
      <c r="A452" s="50"/>
      <c r="B452" s="50"/>
      <c r="C452" s="5"/>
      <c r="D452" s="48"/>
      <c r="E452" s="50"/>
      <c r="F452" s="5"/>
      <c r="G452" s="5"/>
      <c r="H452" s="5"/>
      <c r="I452" s="5"/>
      <c r="J452" s="5"/>
      <c r="K452" s="50"/>
      <c r="L452" s="50"/>
      <c r="M452" s="50"/>
      <c r="N452" s="50"/>
      <c r="O452" s="50"/>
      <c r="P452" s="50"/>
      <c r="Q452" s="50"/>
      <c r="R452" s="50"/>
      <c r="S452" s="50"/>
      <c r="T452" s="50"/>
      <c r="U452" s="50"/>
      <c r="V452" s="50"/>
      <c r="W452" s="50"/>
      <c r="X452" s="50"/>
      <c r="Y452" s="50"/>
      <c r="Z452" s="50"/>
      <c r="AA452" s="50"/>
      <c r="AB452" s="50"/>
    </row>
    <row r="453" customFormat="false" ht="15.75" hidden="false" customHeight="false" outlineLevel="0" collapsed="false">
      <c r="A453" s="50"/>
      <c r="B453" s="50"/>
      <c r="C453" s="5"/>
      <c r="D453" s="48"/>
      <c r="E453" s="50"/>
      <c r="F453" s="5"/>
      <c r="G453" s="5"/>
      <c r="H453" s="5"/>
      <c r="I453" s="5"/>
      <c r="J453" s="5"/>
      <c r="K453" s="50"/>
      <c r="L453" s="50"/>
      <c r="M453" s="50"/>
      <c r="N453" s="50"/>
      <c r="O453" s="50"/>
      <c r="P453" s="50"/>
      <c r="Q453" s="50"/>
      <c r="R453" s="50"/>
      <c r="S453" s="50"/>
      <c r="T453" s="50"/>
      <c r="U453" s="50"/>
      <c r="V453" s="50"/>
      <c r="W453" s="50"/>
      <c r="X453" s="50"/>
      <c r="Y453" s="50"/>
      <c r="Z453" s="50"/>
      <c r="AA453" s="50"/>
      <c r="AB453" s="50"/>
    </row>
    <row r="454" customFormat="false" ht="15.75" hidden="false" customHeight="false" outlineLevel="0" collapsed="false">
      <c r="A454" s="50"/>
      <c r="B454" s="50"/>
      <c r="C454" s="5"/>
      <c r="D454" s="48"/>
      <c r="E454" s="50"/>
      <c r="F454" s="5"/>
      <c r="G454" s="5"/>
      <c r="H454" s="5"/>
      <c r="I454" s="5"/>
      <c r="J454" s="5"/>
      <c r="K454" s="50"/>
      <c r="L454" s="50"/>
      <c r="M454" s="50"/>
      <c r="N454" s="50"/>
      <c r="O454" s="50"/>
      <c r="P454" s="50"/>
      <c r="Q454" s="50"/>
      <c r="R454" s="50"/>
      <c r="S454" s="50"/>
      <c r="T454" s="50"/>
      <c r="U454" s="50"/>
      <c r="V454" s="50"/>
      <c r="W454" s="50"/>
      <c r="X454" s="50"/>
      <c r="Y454" s="50"/>
      <c r="Z454" s="50"/>
      <c r="AA454" s="50"/>
      <c r="AB454" s="50"/>
    </row>
    <row r="455" customFormat="false" ht="15.75" hidden="false" customHeight="false" outlineLevel="0" collapsed="false">
      <c r="A455" s="50"/>
      <c r="B455" s="50"/>
      <c r="C455" s="5"/>
      <c r="D455" s="48"/>
      <c r="E455" s="50"/>
      <c r="F455" s="5"/>
      <c r="G455" s="5"/>
      <c r="H455" s="5"/>
      <c r="I455" s="5"/>
      <c r="J455" s="5"/>
      <c r="K455" s="50"/>
      <c r="L455" s="50"/>
      <c r="M455" s="50"/>
      <c r="N455" s="50"/>
      <c r="O455" s="50"/>
      <c r="P455" s="50"/>
      <c r="Q455" s="50"/>
      <c r="R455" s="50"/>
      <c r="S455" s="50"/>
      <c r="T455" s="50"/>
      <c r="U455" s="50"/>
      <c r="V455" s="50"/>
      <c r="W455" s="50"/>
      <c r="X455" s="50"/>
      <c r="Y455" s="50"/>
      <c r="Z455" s="50"/>
      <c r="AA455" s="50"/>
      <c r="AB455" s="50"/>
    </row>
    <row r="456" customFormat="false" ht="15.75" hidden="false" customHeight="false" outlineLevel="0" collapsed="false">
      <c r="A456" s="50"/>
      <c r="B456" s="50"/>
      <c r="C456" s="5"/>
      <c r="D456" s="48"/>
      <c r="E456" s="50"/>
      <c r="F456" s="5"/>
      <c r="G456" s="5"/>
      <c r="H456" s="5"/>
      <c r="I456" s="5"/>
      <c r="J456" s="5"/>
      <c r="K456" s="50"/>
      <c r="L456" s="50"/>
      <c r="M456" s="50"/>
      <c r="N456" s="50"/>
      <c r="O456" s="50"/>
      <c r="P456" s="50"/>
      <c r="Q456" s="50"/>
      <c r="R456" s="50"/>
      <c r="S456" s="50"/>
      <c r="T456" s="50"/>
      <c r="U456" s="50"/>
      <c r="V456" s="50"/>
      <c r="W456" s="50"/>
      <c r="X456" s="50"/>
      <c r="Y456" s="50"/>
      <c r="Z456" s="50"/>
      <c r="AA456" s="50"/>
      <c r="AB456" s="50"/>
    </row>
    <row r="457" customFormat="false" ht="15.75" hidden="false" customHeight="false" outlineLevel="0" collapsed="false">
      <c r="A457" s="50"/>
      <c r="B457" s="50"/>
      <c r="C457" s="5"/>
      <c r="D457" s="48"/>
      <c r="E457" s="50"/>
      <c r="F457" s="5"/>
      <c r="G457" s="5"/>
      <c r="H457" s="5"/>
      <c r="I457" s="5"/>
      <c r="J457" s="5"/>
      <c r="K457" s="50"/>
      <c r="L457" s="50"/>
      <c r="M457" s="50"/>
      <c r="N457" s="50"/>
      <c r="O457" s="50"/>
      <c r="P457" s="50"/>
      <c r="Q457" s="50"/>
      <c r="R457" s="50"/>
      <c r="S457" s="50"/>
      <c r="T457" s="50"/>
      <c r="U457" s="50"/>
      <c r="V457" s="50"/>
      <c r="W457" s="50"/>
      <c r="X457" s="50"/>
      <c r="Y457" s="50"/>
      <c r="Z457" s="50"/>
      <c r="AA457" s="50"/>
      <c r="AB457" s="50"/>
    </row>
    <row r="458" customFormat="false" ht="15.75" hidden="false" customHeight="false" outlineLevel="0" collapsed="false">
      <c r="A458" s="50"/>
      <c r="B458" s="50"/>
      <c r="C458" s="5"/>
      <c r="D458" s="48"/>
      <c r="E458" s="50"/>
      <c r="F458" s="5"/>
      <c r="G458" s="5"/>
      <c r="H458" s="5"/>
      <c r="I458" s="5"/>
      <c r="J458" s="5"/>
      <c r="K458" s="50"/>
      <c r="L458" s="50"/>
      <c r="M458" s="50"/>
      <c r="N458" s="50"/>
      <c r="O458" s="50"/>
      <c r="P458" s="50"/>
      <c r="Q458" s="50"/>
      <c r="R458" s="50"/>
      <c r="S458" s="50"/>
      <c r="T458" s="50"/>
      <c r="U458" s="50"/>
      <c r="V458" s="50"/>
      <c r="W458" s="50"/>
      <c r="X458" s="50"/>
      <c r="Y458" s="50"/>
      <c r="Z458" s="50"/>
      <c r="AA458" s="50"/>
      <c r="AB458" s="50"/>
    </row>
    <row r="459" customFormat="false" ht="15.75" hidden="false" customHeight="false" outlineLevel="0" collapsed="false">
      <c r="A459" s="50"/>
      <c r="B459" s="50"/>
      <c r="C459" s="5"/>
      <c r="D459" s="48"/>
      <c r="E459" s="50"/>
      <c r="F459" s="5"/>
      <c r="G459" s="5"/>
      <c r="H459" s="5"/>
      <c r="I459" s="5"/>
      <c r="J459" s="5"/>
      <c r="K459" s="50"/>
      <c r="L459" s="50"/>
      <c r="M459" s="50"/>
      <c r="N459" s="50"/>
      <c r="O459" s="50"/>
      <c r="P459" s="50"/>
      <c r="Q459" s="50"/>
      <c r="R459" s="50"/>
      <c r="S459" s="50"/>
      <c r="T459" s="50"/>
      <c r="U459" s="50"/>
      <c r="V459" s="50"/>
      <c r="W459" s="50"/>
      <c r="X459" s="50"/>
      <c r="Y459" s="50"/>
      <c r="Z459" s="50"/>
      <c r="AA459" s="50"/>
      <c r="AB459" s="50"/>
    </row>
    <row r="460" customFormat="false" ht="15.75" hidden="false" customHeight="false" outlineLevel="0" collapsed="false">
      <c r="A460" s="50"/>
      <c r="B460" s="50"/>
      <c r="C460" s="5"/>
      <c r="D460" s="48"/>
      <c r="E460" s="50"/>
      <c r="F460" s="5"/>
      <c r="G460" s="5"/>
      <c r="H460" s="5"/>
      <c r="I460" s="5"/>
      <c r="J460" s="5"/>
      <c r="K460" s="50"/>
      <c r="L460" s="50"/>
      <c r="M460" s="50"/>
      <c r="N460" s="50"/>
      <c r="O460" s="50"/>
      <c r="P460" s="50"/>
      <c r="Q460" s="50"/>
      <c r="R460" s="50"/>
      <c r="S460" s="50"/>
      <c r="T460" s="50"/>
      <c r="U460" s="50"/>
      <c r="V460" s="50"/>
      <c r="W460" s="50"/>
      <c r="X460" s="50"/>
      <c r="Y460" s="50"/>
      <c r="Z460" s="50"/>
      <c r="AA460" s="50"/>
      <c r="AB460" s="50"/>
    </row>
    <row r="461" customFormat="false" ht="15.75" hidden="false" customHeight="false" outlineLevel="0" collapsed="false">
      <c r="A461" s="50"/>
      <c r="B461" s="50"/>
      <c r="C461" s="5"/>
      <c r="D461" s="48"/>
      <c r="E461" s="50"/>
      <c r="F461" s="5"/>
      <c r="G461" s="5"/>
      <c r="H461" s="5"/>
      <c r="I461" s="5"/>
      <c r="J461" s="5"/>
      <c r="K461" s="50"/>
      <c r="L461" s="50"/>
      <c r="M461" s="50"/>
      <c r="N461" s="50"/>
      <c r="O461" s="50"/>
      <c r="P461" s="50"/>
      <c r="Q461" s="50"/>
      <c r="R461" s="50"/>
      <c r="S461" s="50"/>
      <c r="T461" s="50"/>
      <c r="U461" s="50"/>
      <c r="V461" s="50"/>
      <c r="W461" s="50"/>
      <c r="X461" s="50"/>
      <c r="Y461" s="50"/>
      <c r="Z461" s="50"/>
      <c r="AA461" s="50"/>
      <c r="AB461" s="50"/>
    </row>
    <row r="462" customFormat="false" ht="15.75" hidden="false" customHeight="false" outlineLevel="0" collapsed="false">
      <c r="A462" s="50"/>
      <c r="B462" s="50"/>
      <c r="C462" s="5"/>
      <c r="D462" s="48"/>
      <c r="E462" s="50"/>
      <c r="F462" s="5"/>
      <c r="G462" s="5"/>
      <c r="H462" s="5"/>
      <c r="I462" s="5"/>
      <c r="J462" s="5"/>
      <c r="K462" s="50"/>
      <c r="L462" s="50"/>
      <c r="M462" s="50"/>
      <c r="N462" s="50"/>
      <c r="O462" s="50"/>
      <c r="P462" s="50"/>
      <c r="Q462" s="50"/>
      <c r="R462" s="50"/>
      <c r="S462" s="50"/>
      <c r="T462" s="50"/>
      <c r="U462" s="50"/>
      <c r="V462" s="50"/>
      <c r="W462" s="50"/>
      <c r="X462" s="50"/>
      <c r="Y462" s="50"/>
      <c r="Z462" s="50"/>
      <c r="AA462" s="50"/>
      <c r="AB462" s="50"/>
    </row>
    <row r="463" customFormat="false" ht="15.75" hidden="false" customHeight="false" outlineLevel="0" collapsed="false">
      <c r="A463" s="50"/>
      <c r="B463" s="50"/>
      <c r="C463" s="5"/>
      <c r="D463" s="48"/>
      <c r="E463" s="50"/>
      <c r="F463" s="5"/>
      <c r="G463" s="5"/>
      <c r="H463" s="5"/>
      <c r="I463" s="5"/>
      <c r="J463" s="5"/>
      <c r="K463" s="50"/>
      <c r="L463" s="50"/>
      <c r="M463" s="50"/>
      <c r="N463" s="50"/>
      <c r="O463" s="50"/>
      <c r="P463" s="50"/>
      <c r="Q463" s="50"/>
      <c r="R463" s="50"/>
      <c r="S463" s="50"/>
      <c r="T463" s="50"/>
      <c r="U463" s="50"/>
      <c r="V463" s="50"/>
      <c r="W463" s="50"/>
      <c r="X463" s="50"/>
      <c r="Y463" s="50"/>
      <c r="Z463" s="50"/>
      <c r="AA463" s="50"/>
      <c r="AB463" s="50"/>
    </row>
    <row r="464" customFormat="false" ht="15.75" hidden="false" customHeight="false" outlineLevel="0" collapsed="false">
      <c r="A464" s="50"/>
      <c r="B464" s="50"/>
      <c r="C464" s="5"/>
      <c r="D464" s="48"/>
      <c r="E464" s="50"/>
      <c r="F464" s="5"/>
      <c r="G464" s="5"/>
      <c r="H464" s="5"/>
      <c r="I464" s="5"/>
      <c r="J464" s="5"/>
      <c r="K464" s="50"/>
      <c r="L464" s="50"/>
      <c r="M464" s="50"/>
      <c r="N464" s="50"/>
      <c r="O464" s="50"/>
      <c r="P464" s="50"/>
      <c r="Q464" s="50"/>
      <c r="R464" s="50"/>
      <c r="S464" s="50"/>
      <c r="T464" s="50"/>
      <c r="U464" s="50"/>
      <c r="V464" s="50"/>
      <c r="W464" s="50"/>
      <c r="X464" s="50"/>
      <c r="Y464" s="50"/>
      <c r="Z464" s="50"/>
      <c r="AA464" s="50"/>
      <c r="AB464" s="50"/>
    </row>
    <row r="465" customFormat="false" ht="15.75" hidden="false" customHeight="false" outlineLevel="0" collapsed="false">
      <c r="A465" s="50"/>
      <c r="B465" s="50"/>
      <c r="C465" s="5"/>
      <c r="D465" s="48"/>
      <c r="E465" s="50"/>
      <c r="F465" s="5"/>
      <c r="G465" s="5"/>
      <c r="H465" s="5"/>
      <c r="I465" s="5"/>
      <c r="J465" s="5"/>
      <c r="K465" s="50"/>
      <c r="L465" s="50"/>
      <c r="M465" s="50"/>
      <c r="N465" s="50"/>
      <c r="O465" s="50"/>
      <c r="P465" s="50"/>
      <c r="Q465" s="50"/>
      <c r="R465" s="50"/>
      <c r="S465" s="50"/>
      <c r="T465" s="50"/>
      <c r="U465" s="50"/>
      <c r="V465" s="50"/>
      <c r="W465" s="50"/>
      <c r="X465" s="50"/>
      <c r="Y465" s="50"/>
      <c r="Z465" s="50"/>
      <c r="AA465" s="50"/>
      <c r="AB465" s="50"/>
    </row>
    <row r="466" customFormat="false" ht="15.75" hidden="false" customHeight="false" outlineLevel="0" collapsed="false">
      <c r="A466" s="50"/>
      <c r="B466" s="50"/>
      <c r="C466" s="5"/>
      <c r="D466" s="48"/>
      <c r="E466" s="50"/>
      <c r="F466" s="5"/>
      <c r="G466" s="5"/>
      <c r="H466" s="5"/>
      <c r="I466" s="5"/>
      <c r="J466" s="5"/>
      <c r="K466" s="50"/>
      <c r="L466" s="50"/>
      <c r="M466" s="50"/>
      <c r="N466" s="50"/>
      <c r="O466" s="50"/>
      <c r="P466" s="50"/>
      <c r="Q466" s="50"/>
      <c r="R466" s="50"/>
      <c r="S466" s="50"/>
      <c r="T466" s="50"/>
      <c r="U466" s="50"/>
      <c r="V466" s="50"/>
      <c r="W466" s="50"/>
      <c r="X466" s="50"/>
      <c r="Y466" s="50"/>
      <c r="Z466" s="50"/>
      <c r="AA466" s="50"/>
      <c r="AB466" s="50"/>
    </row>
    <row r="467" customFormat="false" ht="15.75" hidden="false" customHeight="false" outlineLevel="0" collapsed="false">
      <c r="A467" s="50"/>
      <c r="B467" s="50"/>
      <c r="C467" s="5"/>
      <c r="D467" s="48"/>
      <c r="E467" s="50"/>
      <c r="F467" s="5"/>
      <c r="G467" s="5"/>
      <c r="H467" s="5"/>
      <c r="I467" s="5"/>
      <c r="J467" s="5"/>
      <c r="K467" s="50"/>
      <c r="L467" s="50"/>
      <c r="M467" s="50"/>
      <c r="N467" s="50"/>
      <c r="O467" s="50"/>
      <c r="P467" s="50"/>
      <c r="Q467" s="50"/>
      <c r="R467" s="50"/>
      <c r="S467" s="50"/>
      <c r="T467" s="50"/>
      <c r="U467" s="50"/>
      <c r="V467" s="50"/>
      <c r="W467" s="50"/>
      <c r="X467" s="50"/>
      <c r="Y467" s="50"/>
      <c r="Z467" s="50"/>
      <c r="AA467" s="50"/>
      <c r="AB467" s="50"/>
    </row>
    <row r="468" customFormat="false" ht="15.75" hidden="false" customHeight="false" outlineLevel="0" collapsed="false">
      <c r="A468" s="50"/>
      <c r="B468" s="50"/>
      <c r="C468" s="5"/>
      <c r="D468" s="48"/>
      <c r="E468" s="50"/>
      <c r="F468" s="5"/>
      <c r="G468" s="5"/>
      <c r="H468" s="5"/>
      <c r="I468" s="5"/>
      <c r="J468" s="5"/>
      <c r="K468" s="50"/>
      <c r="L468" s="50"/>
      <c r="M468" s="50"/>
      <c r="N468" s="50"/>
      <c r="O468" s="50"/>
      <c r="P468" s="50"/>
      <c r="Q468" s="50"/>
      <c r="R468" s="50"/>
      <c r="S468" s="50"/>
      <c r="T468" s="50"/>
      <c r="U468" s="50"/>
      <c r="V468" s="50"/>
      <c r="W468" s="50"/>
      <c r="X468" s="50"/>
      <c r="Y468" s="50"/>
      <c r="Z468" s="50"/>
      <c r="AA468" s="50"/>
      <c r="AB468" s="50"/>
    </row>
    <row r="469" customFormat="false" ht="15.75" hidden="false" customHeight="false" outlineLevel="0" collapsed="false">
      <c r="A469" s="50"/>
      <c r="B469" s="50"/>
      <c r="C469" s="5"/>
      <c r="D469" s="48"/>
      <c r="E469" s="50"/>
      <c r="F469" s="5"/>
      <c r="G469" s="5"/>
      <c r="H469" s="5"/>
      <c r="I469" s="5"/>
      <c r="J469" s="5"/>
      <c r="K469" s="50"/>
      <c r="L469" s="50"/>
      <c r="M469" s="50"/>
      <c r="N469" s="50"/>
      <c r="O469" s="50"/>
      <c r="P469" s="50"/>
      <c r="Q469" s="50"/>
      <c r="R469" s="50"/>
      <c r="S469" s="50"/>
      <c r="T469" s="50"/>
      <c r="U469" s="50"/>
      <c r="V469" s="50"/>
      <c r="W469" s="50"/>
      <c r="X469" s="50"/>
      <c r="Y469" s="50"/>
      <c r="Z469" s="50"/>
      <c r="AA469" s="50"/>
      <c r="AB469" s="50"/>
    </row>
    <row r="470" customFormat="false" ht="15.75" hidden="false" customHeight="false" outlineLevel="0" collapsed="false">
      <c r="A470" s="50"/>
      <c r="B470" s="50"/>
      <c r="C470" s="5"/>
      <c r="D470" s="48"/>
      <c r="E470" s="50"/>
      <c r="F470" s="5"/>
      <c r="G470" s="5"/>
      <c r="H470" s="5"/>
      <c r="I470" s="5"/>
      <c r="J470" s="5"/>
      <c r="K470" s="50"/>
      <c r="L470" s="50"/>
      <c r="M470" s="50"/>
      <c r="N470" s="50"/>
      <c r="O470" s="50"/>
      <c r="P470" s="50"/>
      <c r="Q470" s="50"/>
      <c r="R470" s="50"/>
      <c r="S470" s="50"/>
      <c r="T470" s="50"/>
      <c r="U470" s="50"/>
      <c r="V470" s="50"/>
      <c r="W470" s="50"/>
      <c r="X470" s="50"/>
      <c r="Y470" s="50"/>
      <c r="Z470" s="50"/>
      <c r="AA470" s="50"/>
      <c r="AB470" s="50"/>
    </row>
    <row r="471" customFormat="false" ht="15.75" hidden="false" customHeight="false" outlineLevel="0" collapsed="false">
      <c r="A471" s="50"/>
      <c r="B471" s="50"/>
      <c r="C471" s="5"/>
      <c r="D471" s="48"/>
      <c r="E471" s="50"/>
      <c r="F471" s="5"/>
      <c r="G471" s="5"/>
      <c r="H471" s="5"/>
      <c r="I471" s="5"/>
      <c r="J471" s="5"/>
      <c r="K471" s="50"/>
      <c r="L471" s="50"/>
      <c r="M471" s="50"/>
      <c r="N471" s="50"/>
      <c r="O471" s="50"/>
      <c r="P471" s="50"/>
      <c r="Q471" s="50"/>
      <c r="R471" s="50"/>
      <c r="S471" s="50"/>
      <c r="T471" s="50"/>
      <c r="U471" s="50"/>
      <c r="V471" s="50"/>
      <c r="W471" s="50"/>
      <c r="X471" s="50"/>
      <c r="Y471" s="50"/>
      <c r="Z471" s="50"/>
      <c r="AA471" s="50"/>
      <c r="AB471" s="50"/>
    </row>
    <row r="472" customFormat="false" ht="15.75" hidden="false" customHeight="false" outlineLevel="0" collapsed="false">
      <c r="A472" s="50"/>
      <c r="B472" s="50"/>
      <c r="C472" s="5"/>
      <c r="D472" s="48"/>
      <c r="E472" s="50"/>
      <c r="F472" s="5"/>
      <c r="G472" s="5"/>
      <c r="H472" s="5"/>
      <c r="I472" s="5"/>
      <c r="J472" s="5"/>
      <c r="K472" s="50"/>
      <c r="L472" s="50"/>
      <c r="M472" s="50"/>
      <c r="N472" s="50"/>
      <c r="O472" s="50"/>
      <c r="P472" s="50"/>
      <c r="Q472" s="50"/>
      <c r="R472" s="50"/>
      <c r="S472" s="50"/>
      <c r="T472" s="50"/>
      <c r="U472" s="50"/>
      <c r="V472" s="50"/>
      <c r="W472" s="50"/>
      <c r="X472" s="50"/>
      <c r="Y472" s="50"/>
      <c r="Z472" s="50"/>
      <c r="AA472" s="50"/>
      <c r="AB472" s="50"/>
    </row>
    <row r="473" customFormat="false" ht="15.75" hidden="false" customHeight="false" outlineLevel="0" collapsed="false">
      <c r="A473" s="50"/>
      <c r="B473" s="50"/>
      <c r="C473" s="5"/>
      <c r="D473" s="48"/>
      <c r="E473" s="50"/>
      <c r="F473" s="5"/>
      <c r="G473" s="5"/>
      <c r="H473" s="5"/>
      <c r="I473" s="5"/>
      <c r="J473" s="5"/>
      <c r="K473" s="50"/>
      <c r="L473" s="50"/>
      <c r="M473" s="50"/>
      <c r="N473" s="50"/>
      <c r="O473" s="50"/>
      <c r="P473" s="50"/>
      <c r="Q473" s="50"/>
      <c r="R473" s="50"/>
      <c r="S473" s="50"/>
      <c r="T473" s="50"/>
      <c r="U473" s="50"/>
      <c r="V473" s="50"/>
      <c r="W473" s="50"/>
      <c r="X473" s="50"/>
      <c r="Y473" s="50"/>
      <c r="Z473" s="50"/>
      <c r="AA473" s="50"/>
      <c r="AB473" s="50"/>
    </row>
    <row r="474" customFormat="false" ht="15.75" hidden="false" customHeight="false" outlineLevel="0" collapsed="false">
      <c r="A474" s="50"/>
      <c r="B474" s="50"/>
      <c r="C474" s="5"/>
      <c r="D474" s="48"/>
      <c r="E474" s="50"/>
      <c r="F474" s="5"/>
      <c r="G474" s="5"/>
      <c r="H474" s="5"/>
      <c r="I474" s="5"/>
      <c r="J474" s="5"/>
      <c r="K474" s="50"/>
      <c r="L474" s="50"/>
      <c r="M474" s="50"/>
      <c r="N474" s="50"/>
      <c r="O474" s="50"/>
      <c r="P474" s="50"/>
      <c r="Q474" s="50"/>
      <c r="R474" s="50"/>
      <c r="S474" s="50"/>
      <c r="T474" s="50"/>
      <c r="U474" s="50"/>
      <c r="V474" s="50"/>
      <c r="W474" s="50"/>
      <c r="X474" s="50"/>
      <c r="Y474" s="50"/>
      <c r="Z474" s="50"/>
      <c r="AA474" s="50"/>
      <c r="AB474" s="50"/>
    </row>
    <row r="475" customFormat="false" ht="15.75" hidden="false" customHeight="false" outlineLevel="0" collapsed="false">
      <c r="A475" s="50"/>
      <c r="B475" s="50"/>
      <c r="C475" s="5"/>
      <c r="D475" s="48"/>
      <c r="E475" s="50"/>
      <c r="F475" s="5"/>
      <c r="G475" s="5"/>
      <c r="H475" s="5"/>
      <c r="I475" s="5"/>
      <c r="J475" s="5"/>
      <c r="K475" s="50"/>
      <c r="L475" s="50"/>
      <c r="M475" s="50"/>
      <c r="N475" s="50"/>
      <c r="O475" s="50"/>
      <c r="P475" s="50"/>
      <c r="Q475" s="50"/>
      <c r="R475" s="50"/>
      <c r="S475" s="50"/>
      <c r="T475" s="50"/>
      <c r="U475" s="50"/>
      <c r="V475" s="50"/>
      <c r="W475" s="50"/>
      <c r="X475" s="50"/>
      <c r="Y475" s="50"/>
      <c r="Z475" s="50"/>
      <c r="AA475" s="50"/>
      <c r="AB475" s="50"/>
    </row>
    <row r="476" customFormat="false" ht="15.75" hidden="false" customHeight="false" outlineLevel="0" collapsed="false">
      <c r="A476" s="50"/>
      <c r="B476" s="50"/>
      <c r="C476" s="5"/>
      <c r="D476" s="48"/>
      <c r="E476" s="50"/>
      <c r="F476" s="5"/>
      <c r="G476" s="5"/>
      <c r="H476" s="5"/>
      <c r="I476" s="5"/>
      <c r="J476" s="5"/>
      <c r="K476" s="50"/>
      <c r="L476" s="50"/>
      <c r="M476" s="50"/>
      <c r="N476" s="50"/>
      <c r="O476" s="50"/>
      <c r="P476" s="50"/>
      <c r="Q476" s="50"/>
      <c r="R476" s="50"/>
      <c r="S476" s="50"/>
      <c r="T476" s="50"/>
      <c r="U476" s="50"/>
      <c r="V476" s="50"/>
      <c r="W476" s="50"/>
      <c r="X476" s="50"/>
      <c r="Y476" s="50"/>
      <c r="Z476" s="50"/>
      <c r="AA476" s="50"/>
      <c r="AB476" s="50"/>
    </row>
    <row r="477" customFormat="false" ht="15.75" hidden="false" customHeight="false" outlineLevel="0" collapsed="false">
      <c r="A477" s="50"/>
      <c r="B477" s="50"/>
      <c r="C477" s="5"/>
      <c r="D477" s="48"/>
      <c r="E477" s="50"/>
      <c r="F477" s="5"/>
      <c r="G477" s="5"/>
      <c r="H477" s="5"/>
      <c r="I477" s="5"/>
      <c r="J477" s="5"/>
      <c r="K477" s="50"/>
      <c r="L477" s="50"/>
      <c r="M477" s="50"/>
      <c r="N477" s="50"/>
      <c r="O477" s="50"/>
      <c r="P477" s="50"/>
      <c r="Q477" s="50"/>
      <c r="R477" s="50"/>
      <c r="S477" s="50"/>
      <c r="T477" s="50"/>
      <c r="U477" s="50"/>
      <c r="V477" s="50"/>
      <c r="W477" s="50"/>
      <c r="X477" s="50"/>
      <c r="Y477" s="50"/>
      <c r="Z477" s="50"/>
      <c r="AA477" s="50"/>
      <c r="AB477" s="50"/>
    </row>
    <row r="478" customFormat="false" ht="15.75" hidden="false" customHeight="false" outlineLevel="0" collapsed="false">
      <c r="A478" s="50"/>
      <c r="B478" s="50"/>
      <c r="C478" s="5"/>
      <c r="D478" s="48"/>
      <c r="E478" s="50"/>
      <c r="F478" s="5"/>
      <c r="G478" s="5"/>
      <c r="H478" s="5"/>
      <c r="I478" s="5"/>
      <c r="J478" s="5"/>
      <c r="K478" s="50"/>
      <c r="L478" s="50"/>
      <c r="M478" s="50"/>
      <c r="N478" s="50"/>
      <c r="O478" s="50"/>
      <c r="P478" s="50"/>
      <c r="Q478" s="50"/>
      <c r="R478" s="50"/>
      <c r="S478" s="50"/>
      <c r="T478" s="50"/>
      <c r="U478" s="50"/>
      <c r="V478" s="50"/>
      <c r="W478" s="50"/>
      <c r="X478" s="50"/>
      <c r="Y478" s="50"/>
      <c r="Z478" s="50"/>
      <c r="AA478" s="50"/>
      <c r="AB478" s="50"/>
    </row>
    <row r="479" customFormat="false" ht="15.75" hidden="false" customHeight="false" outlineLevel="0" collapsed="false">
      <c r="A479" s="50"/>
      <c r="B479" s="50"/>
      <c r="C479" s="5"/>
      <c r="D479" s="48"/>
      <c r="E479" s="50"/>
      <c r="F479" s="5"/>
      <c r="G479" s="5"/>
      <c r="H479" s="5"/>
      <c r="I479" s="5"/>
      <c r="J479" s="5"/>
      <c r="K479" s="50"/>
      <c r="L479" s="50"/>
      <c r="M479" s="50"/>
      <c r="N479" s="50"/>
      <c r="O479" s="50"/>
      <c r="P479" s="50"/>
      <c r="Q479" s="50"/>
      <c r="R479" s="50"/>
      <c r="S479" s="50"/>
      <c r="T479" s="50"/>
      <c r="U479" s="50"/>
      <c r="V479" s="50"/>
      <c r="W479" s="50"/>
      <c r="X479" s="50"/>
      <c r="Y479" s="50"/>
      <c r="Z479" s="50"/>
      <c r="AA479" s="50"/>
      <c r="AB479" s="50"/>
    </row>
    <row r="480" customFormat="false" ht="15.75" hidden="false" customHeight="false" outlineLevel="0" collapsed="false">
      <c r="A480" s="50"/>
      <c r="B480" s="50"/>
      <c r="C480" s="5"/>
      <c r="D480" s="48"/>
      <c r="E480" s="50"/>
      <c r="F480" s="5"/>
      <c r="G480" s="5"/>
      <c r="H480" s="5"/>
      <c r="I480" s="5"/>
      <c r="J480" s="5"/>
      <c r="K480" s="50"/>
      <c r="L480" s="50"/>
      <c r="M480" s="50"/>
      <c r="N480" s="50"/>
      <c r="O480" s="50"/>
      <c r="P480" s="50"/>
      <c r="Q480" s="50"/>
      <c r="R480" s="50"/>
      <c r="S480" s="50"/>
      <c r="T480" s="50"/>
      <c r="U480" s="50"/>
      <c r="V480" s="50"/>
      <c r="W480" s="50"/>
      <c r="X480" s="50"/>
      <c r="Y480" s="50"/>
      <c r="Z480" s="50"/>
      <c r="AA480" s="50"/>
      <c r="AB480" s="50"/>
    </row>
    <row r="481" customFormat="false" ht="15.75" hidden="false" customHeight="false" outlineLevel="0" collapsed="false">
      <c r="A481" s="50"/>
      <c r="B481" s="50"/>
      <c r="C481" s="5"/>
      <c r="D481" s="48"/>
      <c r="E481" s="50"/>
      <c r="F481" s="5"/>
      <c r="G481" s="5"/>
      <c r="H481" s="5"/>
      <c r="I481" s="5"/>
      <c r="J481" s="5"/>
      <c r="K481" s="50"/>
      <c r="L481" s="50"/>
      <c r="M481" s="50"/>
      <c r="N481" s="50"/>
      <c r="O481" s="50"/>
      <c r="P481" s="50"/>
      <c r="Q481" s="50"/>
      <c r="R481" s="50"/>
      <c r="S481" s="50"/>
      <c r="T481" s="50"/>
      <c r="U481" s="50"/>
      <c r="V481" s="50"/>
      <c r="W481" s="50"/>
      <c r="X481" s="50"/>
      <c r="Y481" s="50"/>
      <c r="Z481" s="50"/>
      <c r="AA481" s="50"/>
      <c r="AB481" s="50"/>
    </row>
    <row r="482" customFormat="false" ht="15.75" hidden="false" customHeight="false" outlineLevel="0" collapsed="false">
      <c r="A482" s="50"/>
      <c r="B482" s="50"/>
      <c r="C482" s="5"/>
      <c r="D482" s="48"/>
      <c r="E482" s="50"/>
      <c r="F482" s="5"/>
      <c r="G482" s="5"/>
      <c r="H482" s="5"/>
      <c r="I482" s="5"/>
      <c r="J482" s="5"/>
      <c r="K482" s="50"/>
      <c r="L482" s="50"/>
      <c r="M482" s="50"/>
      <c r="N482" s="50"/>
      <c r="O482" s="50"/>
      <c r="P482" s="50"/>
      <c r="Q482" s="50"/>
      <c r="R482" s="50"/>
      <c r="S482" s="50"/>
      <c r="T482" s="50"/>
      <c r="U482" s="50"/>
      <c r="V482" s="50"/>
      <c r="W482" s="50"/>
      <c r="X482" s="50"/>
      <c r="Y482" s="50"/>
      <c r="Z482" s="50"/>
      <c r="AA482" s="50"/>
      <c r="AB482" s="50"/>
    </row>
    <row r="483" customFormat="false" ht="15.75" hidden="false" customHeight="false" outlineLevel="0" collapsed="false">
      <c r="A483" s="50"/>
      <c r="B483" s="50"/>
      <c r="C483" s="5"/>
      <c r="D483" s="48"/>
      <c r="E483" s="50"/>
      <c r="F483" s="5"/>
      <c r="G483" s="5"/>
      <c r="H483" s="5"/>
      <c r="I483" s="5"/>
      <c r="J483" s="5"/>
      <c r="K483" s="50"/>
      <c r="L483" s="50"/>
      <c r="M483" s="50"/>
      <c r="N483" s="50"/>
      <c r="O483" s="50"/>
      <c r="P483" s="50"/>
      <c r="Q483" s="50"/>
      <c r="R483" s="50"/>
      <c r="S483" s="50"/>
      <c r="T483" s="50"/>
      <c r="U483" s="50"/>
      <c r="V483" s="50"/>
      <c r="W483" s="50"/>
      <c r="X483" s="50"/>
      <c r="Y483" s="50"/>
      <c r="Z483" s="50"/>
      <c r="AA483" s="50"/>
      <c r="AB483" s="50"/>
    </row>
    <row r="484" customFormat="false" ht="15.75" hidden="false" customHeight="false" outlineLevel="0" collapsed="false">
      <c r="A484" s="50"/>
      <c r="B484" s="50"/>
      <c r="C484" s="5"/>
      <c r="D484" s="48"/>
      <c r="E484" s="50"/>
      <c r="F484" s="5"/>
      <c r="G484" s="5"/>
      <c r="H484" s="5"/>
      <c r="I484" s="5"/>
      <c r="J484" s="5"/>
      <c r="K484" s="50"/>
      <c r="L484" s="50"/>
      <c r="M484" s="50"/>
      <c r="N484" s="50"/>
      <c r="O484" s="50"/>
      <c r="P484" s="50"/>
      <c r="Q484" s="50"/>
      <c r="R484" s="50"/>
      <c r="S484" s="50"/>
      <c r="T484" s="50"/>
      <c r="U484" s="50"/>
      <c r="V484" s="50"/>
      <c r="W484" s="50"/>
      <c r="X484" s="50"/>
      <c r="Y484" s="50"/>
      <c r="Z484" s="50"/>
      <c r="AA484" s="50"/>
      <c r="AB484" s="50"/>
    </row>
    <row r="485" customFormat="false" ht="15.75" hidden="false" customHeight="false" outlineLevel="0" collapsed="false">
      <c r="A485" s="50"/>
      <c r="B485" s="50"/>
      <c r="C485" s="5"/>
      <c r="D485" s="48"/>
      <c r="E485" s="50"/>
      <c r="F485" s="5"/>
      <c r="G485" s="5"/>
      <c r="H485" s="5"/>
      <c r="I485" s="5"/>
      <c r="J485" s="5"/>
      <c r="K485" s="50"/>
      <c r="L485" s="50"/>
      <c r="M485" s="50"/>
      <c r="N485" s="50"/>
      <c r="O485" s="50"/>
      <c r="P485" s="50"/>
      <c r="Q485" s="50"/>
      <c r="R485" s="50"/>
      <c r="S485" s="50"/>
      <c r="T485" s="50"/>
      <c r="U485" s="50"/>
      <c r="V485" s="50"/>
      <c r="W485" s="50"/>
      <c r="X485" s="50"/>
      <c r="Y485" s="50"/>
      <c r="Z485" s="50"/>
      <c r="AA485" s="50"/>
      <c r="AB485" s="50"/>
    </row>
    <row r="486" customFormat="false" ht="15.75" hidden="false" customHeight="false" outlineLevel="0" collapsed="false">
      <c r="A486" s="50"/>
      <c r="B486" s="50"/>
      <c r="C486" s="5"/>
      <c r="D486" s="48"/>
      <c r="E486" s="50"/>
      <c r="F486" s="5"/>
      <c r="G486" s="5"/>
      <c r="H486" s="5"/>
      <c r="I486" s="5"/>
      <c r="J486" s="5"/>
      <c r="K486" s="50"/>
      <c r="L486" s="50"/>
      <c r="M486" s="50"/>
      <c r="N486" s="50"/>
      <c r="O486" s="50"/>
      <c r="P486" s="50"/>
      <c r="Q486" s="50"/>
      <c r="R486" s="50"/>
      <c r="S486" s="50"/>
      <c r="T486" s="50"/>
      <c r="U486" s="50"/>
      <c r="V486" s="50"/>
      <c r="W486" s="50"/>
      <c r="X486" s="50"/>
      <c r="Y486" s="50"/>
      <c r="Z486" s="50"/>
      <c r="AA486" s="50"/>
      <c r="AB486" s="50"/>
    </row>
    <row r="487" customFormat="false" ht="15.75" hidden="false" customHeight="false" outlineLevel="0" collapsed="false">
      <c r="A487" s="50"/>
      <c r="B487" s="50"/>
      <c r="C487" s="5"/>
      <c r="D487" s="48"/>
      <c r="E487" s="50"/>
      <c r="F487" s="5"/>
      <c r="G487" s="5"/>
      <c r="H487" s="5"/>
      <c r="I487" s="5"/>
      <c r="J487" s="5"/>
      <c r="K487" s="50"/>
      <c r="L487" s="50"/>
      <c r="M487" s="50"/>
      <c r="N487" s="50"/>
      <c r="O487" s="50"/>
      <c r="P487" s="50"/>
      <c r="Q487" s="50"/>
      <c r="R487" s="50"/>
      <c r="S487" s="50"/>
      <c r="T487" s="50"/>
      <c r="U487" s="50"/>
      <c r="V487" s="50"/>
      <c r="W487" s="50"/>
      <c r="X487" s="50"/>
      <c r="Y487" s="50"/>
      <c r="Z487" s="50"/>
      <c r="AA487" s="50"/>
      <c r="AB487" s="50"/>
    </row>
    <row r="488" customFormat="false" ht="15.75" hidden="false" customHeight="false" outlineLevel="0" collapsed="false">
      <c r="A488" s="50"/>
      <c r="B488" s="50"/>
      <c r="C488" s="5"/>
      <c r="D488" s="48"/>
      <c r="E488" s="50"/>
      <c r="F488" s="5"/>
      <c r="G488" s="5"/>
      <c r="H488" s="5"/>
      <c r="I488" s="5"/>
      <c r="J488" s="5"/>
      <c r="K488" s="50"/>
      <c r="L488" s="50"/>
      <c r="M488" s="50"/>
      <c r="N488" s="50"/>
      <c r="O488" s="50"/>
      <c r="P488" s="50"/>
      <c r="Q488" s="50"/>
      <c r="R488" s="50"/>
      <c r="S488" s="50"/>
      <c r="T488" s="50"/>
      <c r="U488" s="50"/>
      <c r="V488" s="50"/>
      <c r="W488" s="50"/>
      <c r="X488" s="50"/>
      <c r="Y488" s="50"/>
      <c r="Z488" s="50"/>
      <c r="AA488" s="50"/>
      <c r="AB488" s="50"/>
    </row>
    <row r="489" customFormat="false" ht="15.75" hidden="false" customHeight="false" outlineLevel="0" collapsed="false">
      <c r="A489" s="50"/>
      <c r="B489" s="50"/>
      <c r="C489" s="5"/>
      <c r="D489" s="48"/>
      <c r="E489" s="50"/>
      <c r="F489" s="5"/>
      <c r="G489" s="5"/>
      <c r="H489" s="5"/>
      <c r="I489" s="5"/>
      <c r="J489" s="5"/>
      <c r="K489" s="50"/>
      <c r="L489" s="50"/>
      <c r="M489" s="50"/>
      <c r="N489" s="50"/>
      <c r="O489" s="50"/>
      <c r="P489" s="50"/>
      <c r="Q489" s="50"/>
      <c r="R489" s="50"/>
      <c r="S489" s="50"/>
      <c r="T489" s="50"/>
      <c r="U489" s="50"/>
      <c r="V489" s="50"/>
      <c r="W489" s="50"/>
      <c r="X489" s="50"/>
      <c r="Y489" s="50"/>
      <c r="Z489" s="50"/>
      <c r="AA489" s="50"/>
      <c r="AB489" s="50"/>
    </row>
    <row r="490" customFormat="false" ht="15.75" hidden="false" customHeight="false" outlineLevel="0" collapsed="false">
      <c r="A490" s="50"/>
      <c r="B490" s="50"/>
      <c r="C490" s="5"/>
      <c r="D490" s="48"/>
      <c r="E490" s="50"/>
      <c r="F490" s="5"/>
      <c r="G490" s="5"/>
      <c r="H490" s="5"/>
      <c r="I490" s="5"/>
      <c r="J490" s="5"/>
      <c r="K490" s="50"/>
      <c r="L490" s="50"/>
      <c r="M490" s="50"/>
      <c r="N490" s="50"/>
      <c r="O490" s="50"/>
      <c r="P490" s="50"/>
      <c r="Q490" s="50"/>
      <c r="R490" s="50"/>
      <c r="S490" s="50"/>
      <c r="T490" s="50"/>
      <c r="U490" s="50"/>
      <c r="V490" s="50"/>
      <c r="W490" s="50"/>
      <c r="X490" s="50"/>
      <c r="Y490" s="50"/>
      <c r="Z490" s="50"/>
      <c r="AA490" s="50"/>
      <c r="AB490" s="50"/>
    </row>
    <row r="491" customFormat="false" ht="15.75" hidden="false" customHeight="false" outlineLevel="0" collapsed="false">
      <c r="A491" s="50"/>
      <c r="B491" s="50"/>
      <c r="C491" s="5"/>
      <c r="D491" s="48"/>
      <c r="E491" s="50"/>
      <c r="F491" s="5"/>
      <c r="G491" s="5"/>
      <c r="H491" s="5"/>
      <c r="I491" s="5"/>
      <c r="J491" s="5"/>
      <c r="K491" s="50"/>
      <c r="L491" s="50"/>
      <c r="M491" s="50"/>
      <c r="N491" s="50"/>
      <c r="O491" s="50"/>
      <c r="P491" s="50"/>
      <c r="Q491" s="50"/>
      <c r="R491" s="50"/>
      <c r="S491" s="50"/>
      <c r="T491" s="50"/>
      <c r="U491" s="50"/>
      <c r="V491" s="50"/>
      <c r="W491" s="50"/>
      <c r="X491" s="50"/>
      <c r="Y491" s="50"/>
      <c r="Z491" s="50"/>
      <c r="AA491" s="50"/>
      <c r="AB491" s="50"/>
    </row>
    <row r="492" customFormat="false" ht="15.75" hidden="false" customHeight="false" outlineLevel="0" collapsed="false">
      <c r="A492" s="50"/>
      <c r="B492" s="50"/>
      <c r="C492" s="5"/>
      <c r="D492" s="48"/>
      <c r="E492" s="50"/>
      <c r="F492" s="5"/>
      <c r="G492" s="5"/>
      <c r="H492" s="5"/>
      <c r="I492" s="5"/>
      <c r="J492" s="5"/>
      <c r="K492" s="50"/>
      <c r="L492" s="50"/>
      <c r="M492" s="50"/>
      <c r="N492" s="50"/>
      <c r="O492" s="50"/>
      <c r="P492" s="50"/>
      <c r="Q492" s="50"/>
      <c r="R492" s="50"/>
      <c r="S492" s="50"/>
      <c r="T492" s="50"/>
      <c r="U492" s="50"/>
      <c r="V492" s="50"/>
      <c r="W492" s="50"/>
      <c r="X492" s="50"/>
      <c r="Y492" s="50"/>
      <c r="Z492" s="50"/>
      <c r="AA492" s="50"/>
      <c r="AB492" s="50"/>
    </row>
    <row r="493" customFormat="false" ht="15.75" hidden="false" customHeight="false" outlineLevel="0" collapsed="false">
      <c r="A493" s="50"/>
      <c r="B493" s="50"/>
      <c r="C493" s="5"/>
      <c r="D493" s="48"/>
      <c r="E493" s="50"/>
      <c r="F493" s="5"/>
      <c r="G493" s="5"/>
      <c r="H493" s="5"/>
      <c r="I493" s="5"/>
      <c r="J493" s="5"/>
      <c r="K493" s="50"/>
      <c r="L493" s="50"/>
      <c r="M493" s="50"/>
      <c r="N493" s="50"/>
      <c r="O493" s="50"/>
      <c r="P493" s="50"/>
      <c r="Q493" s="50"/>
      <c r="R493" s="50"/>
      <c r="S493" s="50"/>
      <c r="T493" s="50"/>
      <c r="U493" s="50"/>
      <c r="V493" s="50"/>
      <c r="W493" s="50"/>
      <c r="X493" s="50"/>
      <c r="Y493" s="50"/>
      <c r="Z493" s="50"/>
      <c r="AA493" s="50"/>
      <c r="AB493" s="50"/>
    </row>
    <row r="494" customFormat="false" ht="15.75" hidden="false" customHeight="false" outlineLevel="0" collapsed="false">
      <c r="A494" s="50"/>
      <c r="B494" s="50"/>
      <c r="C494" s="5"/>
      <c r="D494" s="48"/>
      <c r="E494" s="50"/>
      <c r="F494" s="5"/>
      <c r="G494" s="5"/>
      <c r="H494" s="5"/>
      <c r="I494" s="5"/>
      <c r="J494" s="5"/>
      <c r="K494" s="50"/>
      <c r="L494" s="50"/>
      <c r="M494" s="50"/>
      <c r="N494" s="50"/>
      <c r="O494" s="50"/>
      <c r="P494" s="50"/>
      <c r="Q494" s="50"/>
      <c r="R494" s="50"/>
      <c r="S494" s="50"/>
      <c r="T494" s="50"/>
      <c r="U494" s="50"/>
      <c r="V494" s="50"/>
      <c r="W494" s="50"/>
      <c r="X494" s="50"/>
      <c r="Y494" s="50"/>
      <c r="Z494" s="50"/>
      <c r="AA494" s="50"/>
      <c r="AB494" s="50"/>
    </row>
    <row r="495" customFormat="false" ht="15.75" hidden="false" customHeight="false" outlineLevel="0" collapsed="false">
      <c r="A495" s="50"/>
      <c r="B495" s="50"/>
      <c r="C495" s="5"/>
      <c r="D495" s="48"/>
      <c r="E495" s="50"/>
      <c r="F495" s="5"/>
      <c r="G495" s="5"/>
      <c r="H495" s="5"/>
      <c r="I495" s="5"/>
      <c r="J495" s="5"/>
      <c r="K495" s="50"/>
      <c r="L495" s="50"/>
      <c r="M495" s="50"/>
      <c r="N495" s="50"/>
      <c r="O495" s="50"/>
      <c r="P495" s="50"/>
      <c r="Q495" s="50"/>
      <c r="R495" s="50"/>
      <c r="S495" s="50"/>
      <c r="T495" s="50"/>
      <c r="U495" s="50"/>
      <c r="V495" s="50"/>
      <c r="W495" s="50"/>
      <c r="X495" s="50"/>
      <c r="Y495" s="50"/>
      <c r="Z495" s="50"/>
      <c r="AA495" s="50"/>
      <c r="AB495" s="50"/>
    </row>
    <row r="496" customFormat="false" ht="15.75" hidden="false" customHeight="false" outlineLevel="0" collapsed="false">
      <c r="A496" s="50"/>
      <c r="B496" s="50"/>
      <c r="C496" s="5"/>
      <c r="D496" s="48"/>
      <c r="E496" s="50"/>
      <c r="F496" s="5"/>
      <c r="G496" s="5"/>
      <c r="H496" s="5"/>
      <c r="I496" s="5"/>
      <c r="J496" s="5"/>
      <c r="K496" s="50"/>
      <c r="L496" s="50"/>
      <c r="M496" s="50"/>
      <c r="N496" s="50"/>
      <c r="O496" s="50"/>
      <c r="P496" s="50"/>
      <c r="Q496" s="50"/>
      <c r="R496" s="50"/>
      <c r="S496" s="50"/>
      <c r="T496" s="50"/>
      <c r="U496" s="50"/>
      <c r="V496" s="50"/>
      <c r="W496" s="50"/>
      <c r="X496" s="50"/>
      <c r="Y496" s="50"/>
      <c r="Z496" s="50"/>
      <c r="AA496" s="50"/>
      <c r="AB496" s="50"/>
    </row>
    <row r="497" customFormat="false" ht="15.75" hidden="false" customHeight="false" outlineLevel="0" collapsed="false">
      <c r="A497" s="50"/>
      <c r="B497" s="50"/>
      <c r="C497" s="5"/>
      <c r="D497" s="48"/>
      <c r="E497" s="50"/>
      <c r="F497" s="5"/>
      <c r="G497" s="5"/>
      <c r="H497" s="5"/>
      <c r="I497" s="5"/>
      <c r="J497" s="5"/>
      <c r="K497" s="50"/>
      <c r="L497" s="50"/>
      <c r="M497" s="50"/>
      <c r="N497" s="50"/>
      <c r="O497" s="50"/>
      <c r="P497" s="50"/>
      <c r="Q497" s="50"/>
      <c r="R497" s="50"/>
      <c r="S497" s="50"/>
      <c r="T497" s="50"/>
      <c r="U497" s="50"/>
      <c r="V497" s="50"/>
      <c r="W497" s="50"/>
      <c r="X497" s="50"/>
      <c r="Y497" s="50"/>
      <c r="Z497" s="50"/>
      <c r="AA497" s="50"/>
      <c r="AB497" s="50"/>
    </row>
    <row r="498" customFormat="false" ht="15.75" hidden="false" customHeight="false" outlineLevel="0" collapsed="false">
      <c r="A498" s="50"/>
      <c r="B498" s="50"/>
      <c r="C498" s="5"/>
      <c r="D498" s="48"/>
      <c r="E498" s="50"/>
      <c r="F498" s="5"/>
      <c r="G498" s="5"/>
      <c r="H498" s="5"/>
      <c r="I498" s="5"/>
      <c r="J498" s="5"/>
      <c r="K498" s="50"/>
      <c r="L498" s="50"/>
      <c r="M498" s="50"/>
      <c r="N498" s="50"/>
      <c r="O498" s="50"/>
      <c r="P498" s="50"/>
      <c r="Q498" s="50"/>
      <c r="R498" s="50"/>
      <c r="S498" s="50"/>
      <c r="T498" s="50"/>
      <c r="U498" s="50"/>
      <c r="V498" s="50"/>
      <c r="W498" s="50"/>
      <c r="X498" s="50"/>
      <c r="Y498" s="50"/>
      <c r="Z498" s="50"/>
      <c r="AA498" s="50"/>
      <c r="AB498" s="50"/>
    </row>
    <row r="499" customFormat="false" ht="15.75" hidden="false" customHeight="false" outlineLevel="0" collapsed="false">
      <c r="A499" s="50"/>
      <c r="B499" s="50"/>
      <c r="C499" s="5"/>
      <c r="D499" s="48"/>
      <c r="E499" s="50"/>
      <c r="F499" s="5"/>
      <c r="G499" s="5"/>
      <c r="H499" s="5"/>
      <c r="I499" s="5"/>
      <c r="J499" s="5"/>
      <c r="K499" s="50"/>
      <c r="L499" s="50"/>
      <c r="M499" s="50"/>
      <c r="N499" s="50"/>
      <c r="O499" s="50"/>
      <c r="P499" s="50"/>
      <c r="Q499" s="50"/>
      <c r="R499" s="50"/>
      <c r="S499" s="50"/>
      <c r="T499" s="50"/>
      <c r="U499" s="50"/>
      <c r="V499" s="50"/>
      <c r="W499" s="50"/>
      <c r="X499" s="50"/>
      <c r="Y499" s="50"/>
      <c r="Z499" s="50"/>
      <c r="AA499" s="50"/>
      <c r="AB499" s="50"/>
    </row>
    <row r="500" customFormat="false" ht="15.75" hidden="false" customHeight="false" outlineLevel="0" collapsed="false">
      <c r="A500" s="50"/>
      <c r="B500" s="50"/>
      <c r="C500" s="5"/>
      <c r="D500" s="48"/>
      <c r="E500" s="50"/>
      <c r="F500" s="5"/>
      <c r="G500" s="5"/>
      <c r="H500" s="5"/>
      <c r="I500" s="5"/>
      <c r="J500" s="5"/>
      <c r="K500" s="50"/>
      <c r="L500" s="50"/>
      <c r="M500" s="50"/>
      <c r="N500" s="50"/>
      <c r="O500" s="50"/>
      <c r="P500" s="50"/>
      <c r="Q500" s="50"/>
      <c r="R500" s="50"/>
      <c r="S500" s="50"/>
      <c r="T500" s="50"/>
      <c r="U500" s="50"/>
      <c r="V500" s="50"/>
      <c r="W500" s="50"/>
      <c r="X500" s="50"/>
      <c r="Y500" s="50"/>
      <c r="Z500" s="50"/>
      <c r="AA500" s="50"/>
      <c r="AB500" s="50"/>
    </row>
    <row r="501" customFormat="false" ht="15.75" hidden="false" customHeight="false" outlineLevel="0" collapsed="false">
      <c r="A501" s="50"/>
      <c r="B501" s="50"/>
      <c r="C501" s="5"/>
      <c r="D501" s="48"/>
      <c r="E501" s="50"/>
      <c r="F501" s="5"/>
      <c r="G501" s="5"/>
      <c r="H501" s="5"/>
      <c r="I501" s="5"/>
      <c r="J501" s="5"/>
      <c r="K501" s="50"/>
      <c r="L501" s="50"/>
      <c r="M501" s="50"/>
      <c r="N501" s="50"/>
      <c r="O501" s="50"/>
      <c r="P501" s="50"/>
      <c r="Q501" s="50"/>
      <c r="R501" s="50"/>
      <c r="S501" s="50"/>
      <c r="T501" s="50"/>
      <c r="U501" s="50"/>
      <c r="V501" s="50"/>
      <c r="W501" s="50"/>
      <c r="X501" s="50"/>
      <c r="Y501" s="50"/>
      <c r="Z501" s="50"/>
      <c r="AA501" s="50"/>
      <c r="AB501" s="50"/>
    </row>
    <row r="502" customFormat="false" ht="15.75" hidden="false" customHeight="false" outlineLevel="0" collapsed="false">
      <c r="A502" s="50"/>
      <c r="B502" s="50"/>
      <c r="C502" s="5"/>
      <c r="D502" s="48"/>
      <c r="E502" s="50"/>
      <c r="F502" s="5"/>
      <c r="G502" s="5"/>
      <c r="H502" s="5"/>
      <c r="I502" s="5"/>
      <c r="J502" s="5"/>
      <c r="K502" s="50"/>
      <c r="L502" s="50"/>
      <c r="M502" s="50"/>
      <c r="N502" s="50"/>
      <c r="O502" s="50"/>
      <c r="P502" s="50"/>
      <c r="Q502" s="50"/>
      <c r="R502" s="50"/>
      <c r="S502" s="50"/>
      <c r="T502" s="50"/>
      <c r="U502" s="50"/>
      <c r="V502" s="50"/>
      <c r="W502" s="50"/>
      <c r="X502" s="50"/>
      <c r="Y502" s="50"/>
      <c r="Z502" s="50"/>
      <c r="AA502" s="50"/>
      <c r="AB502" s="50"/>
    </row>
    <row r="503" customFormat="false" ht="15.75" hidden="false" customHeight="false" outlineLevel="0" collapsed="false">
      <c r="A503" s="50"/>
      <c r="B503" s="50"/>
      <c r="C503" s="5"/>
      <c r="D503" s="48"/>
      <c r="E503" s="50"/>
      <c r="F503" s="5"/>
      <c r="G503" s="5"/>
      <c r="H503" s="5"/>
      <c r="I503" s="5"/>
      <c r="J503" s="5"/>
      <c r="K503" s="50"/>
      <c r="L503" s="50"/>
      <c r="M503" s="50"/>
      <c r="N503" s="50"/>
      <c r="O503" s="50"/>
      <c r="P503" s="50"/>
      <c r="Q503" s="50"/>
      <c r="R503" s="50"/>
      <c r="S503" s="50"/>
      <c r="T503" s="50"/>
      <c r="U503" s="50"/>
      <c r="V503" s="50"/>
      <c r="W503" s="50"/>
      <c r="X503" s="50"/>
      <c r="Y503" s="50"/>
      <c r="Z503" s="50"/>
      <c r="AA503" s="50"/>
      <c r="AB503" s="50"/>
    </row>
    <row r="504" customFormat="false" ht="15.75" hidden="false" customHeight="false" outlineLevel="0" collapsed="false">
      <c r="A504" s="50"/>
      <c r="B504" s="50"/>
      <c r="C504" s="5"/>
      <c r="D504" s="48"/>
      <c r="E504" s="50"/>
      <c r="F504" s="5"/>
      <c r="G504" s="5"/>
      <c r="H504" s="5"/>
      <c r="I504" s="5"/>
      <c r="J504" s="5"/>
      <c r="K504" s="50"/>
      <c r="L504" s="50"/>
      <c r="M504" s="50"/>
      <c r="N504" s="50"/>
      <c r="O504" s="50"/>
      <c r="P504" s="50"/>
      <c r="Q504" s="50"/>
      <c r="R504" s="50"/>
      <c r="S504" s="50"/>
      <c r="T504" s="50"/>
      <c r="U504" s="50"/>
      <c r="V504" s="50"/>
      <c r="W504" s="50"/>
      <c r="X504" s="50"/>
      <c r="Y504" s="50"/>
      <c r="Z504" s="50"/>
      <c r="AA504" s="50"/>
      <c r="AB504" s="50"/>
    </row>
    <row r="505" customFormat="false" ht="15.75" hidden="false" customHeight="false" outlineLevel="0" collapsed="false">
      <c r="A505" s="50"/>
      <c r="B505" s="50"/>
      <c r="C505" s="5"/>
      <c r="D505" s="48"/>
      <c r="E505" s="50"/>
      <c r="F505" s="5"/>
      <c r="G505" s="5"/>
      <c r="H505" s="5"/>
      <c r="I505" s="5"/>
      <c r="J505" s="5"/>
      <c r="K505" s="50"/>
      <c r="L505" s="50"/>
      <c r="M505" s="50"/>
      <c r="N505" s="50"/>
      <c r="O505" s="50"/>
      <c r="P505" s="50"/>
      <c r="Q505" s="50"/>
      <c r="R505" s="50"/>
      <c r="S505" s="50"/>
      <c r="T505" s="50"/>
      <c r="U505" s="50"/>
      <c r="V505" s="50"/>
      <c r="W505" s="50"/>
      <c r="X505" s="50"/>
      <c r="Y505" s="50"/>
      <c r="Z505" s="50"/>
      <c r="AA505" s="50"/>
      <c r="AB505" s="50"/>
    </row>
    <row r="506" customFormat="false" ht="15.75" hidden="false" customHeight="false" outlineLevel="0" collapsed="false">
      <c r="A506" s="50"/>
      <c r="B506" s="50"/>
      <c r="C506" s="5"/>
      <c r="D506" s="48"/>
      <c r="E506" s="50"/>
      <c r="F506" s="5"/>
      <c r="G506" s="5"/>
      <c r="H506" s="5"/>
      <c r="I506" s="5"/>
      <c r="J506" s="5"/>
      <c r="K506" s="50"/>
      <c r="L506" s="50"/>
      <c r="M506" s="50"/>
      <c r="N506" s="50"/>
      <c r="O506" s="50"/>
      <c r="P506" s="50"/>
      <c r="Q506" s="50"/>
      <c r="R506" s="50"/>
      <c r="S506" s="50"/>
      <c r="T506" s="50"/>
      <c r="U506" s="50"/>
      <c r="V506" s="50"/>
      <c r="W506" s="50"/>
      <c r="X506" s="50"/>
      <c r="Y506" s="50"/>
      <c r="Z506" s="50"/>
      <c r="AA506" s="50"/>
      <c r="AB506" s="50"/>
    </row>
    <row r="507" customFormat="false" ht="15.75" hidden="false" customHeight="false" outlineLevel="0" collapsed="false">
      <c r="A507" s="50"/>
      <c r="B507" s="50"/>
      <c r="C507" s="5"/>
      <c r="D507" s="48"/>
      <c r="E507" s="50"/>
      <c r="F507" s="5"/>
      <c r="G507" s="5"/>
      <c r="H507" s="5"/>
      <c r="I507" s="5"/>
      <c r="J507" s="5"/>
      <c r="K507" s="50"/>
      <c r="L507" s="50"/>
      <c r="M507" s="50"/>
      <c r="N507" s="50"/>
      <c r="O507" s="50"/>
      <c r="P507" s="50"/>
      <c r="Q507" s="50"/>
      <c r="R507" s="50"/>
      <c r="S507" s="50"/>
      <c r="T507" s="50"/>
      <c r="U507" s="50"/>
      <c r="V507" s="50"/>
      <c r="W507" s="50"/>
      <c r="X507" s="50"/>
      <c r="Y507" s="50"/>
      <c r="Z507" s="50"/>
      <c r="AA507" s="50"/>
      <c r="AB507" s="50"/>
    </row>
    <row r="508" customFormat="false" ht="15.75" hidden="false" customHeight="false" outlineLevel="0" collapsed="false">
      <c r="A508" s="50"/>
      <c r="B508" s="50"/>
      <c r="C508" s="5"/>
      <c r="D508" s="48"/>
      <c r="E508" s="50"/>
      <c r="F508" s="5"/>
      <c r="G508" s="5"/>
      <c r="H508" s="5"/>
      <c r="I508" s="5"/>
      <c r="J508" s="5"/>
      <c r="K508" s="50"/>
      <c r="L508" s="50"/>
      <c r="M508" s="50"/>
      <c r="N508" s="50"/>
      <c r="O508" s="50"/>
      <c r="P508" s="50"/>
      <c r="Q508" s="50"/>
      <c r="R508" s="50"/>
      <c r="S508" s="50"/>
      <c r="T508" s="50"/>
      <c r="U508" s="50"/>
      <c r="V508" s="50"/>
      <c r="W508" s="50"/>
      <c r="X508" s="50"/>
      <c r="Y508" s="50"/>
      <c r="Z508" s="50"/>
      <c r="AA508" s="50"/>
      <c r="AB508" s="50"/>
    </row>
    <row r="509" customFormat="false" ht="15.75" hidden="false" customHeight="false" outlineLevel="0" collapsed="false">
      <c r="A509" s="50"/>
      <c r="B509" s="50"/>
      <c r="C509" s="5"/>
      <c r="D509" s="48"/>
      <c r="E509" s="50"/>
      <c r="F509" s="5"/>
      <c r="G509" s="5"/>
      <c r="H509" s="5"/>
      <c r="I509" s="5"/>
      <c r="J509" s="5"/>
      <c r="K509" s="50"/>
      <c r="L509" s="50"/>
      <c r="M509" s="50"/>
      <c r="N509" s="50"/>
      <c r="O509" s="50"/>
      <c r="P509" s="50"/>
      <c r="Q509" s="50"/>
      <c r="R509" s="50"/>
      <c r="S509" s="50"/>
      <c r="T509" s="50"/>
      <c r="U509" s="50"/>
      <c r="V509" s="50"/>
      <c r="W509" s="50"/>
      <c r="X509" s="50"/>
      <c r="Y509" s="50"/>
      <c r="Z509" s="50"/>
      <c r="AA509" s="50"/>
      <c r="AB509" s="50"/>
    </row>
    <row r="510" customFormat="false" ht="15.75" hidden="false" customHeight="false" outlineLevel="0" collapsed="false">
      <c r="A510" s="50"/>
      <c r="B510" s="50"/>
      <c r="C510" s="5"/>
      <c r="D510" s="48"/>
      <c r="E510" s="50"/>
      <c r="F510" s="5"/>
      <c r="G510" s="5"/>
      <c r="H510" s="5"/>
      <c r="I510" s="5"/>
      <c r="J510" s="5"/>
      <c r="K510" s="50"/>
      <c r="L510" s="50"/>
      <c r="M510" s="50"/>
      <c r="N510" s="50"/>
      <c r="O510" s="50"/>
      <c r="P510" s="50"/>
      <c r="Q510" s="50"/>
      <c r="R510" s="50"/>
      <c r="S510" s="50"/>
      <c r="T510" s="50"/>
      <c r="U510" s="50"/>
      <c r="V510" s="50"/>
      <c r="W510" s="50"/>
      <c r="X510" s="50"/>
      <c r="Y510" s="50"/>
      <c r="Z510" s="50"/>
      <c r="AA510" s="50"/>
      <c r="AB510" s="50"/>
    </row>
    <row r="511" customFormat="false" ht="15.75" hidden="false" customHeight="false" outlineLevel="0" collapsed="false">
      <c r="A511" s="50"/>
      <c r="B511" s="50"/>
      <c r="C511" s="5"/>
      <c r="D511" s="48"/>
      <c r="E511" s="50"/>
      <c r="F511" s="5"/>
      <c r="G511" s="5"/>
      <c r="H511" s="5"/>
      <c r="I511" s="5"/>
      <c r="J511" s="5"/>
      <c r="K511" s="50"/>
      <c r="L511" s="50"/>
      <c r="M511" s="50"/>
      <c r="N511" s="50"/>
      <c r="O511" s="50"/>
      <c r="P511" s="50"/>
      <c r="Q511" s="50"/>
      <c r="R511" s="50"/>
      <c r="S511" s="50"/>
      <c r="T511" s="50"/>
      <c r="U511" s="50"/>
      <c r="V511" s="50"/>
      <c r="W511" s="50"/>
      <c r="X511" s="50"/>
      <c r="Y511" s="50"/>
      <c r="Z511" s="50"/>
      <c r="AA511" s="50"/>
      <c r="AB511" s="50"/>
    </row>
    <row r="512" customFormat="false" ht="15.75" hidden="false" customHeight="false" outlineLevel="0" collapsed="false">
      <c r="A512" s="50"/>
      <c r="B512" s="50"/>
      <c r="C512" s="5"/>
      <c r="D512" s="48"/>
      <c r="E512" s="50"/>
      <c r="F512" s="5"/>
      <c r="G512" s="5"/>
      <c r="H512" s="5"/>
      <c r="I512" s="5"/>
      <c r="J512" s="5"/>
      <c r="K512" s="50"/>
      <c r="L512" s="50"/>
      <c r="M512" s="50"/>
      <c r="N512" s="50"/>
      <c r="O512" s="50"/>
      <c r="P512" s="50"/>
      <c r="Q512" s="50"/>
      <c r="R512" s="50"/>
      <c r="S512" s="50"/>
      <c r="T512" s="50"/>
      <c r="U512" s="50"/>
      <c r="V512" s="50"/>
      <c r="W512" s="50"/>
      <c r="X512" s="50"/>
      <c r="Y512" s="50"/>
      <c r="Z512" s="50"/>
      <c r="AA512" s="50"/>
      <c r="AB512" s="50"/>
    </row>
    <row r="513" customFormat="false" ht="15.75" hidden="false" customHeight="false" outlineLevel="0" collapsed="false">
      <c r="A513" s="50"/>
      <c r="B513" s="50"/>
      <c r="C513" s="5"/>
      <c r="D513" s="48"/>
      <c r="E513" s="50"/>
      <c r="F513" s="5"/>
      <c r="G513" s="5"/>
      <c r="H513" s="5"/>
      <c r="I513" s="5"/>
      <c r="J513" s="5"/>
      <c r="K513" s="50"/>
      <c r="L513" s="50"/>
      <c r="M513" s="50"/>
      <c r="N513" s="50"/>
      <c r="O513" s="50"/>
      <c r="P513" s="50"/>
      <c r="Q513" s="50"/>
      <c r="R513" s="50"/>
      <c r="S513" s="50"/>
      <c r="T513" s="50"/>
      <c r="U513" s="50"/>
      <c r="V513" s="50"/>
      <c r="W513" s="50"/>
      <c r="X513" s="50"/>
      <c r="Y513" s="50"/>
      <c r="Z513" s="50"/>
      <c r="AA513" s="50"/>
      <c r="AB513" s="50"/>
    </row>
    <row r="514" customFormat="false" ht="15.75" hidden="false" customHeight="false" outlineLevel="0" collapsed="false">
      <c r="A514" s="50"/>
      <c r="B514" s="50"/>
      <c r="C514" s="5"/>
      <c r="D514" s="48"/>
      <c r="E514" s="50"/>
      <c r="F514" s="5"/>
      <c r="G514" s="5"/>
      <c r="H514" s="5"/>
      <c r="I514" s="5"/>
      <c r="J514" s="5"/>
      <c r="K514" s="50"/>
      <c r="L514" s="50"/>
      <c r="M514" s="50"/>
      <c r="N514" s="50"/>
      <c r="O514" s="50"/>
      <c r="P514" s="50"/>
      <c r="Q514" s="50"/>
      <c r="R514" s="50"/>
      <c r="S514" s="50"/>
      <c r="T514" s="50"/>
      <c r="U514" s="50"/>
      <c r="V514" s="50"/>
      <c r="W514" s="50"/>
      <c r="X514" s="50"/>
      <c r="Y514" s="50"/>
      <c r="Z514" s="50"/>
      <c r="AA514" s="50"/>
      <c r="AB514" s="50"/>
    </row>
    <row r="515" customFormat="false" ht="15.75" hidden="false" customHeight="false" outlineLevel="0" collapsed="false">
      <c r="A515" s="50"/>
      <c r="B515" s="50"/>
      <c r="C515" s="5"/>
      <c r="D515" s="48"/>
      <c r="E515" s="50"/>
      <c r="F515" s="5"/>
      <c r="G515" s="5"/>
      <c r="H515" s="5"/>
      <c r="I515" s="5"/>
      <c r="J515" s="5"/>
      <c r="K515" s="50"/>
      <c r="L515" s="50"/>
      <c r="M515" s="50"/>
      <c r="N515" s="50"/>
      <c r="O515" s="50"/>
      <c r="P515" s="50"/>
      <c r="Q515" s="50"/>
      <c r="R515" s="50"/>
      <c r="S515" s="50"/>
      <c r="T515" s="50"/>
      <c r="U515" s="50"/>
      <c r="V515" s="50"/>
      <c r="W515" s="50"/>
      <c r="X515" s="50"/>
      <c r="Y515" s="50"/>
      <c r="Z515" s="50"/>
      <c r="AA515" s="50"/>
      <c r="AB515" s="50"/>
    </row>
    <row r="516" customFormat="false" ht="15.75" hidden="false" customHeight="false" outlineLevel="0" collapsed="false">
      <c r="A516" s="50"/>
      <c r="B516" s="50"/>
      <c r="C516" s="5"/>
      <c r="D516" s="48"/>
      <c r="E516" s="50"/>
      <c r="F516" s="5"/>
      <c r="G516" s="5"/>
      <c r="H516" s="5"/>
      <c r="I516" s="5"/>
      <c r="J516" s="5"/>
      <c r="K516" s="50"/>
      <c r="L516" s="50"/>
      <c r="M516" s="50"/>
      <c r="N516" s="50"/>
      <c r="O516" s="50"/>
      <c r="P516" s="50"/>
      <c r="Q516" s="50"/>
      <c r="R516" s="50"/>
      <c r="S516" s="50"/>
      <c r="T516" s="50"/>
      <c r="U516" s="50"/>
      <c r="V516" s="50"/>
      <c r="W516" s="50"/>
      <c r="X516" s="50"/>
      <c r="Y516" s="50"/>
      <c r="Z516" s="50"/>
      <c r="AA516" s="50"/>
      <c r="AB516" s="50"/>
    </row>
    <row r="517" customFormat="false" ht="15.75" hidden="false" customHeight="false" outlineLevel="0" collapsed="false">
      <c r="A517" s="50"/>
      <c r="B517" s="50"/>
      <c r="C517" s="5"/>
      <c r="D517" s="48"/>
      <c r="E517" s="50"/>
      <c r="F517" s="5"/>
      <c r="G517" s="5"/>
      <c r="H517" s="5"/>
      <c r="I517" s="5"/>
      <c r="J517" s="5"/>
      <c r="K517" s="50"/>
      <c r="L517" s="50"/>
      <c r="M517" s="50"/>
      <c r="N517" s="50"/>
      <c r="O517" s="50"/>
      <c r="P517" s="50"/>
      <c r="Q517" s="50"/>
      <c r="R517" s="50"/>
      <c r="S517" s="50"/>
      <c r="T517" s="50"/>
      <c r="U517" s="50"/>
      <c r="V517" s="50"/>
      <c r="W517" s="50"/>
      <c r="X517" s="50"/>
      <c r="Y517" s="50"/>
      <c r="Z517" s="50"/>
      <c r="AA517" s="50"/>
      <c r="AB517" s="50"/>
    </row>
    <row r="518" customFormat="false" ht="15.75" hidden="false" customHeight="false" outlineLevel="0" collapsed="false">
      <c r="A518" s="50"/>
      <c r="B518" s="50"/>
      <c r="C518" s="5"/>
      <c r="D518" s="48"/>
      <c r="E518" s="50"/>
      <c r="F518" s="5"/>
      <c r="G518" s="5"/>
      <c r="H518" s="5"/>
      <c r="I518" s="5"/>
      <c r="J518" s="5"/>
      <c r="K518" s="50"/>
      <c r="L518" s="50"/>
      <c r="M518" s="50"/>
      <c r="N518" s="50"/>
      <c r="O518" s="50"/>
      <c r="P518" s="50"/>
      <c r="Q518" s="50"/>
      <c r="R518" s="50"/>
      <c r="S518" s="50"/>
      <c r="T518" s="50"/>
      <c r="U518" s="50"/>
      <c r="V518" s="50"/>
      <c r="W518" s="50"/>
      <c r="X518" s="50"/>
      <c r="Y518" s="50"/>
      <c r="Z518" s="50"/>
      <c r="AA518" s="50"/>
      <c r="AB518" s="50"/>
    </row>
    <row r="519" customFormat="false" ht="15.75" hidden="false" customHeight="false" outlineLevel="0" collapsed="false">
      <c r="A519" s="50"/>
      <c r="B519" s="50"/>
      <c r="C519" s="5"/>
      <c r="D519" s="48"/>
      <c r="E519" s="50"/>
      <c r="F519" s="5"/>
      <c r="G519" s="5"/>
      <c r="H519" s="5"/>
      <c r="I519" s="5"/>
      <c r="J519" s="5"/>
      <c r="K519" s="50"/>
      <c r="L519" s="50"/>
      <c r="M519" s="50"/>
      <c r="N519" s="50"/>
      <c r="O519" s="50"/>
      <c r="P519" s="50"/>
      <c r="Q519" s="50"/>
      <c r="R519" s="50"/>
      <c r="S519" s="50"/>
      <c r="T519" s="50"/>
      <c r="U519" s="50"/>
      <c r="V519" s="50"/>
      <c r="W519" s="50"/>
      <c r="X519" s="50"/>
      <c r="Y519" s="50"/>
      <c r="Z519" s="50"/>
      <c r="AA519" s="50"/>
      <c r="AB519" s="50"/>
    </row>
    <row r="520" customFormat="false" ht="15.75" hidden="false" customHeight="false" outlineLevel="0" collapsed="false">
      <c r="A520" s="50"/>
      <c r="B520" s="50"/>
      <c r="C520" s="5"/>
      <c r="D520" s="48"/>
      <c r="E520" s="50"/>
      <c r="F520" s="5"/>
      <c r="G520" s="5"/>
      <c r="H520" s="5"/>
      <c r="I520" s="5"/>
      <c r="J520" s="5"/>
      <c r="K520" s="50"/>
      <c r="L520" s="50"/>
      <c r="M520" s="50"/>
      <c r="N520" s="50"/>
      <c r="O520" s="50"/>
      <c r="P520" s="50"/>
      <c r="Q520" s="50"/>
      <c r="R520" s="50"/>
      <c r="S520" s="50"/>
      <c r="T520" s="50"/>
      <c r="U520" s="50"/>
      <c r="V520" s="50"/>
      <c r="W520" s="50"/>
      <c r="X520" s="50"/>
      <c r="Y520" s="50"/>
      <c r="Z520" s="50"/>
      <c r="AA520" s="50"/>
      <c r="AB520" s="50"/>
    </row>
    <row r="521" customFormat="false" ht="15.75" hidden="false" customHeight="false" outlineLevel="0" collapsed="false">
      <c r="A521" s="50"/>
      <c r="B521" s="50"/>
      <c r="C521" s="5"/>
      <c r="D521" s="48"/>
      <c r="E521" s="50"/>
      <c r="F521" s="5"/>
      <c r="G521" s="5"/>
      <c r="H521" s="5"/>
      <c r="I521" s="5"/>
      <c r="J521" s="5"/>
      <c r="K521" s="50"/>
      <c r="L521" s="50"/>
      <c r="M521" s="50"/>
      <c r="N521" s="50"/>
      <c r="O521" s="50"/>
      <c r="P521" s="50"/>
      <c r="Q521" s="50"/>
      <c r="R521" s="50"/>
      <c r="S521" s="50"/>
      <c r="T521" s="50"/>
      <c r="U521" s="50"/>
      <c r="V521" s="50"/>
      <c r="W521" s="50"/>
      <c r="X521" s="50"/>
      <c r="Y521" s="50"/>
      <c r="Z521" s="50"/>
      <c r="AA521" s="50"/>
      <c r="AB521" s="50"/>
    </row>
    <row r="522" customFormat="false" ht="15.75" hidden="false" customHeight="false" outlineLevel="0" collapsed="false">
      <c r="A522" s="50"/>
      <c r="B522" s="50"/>
      <c r="C522" s="5"/>
      <c r="D522" s="48"/>
      <c r="E522" s="50"/>
      <c r="F522" s="5"/>
      <c r="G522" s="5"/>
      <c r="H522" s="5"/>
      <c r="I522" s="5"/>
      <c r="J522" s="5"/>
      <c r="K522" s="50"/>
      <c r="L522" s="50"/>
      <c r="M522" s="50"/>
      <c r="N522" s="50"/>
      <c r="O522" s="50"/>
      <c r="P522" s="50"/>
      <c r="Q522" s="50"/>
      <c r="R522" s="50"/>
      <c r="S522" s="50"/>
      <c r="T522" s="50"/>
      <c r="U522" s="50"/>
      <c r="V522" s="50"/>
      <c r="W522" s="50"/>
      <c r="X522" s="50"/>
      <c r="Y522" s="50"/>
      <c r="Z522" s="50"/>
      <c r="AA522" s="50"/>
      <c r="AB522" s="50"/>
    </row>
    <row r="523" customFormat="false" ht="15.75" hidden="false" customHeight="false" outlineLevel="0" collapsed="false">
      <c r="A523" s="50"/>
      <c r="B523" s="50"/>
      <c r="C523" s="5"/>
      <c r="D523" s="48"/>
      <c r="E523" s="50"/>
      <c r="F523" s="5"/>
      <c r="G523" s="5"/>
      <c r="H523" s="5"/>
      <c r="I523" s="5"/>
      <c r="J523" s="5"/>
      <c r="K523" s="50"/>
      <c r="L523" s="50"/>
      <c r="M523" s="50"/>
      <c r="N523" s="50"/>
      <c r="O523" s="50"/>
      <c r="P523" s="50"/>
      <c r="Q523" s="50"/>
      <c r="R523" s="50"/>
      <c r="S523" s="50"/>
      <c r="T523" s="50"/>
      <c r="U523" s="50"/>
      <c r="V523" s="50"/>
      <c r="W523" s="50"/>
      <c r="X523" s="50"/>
      <c r="Y523" s="50"/>
      <c r="Z523" s="50"/>
      <c r="AA523" s="50"/>
      <c r="AB523" s="50"/>
    </row>
    <row r="524" customFormat="false" ht="15.75" hidden="false" customHeight="false" outlineLevel="0" collapsed="false">
      <c r="A524" s="50"/>
      <c r="B524" s="50"/>
      <c r="C524" s="5"/>
      <c r="D524" s="48"/>
      <c r="E524" s="50"/>
      <c r="F524" s="5"/>
      <c r="G524" s="5"/>
      <c r="H524" s="5"/>
      <c r="I524" s="5"/>
      <c r="J524" s="5"/>
      <c r="K524" s="50"/>
      <c r="L524" s="50"/>
      <c r="M524" s="50"/>
      <c r="N524" s="50"/>
      <c r="O524" s="50"/>
      <c r="P524" s="50"/>
      <c r="Q524" s="50"/>
      <c r="R524" s="50"/>
      <c r="S524" s="50"/>
      <c r="T524" s="50"/>
      <c r="U524" s="50"/>
      <c r="V524" s="50"/>
      <c r="W524" s="50"/>
      <c r="X524" s="50"/>
      <c r="Y524" s="50"/>
      <c r="Z524" s="50"/>
      <c r="AA524" s="50"/>
      <c r="AB524" s="50"/>
    </row>
    <row r="525" customFormat="false" ht="15.75" hidden="false" customHeight="false" outlineLevel="0" collapsed="false">
      <c r="A525" s="50"/>
      <c r="B525" s="50"/>
      <c r="C525" s="5"/>
      <c r="D525" s="48"/>
      <c r="E525" s="50"/>
      <c r="F525" s="5"/>
      <c r="G525" s="5"/>
      <c r="H525" s="5"/>
      <c r="I525" s="5"/>
      <c r="J525" s="5"/>
      <c r="K525" s="50"/>
      <c r="L525" s="50"/>
      <c r="M525" s="50"/>
      <c r="N525" s="50"/>
      <c r="O525" s="50"/>
      <c r="P525" s="50"/>
      <c r="Q525" s="50"/>
      <c r="R525" s="50"/>
      <c r="S525" s="50"/>
      <c r="T525" s="50"/>
      <c r="U525" s="50"/>
      <c r="V525" s="50"/>
      <c r="W525" s="50"/>
      <c r="X525" s="50"/>
      <c r="Y525" s="50"/>
      <c r="Z525" s="50"/>
      <c r="AA525" s="50"/>
      <c r="AB525" s="50"/>
    </row>
    <row r="526" customFormat="false" ht="15.75" hidden="false" customHeight="false" outlineLevel="0" collapsed="false">
      <c r="A526" s="50"/>
      <c r="B526" s="50"/>
      <c r="C526" s="5"/>
      <c r="D526" s="48"/>
      <c r="E526" s="50"/>
      <c r="F526" s="5"/>
      <c r="G526" s="5"/>
      <c r="H526" s="5"/>
      <c r="I526" s="5"/>
      <c r="J526" s="5"/>
      <c r="K526" s="50"/>
      <c r="L526" s="50"/>
      <c r="M526" s="50"/>
      <c r="N526" s="50"/>
      <c r="O526" s="50"/>
      <c r="P526" s="50"/>
      <c r="Q526" s="50"/>
      <c r="R526" s="50"/>
      <c r="S526" s="50"/>
      <c r="T526" s="50"/>
      <c r="U526" s="50"/>
      <c r="V526" s="50"/>
      <c r="W526" s="50"/>
      <c r="X526" s="50"/>
      <c r="Y526" s="50"/>
      <c r="Z526" s="50"/>
      <c r="AA526" s="50"/>
      <c r="AB526" s="50"/>
    </row>
    <row r="527" customFormat="false" ht="15.75" hidden="false" customHeight="false" outlineLevel="0" collapsed="false">
      <c r="A527" s="50"/>
      <c r="B527" s="50"/>
      <c r="C527" s="5"/>
      <c r="D527" s="48"/>
      <c r="E527" s="50"/>
      <c r="F527" s="5"/>
      <c r="G527" s="5"/>
      <c r="H527" s="5"/>
      <c r="I527" s="5"/>
      <c r="J527" s="5"/>
      <c r="K527" s="50"/>
      <c r="L527" s="50"/>
      <c r="M527" s="50"/>
      <c r="N527" s="50"/>
      <c r="O527" s="50"/>
      <c r="P527" s="50"/>
      <c r="Q527" s="50"/>
      <c r="R527" s="50"/>
      <c r="S527" s="50"/>
      <c r="T527" s="50"/>
      <c r="U527" s="50"/>
      <c r="V527" s="50"/>
      <c r="W527" s="50"/>
      <c r="X527" s="50"/>
      <c r="Y527" s="50"/>
      <c r="Z527" s="50"/>
      <c r="AA527" s="50"/>
      <c r="AB527" s="50"/>
    </row>
    <row r="528" customFormat="false" ht="15.75" hidden="false" customHeight="false" outlineLevel="0" collapsed="false">
      <c r="A528" s="50"/>
      <c r="B528" s="50"/>
      <c r="C528" s="5"/>
      <c r="D528" s="48"/>
      <c r="E528" s="50"/>
      <c r="F528" s="5"/>
      <c r="G528" s="5"/>
      <c r="H528" s="5"/>
      <c r="I528" s="5"/>
      <c r="J528" s="5"/>
      <c r="K528" s="50"/>
      <c r="L528" s="50"/>
      <c r="M528" s="50"/>
      <c r="N528" s="50"/>
      <c r="O528" s="50"/>
      <c r="P528" s="50"/>
      <c r="Q528" s="50"/>
      <c r="R528" s="50"/>
      <c r="S528" s="50"/>
      <c r="T528" s="50"/>
      <c r="U528" s="50"/>
      <c r="V528" s="50"/>
      <c r="W528" s="50"/>
      <c r="X528" s="50"/>
      <c r="Y528" s="50"/>
      <c r="Z528" s="50"/>
      <c r="AA528" s="50"/>
      <c r="AB528" s="50"/>
    </row>
    <row r="529" customFormat="false" ht="15.75" hidden="false" customHeight="false" outlineLevel="0" collapsed="false">
      <c r="A529" s="50"/>
      <c r="B529" s="50"/>
      <c r="C529" s="5"/>
      <c r="D529" s="48"/>
      <c r="E529" s="50"/>
      <c r="F529" s="5"/>
      <c r="G529" s="5"/>
      <c r="H529" s="5"/>
      <c r="I529" s="5"/>
      <c r="J529" s="5"/>
      <c r="K529" s="50"/>
      <c r="L529" s="50"/>
      <c r="M529" s="50"/>
      <c r="N529" s="50"/>
      <c r="O529" s="50"/>
      <c r="P529" s="50"/>
      <c r="Q529" s="50"/>
      <c r="R529" s="50"/>
      <c r="S529" s="50"/>
      <c r="T529" s="50"/>
      <c r="U529" s="50"/>
      <c r="V529" s="50"/>
      <c r="W529" s="50"/>
      <c r="X529" s="50"/>
      <c r="Y529" s="50"/>
      <c r="Z529" s="50"/>
      <c r="AA529" s="50"/>
      <c r="AB529" s="50"/>
    </row>
    <row r="530" customFormat="false" ht="15.75" hidden="false" customHeight="false" outlineLevel="0" collapsed="false">
      <c r="A530" s="50"/>
      <c r="B530" s="50"/>
      <c r="C530" s="5"/>
      <c r="D530" s="48"/>
      <c r="E530" s="50"/>
      <c r="F530" s="5"/>
      <c r="G530" s="5"/>
      <c r="H530" s="5"/>
      <c r="I530" s="5"/>
      <c r="J530" s="5"/>
      <c r="K530" s="50"/>
      <c r="L530" s="50"/>
      <c r="M530" s="50"/>
      <c r="N530" s="50"/>
      <c r="O530" s="50"/>
      <c r="P530" s="50"/>
      <c r="Q530" s="50"/>
      <c r="R530" s="50"/>
      <c r="S530" s="50"/>
      <c r="T530" s="50"/>
      <c r="U530" s="50"/>
      <c r="V530" s="50"/>
      <c r="W530" s="50"/>
      <c r="X530" s="50"/>
      <c r="Y530" s="50"/>
      <c r="Z530" s="50"/>
      <c r="AA530" s="50"/>
      <c r="AB530" s="50"/>
    </row>
    <row r="531" customFormat="false" ht="15.75" hidden="false" customHeight="false" outlineLevel="0" collapsed="false">
      <c r="A531" s="50"/>
      <c r="B531" s="50"/>
      <c r="C531" s="5"/>
      <c r="D531" s="48"/>
      <c r="E531" s="50"/>
      <c r="F531" s="5"/>
      <c r="G531" s="5"/>
      <c r="H531" s="5"/>
      <c r="I531" s="5"/>
      <c r="J531" s="5"/>
      <c r="K531" s="50"/>
      <c r="L531" s="50"/>
      <c r="M531" s="50"/>
      <c r="N531" s="50"/>
      <c r="O531" s="50"/>
      <c r="P531" s="50"/>
      <c r="Q531" s="50"/>
      <c r="R531" s="50"/>
      <c r="S531" s="50"/>
      <c r="T531" s="50"/>
      <c r="U531" s="50"/>
      <c r="V531" s="50"/>
      <c r="W531" s="50"/>
      <c r="X531" s="50"/>
      <c r="Y531" s="50"/>
      <c r="Z531" s="50"/>
      <c r="AA531" s="50"/>
      <c r="AB531" s="50"/>
    </row>
    <row r="532" customFormat="false" ht="15.75" hidden="false" customHeight="false" outlineLevel="0" collapsed="false">
      <c r="A532" s="50"/>
      <c r="B532" s="50"/>
      <c r="C532" s="5"/>
      <c r="D532" s="48"/>
      <c r="E532" s="50"/>
      <c r="F532" s="5"/>
      <c r="G532" s="5"/>
      <c r="H532" s="5"/>
      <c r="I532" s="5"/>
      <c r="J532" s="5"/>
      <c r="K532" s="50"/>
      <c r="L532" s="50"/>
      <c r="M532" s="50"/>
      <c r="N532" s="50"/>
      <c r="O532" s="50"/>
      <c r="P532" s="50"/>
      <c r="Q532" s="50"/>
      <c r="R532" s="50"/>
      <c r="S532" s="50"/>
      <c r="T532" s="50"/>
      <c r="U532" s="50"/>
      <c r="V532" s="50"/>
      <c r="W532" s="50"/>
      <c r="X532" s="50"/>
      <c r="Y532" s="50"/>
      <c r="Z532" s="50"/>
      <c r="AA532" s="50"/>
      <c r="AB532" s="50"/>
    </row>
    <row r="533" customFormat="false" ht="15.75" hidden="false" customHeight="false" outlineLevel="0" collapsed="false">
      <c r="A533" s="50"/>
      <c r="B533" s="50"/>
      <c r="C533" s="5"/>
      <c r="D533" s="48"/>
      <c r="E533" s="50"/>
      <c r="F533" s="5"/>
      <c r="G533" s="5"/>
      <c r="H533" s="5"/>
      <c r="I533" s="5"/>
      <c r="J533" s="5"/>
      <c r="K533" s="50"/>
      <c r="L533" s="50"/>
      <c r="M533" s="50"/>
      <c r="N533" s="50"/>
      <c r="O533" s="50"/>
      <c r="P533" s="50"/>
      <c r="Q533" s="50"/>
      <c r="R533" s="50"/>
      <c r="S533" s="50"/>
      <c r="T533" s="50"/>
      <c r="U533" s="50"/>
      <c r="V533" s="50"/>
      <c r="W533" s="50"/>
      <c r="X533" s="50"/>
      <c r="Y533" s="50"/>
      <c r="Z533" s="50"/>
      <c r="AA533" s="50"/>
      <c r="AB533" s="50"/>
    </row>
    <row r="534" customFormat="false" ht="15.75" hidden="false" customHeight="false" outlineLevel="0" collapsed="false">
      <c r="A534" s="50"/>
      <c r="B534" s="50"/>
      <c r="C534" s="5"/>
      <c r="D534" s="48"/>
      <c r="E534" s="50"/>
      <c r="F534" s="5"/>
      <c r="G534" s="5"/>
      <c r="H534" s="5"/>
      <c r="I534" s="5"/>
      <c r="J534" s="5"/>
      <c r="K534" s="50"/>
      <c r="L534" s="50"/>
      <c r="M534" s="50"/>
      <c r="N534" s="50"/>
      <c r="O534" s="50"/>
      <c r="P534" s="50"/>
      <c r="Q534" s="50"/>
      <c r="R534" s="50"/>
      <c r="S534" s="50"/>
      <c r="T534" s="50"/>
      <c r="U534" s="50"/>
      <c r="V534" s="50"/>
      <c r="W534" s="50"/>
      <c r="X534" s="50"/>
      <c r="Y534" s="50"/>
      <c r="Z534" s="50"/>
      <c r="AA534" s="50"/>
      <c r="AB534" s="50"/>
    </row>
    <row r="535" customFormat="false" ht="15.75" hidden="false" customHeight="false" outlineLevel="0" collapsed="false">
      <c r="A535" s="50"/>
      <c r="B535" s="50"/>
      <c r="C535" s="5"/>
      <c r="D535" s="48"/>
      <c r="E535" s="50"/>
      <c r="F535" s="5"/>
      <c r="G535" s="5"/>
      <c r="H535" s="5"/>
      <c r="I535" s="5"/>
      <c r="J535" s="5"/>
      <c r="K535" s="50"/>
      <c r="L535" s="50"/>
      <c r="M535" s="50"/>
      <c r="N535" s="50"/>
      <c r="O535" s="50"/>
      <c r="P535" s="50"/>
      <c r="Q535" s="50"/>
      <c r="R535" s="50"/>
      <c r="S535" s="50"/>
      <c r="T535" s="50"/>
      <c r="U535" s="50"/>
      <c r="V535" s="50"/>
      <c r="W535" s="50"/>
      <c r="X535" s="50"/>
      <c r="Y535" s="50"/>
      <c r="Z535" s="50"/>
      <c r="AA535" s="50"/>
      <c r="AB535" s="50"/>
    </row>
    <row r="536" customFormat="false" ht="15.75" hidden="false" customHeight="false" outlineLevel="0" collapsed="false">
      <c r="A536" s="50"/>
      <c r="B536" s="50"/>
      <c r="C536" s="5"/>
      <c r="D536" s="48"/>
      <c r="E536" s="50"/>
      <c r="F536" s="5"/>
      <c r="G536" s="5"/>
      <c r="H536" s="5"/>
      <c r="I536" s="5"/>
      <c r="J536" s="5"/>
      <c r="K536" s="50"/>
      <c r="L536" s="50"/>
      <c r="M536" s="50"/>
      <c r="N536" s="50"/>
      <c r="O536" s="50"/>
      <c r="P536" s="50"/>
      <c r="Q536" s="50"/>
      <c r="R536" s="50"/>
      <c r="S536" s="50"/>
      <c r="T536" s="50"/>
      <c r="U536" s="50"/>
      <c r="V536" s="50"/>
      <c r="W536" s="50"/>
      <c r="X536" s="50"/>
      <c r="Y536" s="50"/>
      <c r="Z536" s="50"/>
      <c r="AA536" s="50"/>
      <c r="AB536" s="50"/>
    </row>
    <row r="537" customFormat="false" ht="15.75" hidden="false" customHeight="false" outlineLevel="0" collapsed="false">
      <c r="A537" s="50"/>
      <c r="B537" s="50"/>
      <c r="C537" s="5"/>
      <c r="D537" s="48"/>
      <c r="E537" s="50"/>
      <c r="F537" s="5"/>
      <c r="G537" s="5"/>
      <c r="H537" s="5"/>
      <c r="I537" s="5"/>
      <c r="J537" s="5"/>
      <c r="K537" s="50"/>
      <c r="L537" s="50"/>
      <c r="M537" s="50"/>
      <c r="N537" s="50"/>
      <c r="O537" s="50"/>
      <c r="P537" s="50"/>
      <c r="Q537" s="50"/>
      <c r="R537" s="50"/>
      <c r="S537" s="50"/>
      <c r="T537" s="50"/>
      <c r="U537" s="50"/>
      <c r="V537" s="50"/>
      <c r="W537" s="50"/>
      <c r="X537" s="50"/>
      <c r="Y537" s="50"/>
      <c r="Z537" s="50"/>
      <c r="AA537" s="50"/>
      <c r="AB537" s="50"/>
    </row>
    <row r="538" customFormat="false" ht="15.75" hidden="false" customHeight="false" outlineLevel="0" collapsed="false">
      <c r="A538" s="50"/>
      <c r="B538" s="50"/>
      <c r="C538" s="5"/>
      <c r="D538" s="48"/>
      <c r="E538" s="50"/>
      <c r="F538" s="5"/>
      <c r="G538" s="5"/>
      <c r="H538" s="5"/>
      <c r="I538" s="5"/>
      <c r="J538" s="5"/>
      <c r="K538" s="50"/>
      <c r="L538" s="50"/>
      <c r="M538" s="50"/>
      <c r="N538" s="50"/>
      <c r="O538" s="50"/>
      <c r="P538" s="50"/>
      <c r="Q538" s="50"/>
      <c r="R538" s="50"/>
      <c r="S538" s="50"/>
      <c r="T538" s="50"/>
      <c r="U538" s="50"/>
      <c r="V538" s="50"/>
      <c r="W538" s="50"/>
      <c r="X538" s="50"/>
      <c r="Y538" s="50"/>
      <c r="Z538" s="50"/>
      <c r="AA538" s="50"/>
      <c r="AB538" s="50"/>
    </row>
    <row r="539" customFormat="false" ht="15.75" hidden="false" customHeight="false" outlineLevel="0" collapsed="false">
      <c r="A539" s="50"/>
      <c r="B539" s="50"/>
      <c r="C539" s="5"/>
      <c r="D539" s="48"/>
      <c r="E539" s="50"/>
      <c r="F539" s="5"/>
      <c r="G539" s="5"/>
      <c r="H539" s="5"/>
      <c r="I539" s="5"/>
      <c r="J539" s="5"/>
      <c r="K539" s="50"/>
      <c r="L539" s="50"/>
      <c r="M539" s="50"/>
      <c r="N539" s="50"/>
      <c r="O539" s="50"/>
      <c r="P539" s="50"/>
      <c r="Q539" s="50"/>
      <c r="R539" s="50"/>
      <c r="S539" s="50"/>
      <c r="T539" s="50"/>
      <c r="U539" s="50"/>
      <c r="V539" s="50"/>
      <c r="W539" s="50"/>
      <c r="X539" s="50"/>
      <c r="Y539" s="50"/>
      <c r="Z539" s="50"/>
      <c r="AA539" s="50"/>
      <c r="AB539" s="50"/>
    </row>
    <row r="540" customFormat="false" ht="15.75" hidden="false" customHeight="false" outlineLevel="0" collapsed="false">
      <c r="A540" s="50"/>
      <c r="B540" s="50"/>
      <c r="C540" s="5"/>
      <c r="D540" s="48"/>
      <c r="E540" s="50"/>
      <c r="F540" s="5"/>
      <c r="G540" s="5"/>
      <c r="H540" s="5"/>
      <c r="I540" s="5"/>
      <c r="J540" s="5"/>
      <c r="K540" s="50"/>
      <c r="L540" s="50"/>
      <c r="M540" s="50"/>
      <c r="N540" s="50"/>
      <c r="O540" s="50"/>
      <c r="P540" s="50"/>
      <c r="Q540" s="50"/>
      <c r="R540" s="50"/>
      <c r="S540" s="50"/>
      <c r="T540" s="50"/>
      <c r="U540" s="50"/>
      <c r="V540" s="50"/>
      <c r="W540" s="50"/>
      <c r="X540" s="50"/>
      <c r="Y540" s="50"/>
      <c r="Z540" s="50"/>
      <c r="AA540" s="50"/>
      <c r="AB540" s="50"/>
    </row>
    <row r="541" customFormat="false" ht="15.75" hidden="false" customHeight="false" outlineLevel="0" collapsed="false">
      <c r="A541" s="50"/>
      <c r="B541" s="50"/>
      <c r="C541" s="5"/>
      <c r="D541" s="48"/>
      <c r="E541" s="50"/>
      <c r="F541" s="5"/>
      <c r="G541" s="5"/>
      <c r="H541" s="5"/>
      <c r="I541" s="5"/>
      <c r="J541" s="5"/>
      <c r="K541" s="50"/>
      <c r="L541" s="50"/>
      <c r="M541" s="50"/>
      <c r="N541" s="50"/>
      <c r="O541" s="50"/>
      <c r="P541" s="50"/>
      <c r="Q541" s="50"/>
      <c r="R541" s="50"/>
      <c r="S541" s="50"/>
      <c r="T541" s="50"/>
      <c r="U541" s="50"/>
      <c r="V541" s="50"/>
      <c r="W541" s="50"/>
      <c r="X541" s="50"/>
      <c r="Y541" s="50"/>
      <c r="Z541" s="50"/>
      <c r="AA541" s="50"/>
      <c r="AB541" s="50"/>
    </row>
    <row r="542" customFormat="false" ht="15.75" hidden="false" customHeight="false" outlineLevel="0" collapsed="false">
      <c r="A542" s="50"/>
      <c r="B542" s="50"/>
      <c r="C542" s="5"/>
      <c r="D542" s="48"/>
      <c r="E542" s="50"/>
      <c r="F542" s="5"/>
      <c r="G542" s="5"/>
      <c r="H542" s="5"/>
      <c r="I542" s="5"/>
      <c r="J542" s="5"/>
      <c r="K542" s="50"/>
      <c r="L542" s="50"/>
      <c r="M542" s="50"/>
      <c r="N542" s="50"/>
      <c r="O542" s="50"/>
      <c r="P542" s="50"/>
      <c r="Q542" s="50"/>
      <c r="R542" s="50"/>
      <c r="S542" s="50"/>
      <c r="T542" s="50"/>
      <c r="U542" s="50"/>
      <c r="V542" s="50"/>
      <c r="W542" s="50"/>
      <c r="X542" s="50"/>
      <c r="Y542" s="50"/>
      <c r="Z542" s="50"/>
      <c r="AA542" s="50"/>
      <c r="AB542" s="50"/>
    </row>
    <row r="543" customFormat="false" ht="15.75" hidden="false" customHeight="false" outlineLevel="0" collapsed="false">
      <c r="A543" s="50"/>
      <c r="B543" s="50"/>
      <c r="C543" s="5"/>
      <c r="D543" s="48"/>
      <c r="E543" s="50"/>
      <c r="F543" s="5"/>
      <c r="G543" s="5"/>
      <c r="H543" s="5"/>
      <c r="I543" s="5"/>
      <c r="J543" s="5"/>
      <c r="K543" s="50"/>
      <c r="L543" s="50"/>
      <c r="M543" s="50"/>
      <c r="N543" s="50"/>
      <c r="O543" s="50"/>
      <c r="P543" s="50"/>
      <c r="Q543" s="50"/>
      <c r="R543" s="50"/>
      <c r="S543" s="50"/>
      <c r="T543" s="50"/>
      <c r="U543" s="50"/>
      <c r="V543" s="50"/>
      <c r="W543" s="50"/>
      <c r="X543" s="50"/>
      <c r="Y543" s="50"/>
      <c r="Z543" s="50"/>
      <c r="AA543" s="50"/>
      <c r="AB543" s="50"/>
    </row>
    <row r="544" customFormat="false" ht="15.75" hidden="false" customHeight="false" outlineLevel="0" collapsed="false">
      <c r="A544" s="50"/>
      <c r="B544" s="50"/>
      <c r="C544" s="5"/>
      <c r="D544" s="48"/>
      <c r="E544" s="50"/>
      <c r="F544" s="5"/>
      <c r="G544" s="5"/>
      <c r="H544" s="5"/>
      <c r="I544" s="5"/>
      <c r="J544" s="5"/>
      <c r="K544" s="50"/>
      <c r="L544" s="50"/>
      <c r="M544" s="50"/>
      <c r="N544" s="50"/>
      <c r="O544" s="50"/>
      <c r="P544" s="50"/>
      <c r="Q544" s="50"/>
      <c r="R544" s="50"/>
      <c r="S544" s="50"/>
      <c r="T544" s="50"/>
      <c r="U544" s="50"/>
      <c r="V544" s="50"/>
      <c r="W544" s="50"/>
      <c r="X544" s="50"/>
      <c r="Y544" s="50"/>
      <c r="Z544" s="50"/>
      <c r="AA544" s="50"/>
      <c r="AB544" s="50"/>
    </row>
    <row r="545" customFormat="false" ht="15.75" hidden="false" customHeight="false" outlineLevel="0" collapsed="false">
      <c r="A545" s="50"/>
      <c r="B545" s="50"/>
      <c r="C545" s="5"/>
      <c r="D545" s="48"/>
      <c r="E545" s="50"/>
      <c r="F545" s="5"/>
      <c r="G545" s="5"/>
      <c r="H545" s="5"/>
      <c r="I545" s="5"/>
      <c r="J545" s="5"/>
      <c r="K545" s="50"/>
      <c r="L545" s="50"/>
      <c r="M545" s="50"/>
      <c r="N545" s="50"/>
      <c r="O545" s="50"/>
      <c r="P545" s="50"/>
      <c r="Q545" s="50"/>
      <c r="R545" s="50"/>
      <c r="S545" s="50"/>
      <c r="T545" s="50"/>
      <c r="U545" s="50"/>
      <c r="V545" s="50"/>
      <c r="W545" s="50"/>
      <c r="X545" s="50"/>
      <c r="Y545" s="50"/>
      <c r="Z545" s="50"/>
      <c r="AA545" s="50"/>
      <c r="AB545" s="50"/>
    </row>
    <row r="546" customFormat="false" ht="15.75" hidden="false" customHeight="false" outlineLevel="0" collapsed="false">
      <c r="A546" s="50"/>
      <c r="B546" s="50"/>
      <c r="C546" s="5"/>
      <c r="D546" s="48"/>
      <c r="E546" s="50"/>
      <c r="F546" s="5"/>
      <c r="G546" s="5"/>
      <c r="H546" s="5"/>
      <c r="I546" s="5"/>
      <c r="J546" s="5"/>
      <c r="K546" s="50"/>
      <c r="L546" s="50"/>
      <c r="M546" s="50"/>
      <c r="N546" s="50"/>
      <c r="O546" s="50"/>
      <c r="P546" s="50"/>
      <c r="Q546" s="50"/>
      <c r="R546" s="50"/>
      <c r="S546" s="50"/>
      <c r="T546" s="50"/>
      <c r="U546" s="50"/>
      <c r="V546" s="50"/>
      <c r="W546" s="50"/>
      <c r="X546" s="50"/>
      <c r="Y546" s="50"/>
      <c r="Z546" s="50"/>
      <c r="AA546" s="50"/>
      <c r="AB546" s="50"/>
    </row>
    <row r="547" customFormat="false" ht="15.75" hidden="false" customHeight="false" outlineLevel="0" collapsed="false">
      <c r="A547" s="50"/>
      <c r="B547" s="50"/>
      <c r="C547" s="5"/>
      <c r="D547" s="48"/>
      <c r="E547" s="50"/>
      <c r="F547" s="5"/>
      <c r="G547" s="5"/>
      <c r="H547" s="5"/>
      <c r="I547" s="5"/>
      <c r="J547" s="5"/>
      <c r="K547" s="50"/>
      <c r="L547" s="50"/>
      <c r="M547" s="50"/>
      <c r="N547" s="50"/>
      <c r="O547" s="50"/>
      <c r="P547" s="50"/>
      <c r="Q547" s="50"/>
      <c r="R547" s="50"/>
      <c r="S547" s="50"/>
      <c r="T547" s="50"/>
      <c r="U547" s="50"/>
      <c r="V547" s="50"/>
      <c r="W547" s="50"/>
      <c r="X547" s="50"/>
      <c r="Y547" s="50"/>
      <c r="Z547" s="50"/>
      <c r="AA547" s="50"/>
      <c r="AB547" s="50"/>
    </row>
    <row r="548" customFormat="false" ht="15.75" hidden="false" customHeight="false" outlineLevel="0" collapsed="false">
      <c r="A548" s="50"/>
      <c r="B548" s="50"/>
      <c r="C548" s="5"/>
      <c r="D548" s="48"/>
      <c r="E548" s="50"/>
      <c r="F548" s="5"/>
      <c r="G548" s="5"/>
      <c r="H548" s="5"/>
      <c r="I548" s="5"/>
      <c r="J548" s="5"/>
      <c r="K548" s="50"/>
      <c r="L548" s="50"/>
      <c r="M548" s="50"/>
      <c r="N548" s="50"/>
      <c r="O548" s="50"/>
      <c r="P548" s="50"/>
      <c r="Q548" s="50"/>
      <c r="R548" s="50"/>
      <c r="S548" s="50"/>
      <c r="T548" s="50"/>
      <c r="U548" s="50"/>
      <c r="V548" s="50"/>
      <c r="W548" s="50"/>
      <c r="X548" s="50"/>
      <c r="Y548" s="50"/>
      <c r="Z548" s="50"/>
      <c r="AA548" s="50"/>
      <c r="AB548" s="50"/>
    </row>
    <row r="549" customFormat="false" ht="15.75" hidden="false" customHeight="false" outlineLevel="0" collapsed="false">
      <c r="A549" s="50"/>
      <c r="B549" s="50"/>
      <c r="C549" s="5"/>
      <c r="D549" s="48"/>
      <c r="E549" s="50"/>
      <c r="F549" s="5"/>
      <c r="G549" s="5"/>
      <c r="H549" s="5"/>
      <c r="I549" s="5"/>
      <c r="J549" s="5"/>
      <c r="K549" s="50"/>
      <c r="L549" s="50"/>
      <c r="M549" s="50"/>
      <c r="N549" s="50"/>
      <c r="O549" s="50"/>
      <c r="P549" s="50"/>
      <c r="Q549" s="50"/>
      <c r="R549" s="50"/>
      <c r="S549" s="50"/>
      <c r="T549" s="50"/>
      <c r="U549" s="50"/>
      <c r="V549" s="50"/>
      <c r="W549" s="50"/>
      <c r="X549" s="50"/>
      <c r="Y549" s="50"/>
      <c r="Z549" s="50"/>
      <c r="AA549" s="50"/>
      <c r="AB549" s="50"/>
    </row>
    <row r="550" customFormat="false" ht="15.75" hidden="false" customHeight="false" outlineLevel="0" collapsed="false">
      <c r="A550" s="50"/>
      <c r="B550" s="50"/>
      <c r="C550" s="5"/>
      <c r="D550" s="48"/>
      <c r="E550" s="50"/>
      <c r="F550" s="5"/>
      <c r="G550" s="5"/>
      <c r="H550" s="5"/>
      <c r="I550" s="5"/>
      <c r="J550" s="5"/>
      <c r="K550" s="50"/>
      <c r="L550" s="50"/>
      <c r="M550" s="50"/>
      <c r="N550" s="50"/>
      <c r="O550" s="50"/>
      <c r="P550" s="50"/>
      <c r="Q550" s="50"/>
      <c r="R550" s="50"/>
      <c r="S550" s="50"/>
      <c r="T550" s="50"/>
      <c r="U550" s="50"/>
      <c r="V550" s="50"/>
      <c r="W550" s="50"/>
      <c r="X550" s="50"/>
      <c r="Y550" s="50"/>
      <c r="Z550" s="50"/>
      <c r="AA550" s="50"/>
      <c r="AB550" s="50"/>
    </row>
    <row r="551" customFormat="false" ht="15.75" hidden="false" customHeight="false" outlineLevel="0" collapsed="false">
      <c r="A551" s="50"/>
      <c r="B551" s="50"/>
      <c r="C551" s="5"/>
      <c r="D551" s="48"/>
      <c r="E551" s="50"/>
      <c r="F551" s="5"/>
      <c r="G551" s="5"/>
      <c r="H551" s="5"/>
      <c r="I551" s="5"/>
      <c r="J551" s="5"/>
      <c r="K551" s="50"/>
      <c r="L551" s="50"/>
      <c r="M551" s="50"/>
      <c r="N551" s="50"/>
      <c r="O551" s="50"/>
      <c r="P551" s="50"/>
      <c r="Q551" s="50"/>
      <c r="R551" s="50"/>
      <c r="S551" s="50"/>
      <c r="T551" s="50"/>
      <c r="U551" s="50"/>
      <c r="V551" s="50"/>
      <c r="W551" s="50"/>
      <c r="X551" s="50"/>
      <c r="Y551" s="50"/>
      <c r="Z551" s="50"/>
      <c r="AA551" s="50"/>
      <c r="AB551" s="50"/>
    </row>
    <row r="552" customFormat="false" ht="15.75" hidden="false" customHeight="false" outlineLevel="0" collapsed="false">
      <c r="A552" s="50"/>
      <c r="B552" s="50"/>
      <c r="C552" s="5"/>
      <c r="D552" s="48"/>
      <c r="E552" s="50"/>
      <c r="F552" s="5"/>
      <c r="G552" s="5"/>
      <c r="H552" s="5"/>
      <c r="I552" s="5"/>
      <c r="J552" s="5"/>
      <c r="K552" s="50"/>
      <c r="L552" s="50"/>
      <c r="M552" s="50"/>
      <c r="N552" s="50"/>
      <c r="O552" s="50"/>
      <c r="P552" s="50"/>
      <c r="Q552" s="50"/>
      <c r="R552" s="50"/>
      <c r="S552" s="50"/>
      <c r="T552" s="50"/>
      <c r="U552" s="50"/>
      <c r="V552" s="50"/>
      <c r="W552" s="50"/>
      <c r="X552" s="50"/>
      <c r="Y552" s="50"/>
      <c r="Z552" s="50"/>
      <c r="AA552" s="50"/>
      <c r="AB552" s="50"/>
    </row>
    <row r="553" customFormat="false" ht="15.75" hidden="false" customHeight="false" outlineLevel="0" collapsed="false">
      <c r="A553" s="50"/>
      <c r="B553" s="50"/>
      <c r="C553" s="5"/>
      <c r="D553" s="48"/>
      <c r="E553" s="50"/>
      <c r="F553" s="5"/>
      <c r="G553" s="5"/>
      <c r="H553" s="5"/>
      <c r="I553" s="5"/>
      <c r="J553" s="5"/>
      <c r="K553" s="50"/>
      <c r="L553" s="50"/>
      <c r="M553" s="50"/>
      <c r="N553" s="50"/>
      <c r="O553" s="50"/>
      <c r="P553" s="50"/>
      <c r="Q553" s="50"/>
      <c r="R553" s="50"/>
      <c r="S553" s="50"/>
      <c r="T553" s="50"/>
      <c r="U553" s="50"/>
      <c r="V553" s="50"/>
      <c r="W553" s="50"/>
      <c r="X553" s="50"/>
      <c r="Y553" s="50"/>
      <c r="Z553" s="50"/>
      <c r="AA553" s="50"/>
      <c r="AB553" s="50"/>
    </row>
    <row r="554" customFormat="false" ht="15.75" hidden="false" customHeight="false" outlineLevel="0" collapsed="false">
      <c r="A554" s="50"/>
      <c r="B554" s="50"/>
      <c r="C554" s="5"/>
      <c r="D554" s="48"/>
      <c r="E554" s="50"/>
      <c r="F554" s="5"/>
      <c r="G554" s="5"/>
      <c r="H554" s="5"/>
      <c r="I554" s="5"/>
      <c r="J554" s="5"/>
      <c r="K554" s="50"/>
      <c r="L554" s="50"/>
      <c r="M554" s="50"/>
      <c r="N554" s="50"/>
      <c r="O554" s="50"/>
      <c r="P554" s="50"/>
      <c r="Q554" s="50"/>
      <c r="R554" s="50"/>
      <c r="S554" s="50"/>
      <c r="T554" s="50"/>
      <c r="U554" s="50"/>
      <c r="V554" s="50"/>
      <c r="W554" s="50"/>
      <c r="X554" s="50"/>
      <c r="Y554" s="50"/>
      <c r="Z554" s="50"/>
      <c r="AA554" s="50"/>
      <c r="AB554" s="50"/>
    </row>
    <row r="555" customFormat="false" ht="15.75" hidden="false" customHeight="false" outlineLevel="0" collapsed="false">
      <c r="A555" s="50"/>
      <c r="B555" s="50"/>
      <c r="C555" s="5"/>
      <c r="D555" s="48"/>
      <c r="E555" s="50"/>
      <c r="F555" s="5"/>
      <c r="G555" s="5"/>
      <c r="H555" s="5"/>
      <c r="I555" s="5"/>
      <c r="J555" s="5"/>
      <c r="K555" s="50"/>
      <c r="L555" s="50"/>
      <c r="M555" s="50"/>
      <c r="N555" s="50"/>
      <c r="O555" s="50"/>
      <c r="P555" s="50"/>
      <c r="Q555" s="50"/>
      <c r="R555" s="50"/>
      <c r="S555" s="50"/>
      <c r="T555" s="50"/>
      <c r="U555" s="50"/>
      <c r="V555" s="50"/>
      <c r="W555" s="50"/>
      <c r="X555" s="50"/>
      <c r="Y555" s="50"/>
      <c r="Z555" s="50"/>
      <c r="AA555" s="50"/>
      <c r="AB555" s="50"/>
    </row>
    <row r="556" customFormat="false" ht="15.75" hidden="false" customHeight="false" outlineLevel="0" collapsed="false">
      <c r="A556" s="50"/>
      <c r="B556" s="50"/>
      <c r="C556" s="5"/>
      <c r="D556" s="48"/>
      <c r="E556" s="50"/>
      <c r="F556" s="5"/>
      <c r="G556" s="5"/>
      <c r="H556" s="5"/>
      <c r="I556" s="5"/>
      <c r="J556" s="5"/>
      <c r="K556" s="50"/>
      <c r="L556" s="50"/>
      <c r="M556" s="50"/>
      <c r="N556" s="50"/>
      <c r="O556" s="50"/>
      <c r="P556" s="50"/>
      <c r="Q556" s="50"/>
      <c r="R556" s="50"/>
      <c r="S556" s="50"/>
      <c r="T556" s="50"/>
      <c r="U556" s="50"/>
      <c r="V556" s="50"/>
      <c r="W556" s="50"/>
      <c r="X556" s="50"/>
      <c r="Y556" s="50"/>
      <c r="Z556" s="50"/>
      <c r="AA556" s="50"/>
      <c r="AB556" s="50"/>
    </row>
    <row r="557" customFormat="false" ht="15.75" hidden="false" customHeight="false" outlineLevel="0" collapsed="false">
      <c r="A557" s="50"/>
      <c r="B557" s="50"/>
      <c r="C557" s="5"/>
      <c r="D557" s="48"/>
      <c r="E557" s="50"/>
      <c r="F557" s="5"/>
      <c r="G557" s="5"/>
      <c r="H557" s="5"/>
      <c r="I557" s="5"/>
      <c r="J557" s="5"/>
      <c r="K557" s="50"/>
      <c r="L557" s="50"/>
      <c r="M557" s="50"/>
      <c r="N557" s="50"/>
      <c r="O557" s="50"/>
      <c r="P557" s="50"/>
      <c r="Q557" s="50"/>
      <c r="R557" s="50"/>
      <c r="S557" s="50"/>
      <c r="T557" s="50"/>
      <c r="U557" s="50"/>
      <c r="V557" s="50"/>
      <c r="W557" s="50"/>
      <c r="X557" s="50"/>
      <c r="Y557" s="50"/>
      <c r="Z557" s="50"/>
      <c r="AA557" s="50"/>
      <c r="AB557" s="50"/>
    </row>
    <row r="558" customFormat="false" ht="15.75" hidden="false" customHeight="false" outlineLevel="0" collapsed="false">
      <c r="A558" s="50"/>
      <c r="B558" s="50"/>
      <c r="C558" s="5"/>
      <c r="D558" s="48"/>
      <c r="E558" s="50"/>
      <c r="F558" s="5"/>
      <c r="G558" s="5"/>
      <c r="H558" s="5"/>
      <c r="I558" s="5"/>
      <c r="J558" s="5"/>
      <c r="K558" s="50"/>
      <c r="L558" s="50"/>
      <c r="M558" s="50"/>
      <c r="N558" s="50"/>
      <c r="O558" s="50"/>
      <c r="P558" s="50"/>
      <c r="Q558" s="50"/>
      <c r="R558" s="50"/>
      <c r="S558" s="50"/>
      <c r="T558" s="50"/>
      <c r="U558" s="50"/>
      <c r="V558" s="50"/>
      <c r="W558" s="50"/>
      <c r="X558" s="50"/>
      <c r="Y558" s="50"/>
      <c r="Z558" s="50"/>
      <c r="AA558" s="50"/>
      <c r="AB558" s="50"/>
    </row>
    <row r="559" customFormat="false" ht="15.75" hidden="false" customHeight="false" outlineLevel="0" collapsed="false">
      <c r="A559" s="50"/>
      <c r="B559" s="50"/>
      <c r="C559" s="5"/>
      <c r="D559" s="48"/>
      <c r="E559" s="50"/>
      <c r="F559" s="5"/>
      <c r="G559" s="5"/>
      <c r="H559" s="5"/>
      <c r="I559" s="5"/>
      <c r="J559" s="5"/>
      <c r="K559" s="50"/>
      <c r="L559" s="50"/>
      <c r="M559" s="50"/>
      <c r="N559" s="50"/>
      <c r="O559" s="50"/>
      <c r="P559" s="50"/>
      <c r="Q559" s="50"/>
      <c r="R559" s="50"/>
      <c r="S559" s="50"/>
      <c r="T559" s="50"/>
      <c r="U559" s="50"/>
      <c r="V559" s="50"/>
      <c r="W559" s="50"/>
      <c r="X559" s="50"/>
      <c r="Y559" s="50"/>
      <c r="Z559" s="50"/>
      <c r="AA559" s="50"/>
      <c r="AB559" s="50"/>
    </row>
    <row r="560" customFormat="false" ht="15.75" hidden="false" customHeight="false" outlineLevel="0" collapsed="false">
      <c r="A560" s="50"/>
      <c r="B560" s="50"/>
      <c r="C560" s="5"/>
      <c r="D560" s="48"/>
      <c r="E560" s="50"/>
      <c r="F560" s="5"/>
      <c r="G560" s="5"/>
      <c r="H560" s="5"/>
      <c r="I560" s="5"/>
      <c r="J560" s="5"/>
      <c r="K560" s="50"/>
      <c r="L560" s="50"/>
      <c r="M560" s="50"/>
      <c r="N560" s="50"/>
      <c r="O560" s="50"/>
      <c r="P560" s="50"/>
      <c r="Q560" s="50"/>
      <c r="R560" s="50"/>
      <c r="S560" s="50"/>
      <c r="T560" s="50"/>
      <c r="U560" s="50"/>
      <c r="V560" s="50"/>
      <c r="W560" s="50"/>
      <c r="X560" s="50"/>
      <c r="Y560" s="50"/>
      <c r="Z560" s="50"/>
      <c r="AA560" s="50"/>
      <c r="AB560" s="50"/>
    </row>
    <row r="561" customFormat="false" ht="15.75" hidden="false" customHeight="false" outlineLevel="0" collapsed="false">
      <c r="A561" s="50"/>
      <c r="B561" s="50"/>
      <c r="C561" s="5"/>
      <c r="D561" s="48"/>
      <c r="E561" s="50"/>
      <c r="F561" s="5"/>
      <c r="G561" s="5"/>
      <c r="H561" s="5"/>
      <c r="I561" s="5"/>
      <c r="J561" s="5"/>
      <c r="K561" s="50"/>
      <c r="L561" s="50"/>
      <c r="M561" s="50"/>
      <c r="N561" s="50"/>
      <c r="O561" s="50"/>
      <c r="P561" s="50"/>
      <c r="Q561" s="50"/>
      <c r="R561" s="50"/>
      <c r="S561" s="50"/>
      <c r="T561" s="50"/>
      <c r="U561" s="50"/>
      <c r="V561" s="50"/>
      <c r="W561" s="50"/>
      <c r="X561" s="50"/>
      <c r="Y561" s="50"/>
      <c r="Z561" s="50"/>
      <c r="AA561" s="50"/>
      <c r="AB561" s="50"/>
    </row>
    <row r="562" customFormat="false" ht="15.75" hidden="false" customHeight="false" outlineLevel="0" collapsed="false">
      <c r="A562" s="50"/>
      <c r="B562" s="50"/>
      <c r="C562" s="5"/>
      <c r="D562" s="48"/>
      <c r="E562" s="50"/>
      <c r="F562" s="5"/>
      <c r="G562" s="5"/>
      <c r="H562" s="5"/>
      <c r="I562" s="5"/>
      <c r="J562" s="5"/>
      <c r="K562" s="50"/>
      <c r="L562" s="50"/>
      <c r="M562" s="50"/>
      <c r="N562" s="50"/>
      <c r="O562" s="50"/>
      <c r="P562" s="50"/>
      <c r="Q562" s="50"/>
      <c r="R562" s="50"/>
      <c r="S562" s="50"/>
      <c r="T562" s="50"/>
      <c r="U562" s="50"/>
      <c r="V562" s="50"/>
      <c r="W562" s="50"/>
      <c r="X562" s="50"/>
      <c r="Y562" s="50"/>
      <c r="Z562" s="50"/>
      <c r="AA562" s="50"/>
      <c r="AB562" s="50"/>
    </row>
    <row r="563" customFormat="false" ht="15.75" hidden="false" customHeight="false" outlineLevel="0" collapsed="false">
      <c r="A563" s="50"/>
      <c r="B563" s="50"/>
      <c r="C563" s="5"/>
      <c r="D563" s="48"/>
      <c r="E563" s="50"/>
      <c r="F563" s="5"/>
      <c r="G563" s="5"/>
      <c r="H563" s="5"/>
      <c r="I563" s="5"/>
      <c r="J563" s="5"/>
      <c r="K563" s="50"/>
      <c r="L563" s="50"/>
      <c r="M563" s="50"/>
      <c r="N563" s="50"/>
      <c r="O563" s="50"/>
      <c r="P563" s="50"/>
      <c r="Q563" s="50"/>
      <c r="R563" s="50"/>
      <c r="S563" s="50"/>
      <c r="T563" s="50"/>
      <c r="U563" s="50"/>
      <c r="V563" s="50"/>
      <c r="W563" s="50"/>
      <c r="X563" s="50"/>
      <c r="Y563" s="50"/>
      <c r="Z563" s="50"/>
      <c r="AA563" s="50"/>
      <c r="AB563" s="50"/>
    </row>
    <row r="564" customFormat="false" ht="15.75" hidden="false" customHeight="false" outlineLevel="0" collapsed="false">
      <c r="A564" s="50"/>
      <c r="B564" s="50"/>
      <c r="C564" s="5"/>
      <c r="D564" s="48"/>
      <c r="E564" s="50"/>
      <c r="F564" s="5"/>
      <c r="G564" s="5"/>
      <c r="H564" s="5"/>
      <c r="I564" s="5"/>
      <c r="J564" s="5"/>
      <c r="K564" s="50"/>
      <c r="L564" s="50"/>
      <c r="M564" s="50"/>
      <c r="N564" s="50"/>
      <c r="O564" s="50"/>
      <c r="P564" s="50"/>
      <c r="Q564" s="50"/>
      <c r="R564" s="50"/>
      <c r="S564" s="50"/>
      <c r="T564" s="50"/>
      <c r="U564" s="50"/>
      <c r="V564" s="50"/>
      <c r="W564" s="50"/>
      <c r="X564" s="50"/>
      <c r="Y564" s="50"/>
      <c r="Z564" s="50"/>
      <c r="AA564" s="50"/>
      <c r="AB564" s="50"/>
    </row>
    <row r="565" customFormat="false" ht="15.75" hidden="false" customHeight="false" outlineLevel="0" collapsed="false">
      <c r="A565" s="50"/>
      <c r="B565" s="50"/>
      <c r="C565" s="5"/>
      <c r="D565" s="48"/>
      <c r="E565" s="50"/>
      <c r="F565" s="5"/>
      <c r="G565" s="5"/>
      <c r="H565" s="5"/>
      <c r="I565" s="5"/>
      <c r="J565" s="5"/>
      <c r="K565" s="50"/>
      <c r="L565" s="50"/>
      <c r="M565" s="50"/>
      <c r="N565" s="50"/>
      <c r="O565" s="50"/>
      <c r="P565" s="50"/>
      <c r="Q565" s="50"/>
      <c r="R565" s="50"/>
      <c r="S565" s="50"/>
      <c r="T565" s="50"/>
      <c r="U565" s="50"/>
      <c r="V565" s="50"/>
      <c r="W565" s="50"/>
      <c r="X565" s="50"/>
      <c r="Y565" s="50"/>
      <c r="Z565" s="50"/>
      <c r="AA565" s="50"/>
      <c r="AB565" s="50"/>
    </row>
    <row r="566" customFormat="false" ht="15.75" hidden="false" customHeight="false" outlineLevel="0" collapsed="false">
      <c r="A566" s="50"/>
      <c r="B566" s="50"/>
      <c r="C566" s="5"/>
      <c r="D566" s="48"/>
      <c r="E566" s="50"/>
      <c r="F566" s="5"/>
      <c r="G566" s="5"/>
      <c r="H566" s="5"/>
      <c r="I566" s="5"/>
      <c r="J566" s="5"/>
      <c r="K566" s="50"/>
      <c r="L566" s="50"/>
      <c r="M566" s="50"/>
      <c r="N566" s="50"/>
      <c r="O566" s="50"/>
      <c r="P566" s="50"/>
      <c r="Q566" s="50"/>
      <c r="R566" s="50"/>
      <c r="S566" s="50"/>
      <c r="T566" s="50"/>
      <c r="U566" s="50"/>
      <c r="V566" s="50"/>
      <c r="W566" s="50"/>
      <c r="X566" s="50"/>
      <c r="Y566" s="50"/>
      <c r="Z566" s="50"/>
      <c r="AA566" s="50"/>
      <c r="AB566" s="50"/>
    </row>
    <row r="567" customFormat="false" ht="15.75" hidden="false" customHeight="false" outlineLevel="0" collapsed="false">
      <c r="A567" s="50"/>
      <c r="B567" s="50"/>
      <c r="C567" s="5"/>
      <c r="D567" s="48"/>
      <c r="E567" s="50"/>
      <c r="F567" s="5"/>
      <c r="G567" s="5"/>
      <c r="H567" s="5"/>
      <c r="I567" s="5"/>
      <c r="J567" s="5"/>
      <c r="K567" s="50"/>
      <c r="L567" s="50"/>
      <c r="M567" s="50"/>
      <c r="N567" s="50"/>
      <c r="O567" s="50"/>
      <c r="P567" s="50"/>
      <c r="Q567" s="50"/>
      <c r="R567" s="50"/>
      <c r="S567" s="50"/>
      <c r="T567" s="50"/>
      <c r="U567" s="50"/>
      <c r="V567" s="50"/>
      <c r="W567" s="50"/>
      <c r="X567" s="50"/>
      <c r="Y567" s="50"/>
      <c r="Z567" s="50"/>
      <c r="AA567" s="50"/>
      <c r="AB567" s="50"/>
    </row>
    <row r="568" customFormat="false" ht="15.75" hidden="false" customHeight="false" outlineLevel="0" collapsed="false">
      <c r="A568" s="50"/>
      <c r="B568" s="50"/>
      <c r="C568" s="5"/>
      <c r="D568" s="48"/>
      <c r="E568" s="50"/>
      <c r="F568" s="5"/>
      <c r="G568" s="5"/>
      <c r="H568" s="5"/>
      <c r="I568" s="5"/>
      <c r="J568" s="5"/>
      <c r="K568" s="50"/>
      <c r="L568" s="50"/>
      <c r="M568" s="50"/>
      <c r="N568" s="50"/>
      <c r="O568" s="50"/>
      <c r="P568" s="50"/>
      <c r="Q568" s="50"/>
      <c r="R568" s="50"/>
      <c r="S568" s="50"/>
      <c r="T568" s="50"/>
      <c r="U568" s="50"/>
      <c r="V568" s="50"/>
      <c r="W568" s="50"/>
      <c r="X568" s="50"/>
      <c r="Y568" s="50"/>
      <c r="Z568" s="50"/>
      <c r="AA568" s="50"/>
      <c r="AB568" s="50"/>
    </row>
    <row r="569" customFormat="false" ht="15.75" hidden="false" customHeight="false" outlineLevel="0" collapsed="false">
      <c r="A569" s="50"/>
      <c r="B569" s="50"/>
      <c r="C569" s="5"/>
      <c r="D569" s="48"/>
      <c r="E569" s="50"/>
      <c r="F569" s="5"/>
      <c r="G569" s="5"/>
      <c r="H569" s="5"/>
      <c r="I569" s="5"/>
      <c r="J569" s="5"/>
      <c r="K569" s="50"/>
      <c r="L569" s="50"/>
      <c r="M569" s="50"/>
      <c r="N569" s="50"/>
      <c r="O569" s="50"/>
      <c r="P569" s="50"/>
      <c r="Q569" s="50"/>
      <c r="R569" s="50"/>
      <c r="S569" s="50"/>
      <c r="T569" s="50"/>
      <c r="U569" s="50"/>
      <c r="V569" s="50"/>
      <c r="W569" s="50"/>
      <c r="X569" s="50"/>
      <c r="Y569" s="50"/>
      <c r="Z569" s="50"/>
      <c r="AA569" s="50"/>
      <c r="AB569" s="50"/>
    </row>
    <row r="570" customFormat="false" ht="15.75" hidden="false" customHeight="false" outlineLevel="0" collapsed="false">
      <c r="A570" s="50"/>
      <c r="B570" s="50"/>
      <c r="C570" s="5"/>
      <c r="D570" s="48"/>
      <c r="E570" s="50"/>
      <c r="F570" s="5"/>
      <c r="G570" s="5"/>
      <c r="H570" s="5"/>
      <c r="I570" s="5"/>
      <c r="J570" s="5"/>
      <c r="K570" s="50"/>
      <c r="L570" s="50"/>
      <c r="M570" s="50"/>
      <c r="N570" s="50"/>
      <c r="O570" s="50"/>
      <c r="P570" s="50"/>
      <c r="Q570" s="50"/>
      <c r="R570" s="50"/>
      <c r="S570" s="50"/>
      <c r="T570" s="50"/>
      <c r="U570" s="50"/>
      <c r="V570" s="50"/>
      <c r="W570" s="50"/>
      <c r="X570" s="50"/>
      <c r="Y570" s="50"/>
      <c r="Z570" s="50"/>
      <c r="AA570" s="50"/>
      <c r="AB570" s="50"/>
    </row>
    <row r="571" customFormat="false" ht="15.75" hidden="false" customHeight="false" outlineLevel="0" collapsed="false">
      <c r="A571" s="50"/>
      <c r="B571" s="50"/>
      <c r="C571" s="5"/>
      <c r="D571" s="48"/>
      <c r="E571" s="50"/>
      <c r="F571" s="5"/>
      <c r="G571" s="5"/>
      <c r="H571" s="5"/>
      <c r="I571" s="5"/>
      <c r="J571" s="5"/>
      <c r="K571" s="50"/>
      <c r="L571" s="50"/>
      <c r="M571" s="50"/>
      <c r="N571" s="50"/>
      <c r="O571" s="50"/>
      <c r="P571" s="50"/>
      <c r="Q571" s="50"/>
      <c r="R571" s="50"/>
      <c r="S571" s="50"/>
      <c r="T571" s="50"/>
      <c r="U571" s="50"/>
      <c r="V571" s="50"/>
      <c r="W571" s="50"/>
      <c r="X571" s="50"/>
      <c r="Y571" s="50"/>
      <c r="Z571" s="50"/>
      <c r="AA571" s="50"/>
      <c r="AB571" s="50"/>
    </row>
    <row r="572" customFormat="false" ht="15.75" hidden="false" customHeight="false" outlineLevel="0" collapsed="false">
      <c r="A572" s="50"/>
      <c r="B572" s="50"/>
      <c r="C572" s="5"/>
      <c r="D572" s="48"/>
      <c r="E572" s="50"/>
      <c r="F572" s="5"/>
      <c r="G572" s="5"/>
      <c r="H572" s="5"/>
      <c r="I572" s="5"/>
      <c r="J572" s="5"/>
      <c r="K572" s="50"/>
      <c r="L572" s="50"/>
      <c r="M572" s="50"/>
      <c r="N572" s="50"/>
      <c r="O572" s="50"/>
      <c r="P572" s="50"/>
      <c r="Q572" s="50"/>
      <c r="R572" s="50"/>
      <c r="S572" s="50"/>
      <c r="T572" s="50"/>
      <c r="U572" s="50"/>
      <c r="V572" s="50"/>
      <c r="W572" s="50"/>
      <c r="X572" s="50"/>
      <c r="Y572" s="50"/>
      <c r="Z572" s="50"/>
      <c r="AA572" s="50"/>
      <c r="AB572" s="50"/>
    </row>
    <row r="573" customFormat="false" ht="15.75" hidden="false" customHeight="false" outlineLevel="0" collapsed="false">
      <c r="A573" s="50"/>
      <c r="B573" s="50"/>
      <c r="C573" s="5"/>
      <c r="D573" s="48"/>
      <c r="E573" s="50"/>
      <c r="F573" s="5"/>
      <c r="G573" s="5"/>
      <c r="H573" s="5"/>
      <c r="I573" s="5"/>
      <c r="J573" s="5"/>
      <c r="K573" s="50"/>
      <c r="L573" s="50"/>
      <c r="M573" s="50"/>
      <c r="N573" s="50"/>
      <c r="O573" s="50"/>
      <c r="P573" s="50"/>
      <c r="Q573" s="50"/>
      <c r="R573" s="50"/>
      <c r="S573" s="50"/>
      <c r="T573" s="50"/>
      <c r="U573" s="50"/>
      <c r="V573" s="50"/>
      <c r="W573" s="50"/>
      <c r="X573" s="50"/>
      <c r="Y573" s="50"/>
      <c r="Z573" s="50"/>
      <c r="AA573" s="50"/>
      <c r="AB573" s="50"/>
    </row>
    <row r="574" customFormat="false" ht="15.75" hidden="false" customHeight="false" outlineLevel="0" collapsed="false">
      <c r="A574" s="50"/>
      <c r="B574" s="50"/>
      <c r="C574" s="5"/>
      <c r="D574" s="48"/>
      <c r="E574" s="50"/>
      <c r="F574" s="5"/>
      <c r="G574" s="5"/>
      <c r="H574" s="5"/>
      <c r="I574" s="5"/>
      <c r="J574" s="5"/>
      <c r="K574" s="50"/>
      <c r="L574" s="50"/>
      <c r="M574" s="50"/>
      <c r="N574" s="50"/>
      <c r="O574" s="50"/>
      <c r="P574" s="50"/>
      <c r="Q574" s="50"/>
      <c r="R574" s="50"/>
      <c r="S574" s="50"/>
      <c r="T574" s="50"/>
      <c r="U574" s="50"/>
      <c r="V574" s="50"/>
      <c r="W574" s="50"/>
      <c r="X574" s="50"/>
      <c r="Y574" s="50"/>
      <c r="Z574" s="50"/>
      <c r="AA574" s="50"/>
      <c r="AB574" s="50"/>
    </row>
    <row r="575" customFormat="false" ht="15.75" hidden="false" customHeight="false" outlineLevel="0" collapsed="false">
      <c r="A575" s="50"/>
      <c r="B575" s="50"/>
      <c r="C575" s="5"/>
      <c r="D575" s="48"/>
      <c r="E575" s="50"/>
      <c r="F575" s="5"/>
      <c r="G575" s="5"/>
      <c r="H575" s="5"/>
      <c r="I575" s="5"/>
      <c r="J575" s="5"/>
      <c r="K575" s="50"/>
      <c r="L575" s="50"/>
      <c r="M575" s="50"/>
      <c r="N575" s="50"/>
      <c r="O575" s="50"/>
      <c r="P575" s="50"/>
      <c r="Q575" s="50"/>
      <c r="R575" s="50"/>
      <c r="S575" s="50"/>
      <c r="T575" s="50"/>
      <c r="U575" s="50"/>
      <c r="V575" s="50"/>
      <c r="W575" s="50"/>
      <c r="X575" s="50"/>
      <c r="Y575" s="50"/>
      <c r="Z575" s="50"/>
      <c r="AA575" s="50"/>
      <c r="AB575" s="50"/>
    </row>
    <row r="576" customFormat="false" ht="15.75" hidden="false" customHeight="false" outlineLevel="0" collapsed="false">
      <c r="A576" s="50"/>
      <c r="B576" s="50"/>
      <c r="C576" s="5"/>
      <c r="D576" s="48"/>
      <c r="E576" s="50"/>
      <c r="F576" s="5"/>
      <c r="G576" s="5"/>
      <c r="H576" s="5"/>
      <c r="I576" s="5"/>
      <c r="J576" s="5"/>
      <c r="K576" s="50"/>
      <c r="L576" s="50"/>
      <c r="M576" s="50"/>
      <c r="N576" s="50"/>
      <c r="O576" s="50"/>
      <c r="P576" s="50"/>
      <c r="Q576" s="50"/>
      <c r="R576" s="50"/>
      <c r="S576" s="50"/>
      <c r="T576" s="50"/>
      <c r="U576" s="50"/>
      <c r="V576" s="50"/>
      <c r="W576" s="50"/>
      <c r="X576" s="50"/>
      <c r="Y576" s="50"/>
      <c r="Z576" s="50"/>
      <c r="AA576" s="50"/>
      <c r="AB576" s="50"/>
    </row>
    <row r="577" customFormat="false" ht="15.75" hidden="false" customHeight="false" outlineLevel="0" collapsed="false">
      <c r="A577" s="50"/>
      <c r="B577" s="50"/>
      <c r="C577" s="5"/>
      <c r="D577" s="48"/>
      <c r="E577" s="50"/>
      <c r="F577" s="5"/>
      <c r="G577" s="5"/>
      <c r="H577" s="5"/>
      <c r="I577" s="5"/>
      <c r="J577" s="5"/>
      <c r="K577" s="50"/>
      <c r="L577" s="50"/>
      <c r="M577" s="50"/>
      <c r="N577" s="50"/>
      <c r="O577" s="50"/>
      <c r="P577" s="50"/>
      <c r="Q577" s="50"/>
      <c r="R577" s="50"/>
      <c r="S577" s="50"/>
      <c r="T577" s="50"/>
      <c r="U577" s="50"/>
      <c r="V577" s="50"/>
      <c r="W577" s="50"/>
      <c r="X577" s="50"/>
      <c r="Y577" s="50"/>
      <c r="Z577" s="50"/>
      <c r="AA577" s="50"/>
      <c r="AB577" s="50"/>
    </row>
    <row r="578" customFormat="false" ht="15.75" hidden="false" customHeight="false" outlineLevel="0" collapsed="false">
      <c r="A578" s="50"/>
      <c r="B578" s="50"/>
      <c r="C578" s="5"/>
      <c r="D578" s="48"/>
      <c r="E578" s="50"/>
      <c r="F578" s="5"/>
      <c r="G578" s="5"/>
      <c r="H578" s="5"/>
      <c r="I578" s="5"/>
      <c r="J578" s="5"/>
      <c r="K578" s="50"/>
      <c r="L578" s="50"/>
      <c r="M578" s="50"/>
      <c r="N578" s="50"/>
      <c r="O578" s="50"/>
      <c r="P578" s="50"/>
      <c r="Q578" s="50"/>
      <c r="R578" s="50"/>
      <c r="S578" s="50"/>
      <c r="T578" s="50"/>
      <c r="U578" s="50"/>
      <c r="V578" s="50"/>
      <c r="W578" s="50"/>
      <c r="X578" s="50"/>
      <c r="Y578" s="50"/>
      <c r="Z578" s="50"/>
      <c r="AA578" s="50"/>
      <c r="AB578" s="50"/>
    </row>
    <row r="579" customFormat="false" ht="15.75" hidden="false" customHeight="false" outlineLevel="0" collapsed="false">
      <c r="A579" s="50"/>
      <c r="B579" s="50"/>
      <c r="C579" s="5"/>
      <c r="D579" s="48"/>
      <c r="E579" s="50"/>
      <c r="F579" s="5"/>
      <c r="G579" s="5"/>
      <c r="H579" s="5"/>
      <c r="I579" s="5"/>
      <c r="J579" s="5"/>
      <c r="K579" s="50"/>
      <c r="L579" s="50"/>
      <c r="M579" s="50"/>
      <c r="N579" s="50"/>
      <c r="O579" s="50"/>
      <c r="P579" s="50"/>
      <c r="Q579" s="50"/>
      <c r="R579" s="50"/>
      <c r="S579" s="50"/>
      <c r="T579" s="50"/>
      <c r="U579" s="50"/>
      <c r="V579" s="50"/>
      <c r="W579" s="50"/>
      <c r="X579" s="50"/>
      <c r="Y579" s="50"/>
      <c r="Z579" s="50"/>
      <c r="AA579" s="50"/>
      <c r="AB579" s="50"/>
    </row>
    <row r="580" customFormat="false" ht="15.75" hidden="false" customHeight="false" outlineLevel="0" collapsed="false">
      <c r="A580" s="50"/>
      <c r="B580" s="50"/>
      <c r="C580" s="5"/>
      <c r="D580" s="48"/>
      <c r="E580" s="50"/>
      <c r="F580" s="5"/>
      <c r="G580" s="5"/>
      <c r="H580" s="5"/>
      <c r="I580" s="5"/>
      <c r="J580" s="5"/>
      <c r="K580" s="50"/>
      <c r="L580" s="50"/>
      <c r="M580" s="50"/>
      <c r="N580" s="50"/>
      <c r="O580" s="50"/>
      <c r="P580" s="50"/>
      <c r="Q580" s="50"/>
      <c r="R580" s="50"/>
      <c r="S580" s="50"/>
      <c r="T580" s="50"/>
      <c r="U580" s="50"/>
      <c r="V580" s="50"/>
      <c r="W580" s="50"/>
      <c r="X580" s="50"/>
      <c r="Y580" s="50"/>
      <c r="Z580" s="50"/>
      <c r="AA580" s="50"/>
      <c r="AB580" s="50"/>
    </row>
    <row r="581" customFormat="false" ht="15.75" hidden="false" customHeight="false" outlineLevel="0" collapsed="false">
      <c r="A581" s="50"/>
      <c r="B581" s="50"/>
      <c r="C581" s="5"/>
      <c r="D581" s="48"/>
      <c r="E581" s="50"/>
      <c r="F581" s="5"/>
      <c r="G581" s="5"/>
      <c r="H581" s="5"/>
      <c r="I581" s="5"/>
      <c r="J581" s="5"/>
      <c r="K581" s="50"/>
      <c r="L581" s="50"/>
      <c r="M581" s="50"/>
      <c r="N581" s="50"/>
      <c r="O581" s="50"/>
      <c r="P581" s="50"/>
      <c r="Q581" s="50"/>
      <c r="R581" s="50"/>
      <c r="S581" s="50"/>
      <c r="T581" s="50"/>
      <c r="U581" s="50"/>
      <c r="V581" s="50"/>
      <c r="W581" s="50"/>
      <c r="X581" s="50"/>
      <c r="Y581" s="50"/>
      <c r="Z581" s="50"/>
      <c r="AA581" s="50"/>
      <c r="AB581" s="50"/>
    </row>
    <row r="582" customFormat="false" ht="15.75" hidden="false" customHeight="false" outlineLevel="0" collapsed="false">
      <c r="A582" s="50"/>
      <c r="B582" s="50"/>
      <c r="C582" s="5"/>
      <c r="D582" s="48"/>
      <c r="E582" s="50"/>
      <c r="F582" s="5"/>
      <c r="G582" s="5"/>
      <c r="H582" s="5"/>
      <c r="I582" s="5"/>
      <c r="J582" s="5"/>
      <c r="K582" s="50"/>
      <c r="L582" s="50"/>
      <c r="M582" s="50"/>
      <c r="N582" s="50"/>
      <c r="O582" s="50"/>
      <c r="P582" s="50"/>
      <c r="Q582" s="50"/>
      <c r="R582" s="50"/>
      <c r="S582" s="50"/>
      <c r="T582" s="50"/>
      <c r="U582" s="50"/>
      <c r="V582" s="50"/>
      <c r="W582" s="50"/>
      <c r="X582" s="50"/>
      <c r="Y582" s="50"/>
      <c r="Z582" s="50"/>
      <c r="AA582" s="50"/>
      <c r="AB582" s="50"/>
    </row>
    <row r="583" customFormat="false" ht="15.75" hidden="false" customHeight="false" outlineLevel="0" collapsed="false">
      <c r="A583" s="50"/>
      <c r="B583" s="50"/>
      <c r="C583" s="5"/>
      <c r="D583" s="48"/>
      <c r="E583" s="50"/>
      <c r="F583" s="5"/>
      <c r="G583" s="5"/>
      <c r="H583" s="5"/>
      <c r="I583" s="5"/>
      <c r="J583" s="5"/>
      <c r="K583" s="50"/>
      <c r="L583" s="50"/>
      <c r="M583" s="50"/>
      <c r="N583" s="50"/>
      <c r="O583" s="50"/>
      <c r="P583" s="50"/>
      <c r="Q583" s="50"/>
      <c r="R583" s="50"/>
      <c r="S583" s="50"/>
      <c r="T583" s="50"/>
      <c r="U583" s="50"/>
      <c r="V583" s="50"/>
      <c r="W583" s="50"/>
      <c r="X583" s="50"/>
      <c r="Y583" s="50"/>
      <c r="Z583" s="50"/>
      <c r="AA583" s="50"/>
      <c r="AB583" s="50"/>
    </row>
    <row r="584" customFormat="false" ht="15.75" hidden="false" customHeight="false" outlineLevel="0" collapsed="false">
      <c r="A584" s="50"/>
      <c r="B584" s="50"/>
      <c r="C584" s="5"/>
      <c r="D584" s="48"/>
      <c r="E584" s="50"/>
      <c r="F584" s="5"/>
      <c r="G584" s="5"/>
      <c r="H584" s="5"/>
      <c r="I584" s="5"/>
      <c r="J584" s="5"/>
      <c r="K584" s="50"/>
      <c r="L584" s="50"/>
      <c r="M584" s="50"/>
      <c r="N584" s="50"/>
      <c r="O584" s="50"/>
      <c r="P584" s="50"/>
      <c r="Q584" s="50"/>
      <c r="R584" s="50"/>
      <c r="S584" s="50"/>
      <c r="T584" s="50"/>
      <c r="U584" s="50"/>
      <c r="V584" s="50"/>
      <c r="W584" s="50"/>
      <c r="X584" s="50"/>
      <c r="Y584" s="50"/>
      <c r="Z584" s="50"/>
      <c r="AA584" s="50"/>
      <c r="AB584" s="50"/>
    </row>
    <row r="585" customFormat="false" ht="15.75" hidden="false" customHeight="false" outlineLevel="0" collapsed="false">
      <c r="A585" s="50"/>
      <c r="B585" s="50"/>
      <c r="C585" s="5"/>
      <c r="D585" s="48"/>
      <c r="E585" s="50"/>
      <c r="F585" s="5"/>
      <c r="G585" s="5"/>
      <c r="H585" s="5"/>
      <c r="I585" s="5"/>
      <c r="J585" s="5"/>
      <c r="K585" s="50"/>
      <c r="L585" s="50"/>
      <c r="M585" s="50"/>
      <c r="N585" s="50"/>
      <c r="O585" s="50"/>
      <c r="P585" s="50"/>
      <c r="Q585" s="50"/>
      <c r="R585" s="50"/>
      <c r="S585" s="50"/>
      <c r="T585" s="50"/>
      <c r="U585" s="50"/>
      <c r="V585" s="50"/>
      <c r="W585" s="50"/>
      <c r="X585" s="50"/>
      <c r="Y585" s="50"/>
      <c r="Z585" s="50"/>
      <c r="AA585" s="50"/>
      <c r="AB585" s="50"/>
    </row>
    <row r="586" customFormat="false" ht="15.75" hidden="false" customHeight="false" outlineLevel="0" collapsed="false">
      <c r="A586" s="50"/>
      <c r="B586" s="50"/>
      <c r="C586" s="5"/>
      <c r="D586" s="48"/>
      <c r="E586" s="50"/>
      <c r="F586" s="5"/>
      <c r="G586" s="5"/>
      <c r="H586" s="5"/>
      <c r="I586" s="5"/>
      <c r="J586" s="5"/>
      <c r="K586" s="50"/>
      <c r="L586" s="50"/>
      <c r="M586" s="50"/>
      <c r="N586" s="50"/>
      <c r="O586" s="50"/>
      <c r="P586" s="50"/>
      <c r="Q586" s="50"/>
      <c r="R586" s="50"/>
      <c r="S586" s="50"/>
      <c r="T586" s="50"/>
      <c r="U586" s="50"/>
      <c r="V586" s="50"/>
      <c r="W586" s="50"/>
      <c r="X586" s="50"/>
      <c r="Y586" s="50"/>
      <c r="Z586" s="50"/>
      <c r="AA586" s="50"/>
      <c r="AB586" s="50"/>
    </row>
    <row r="587" customFormat="false" ht="15.75" hidden="false" customHeight="false" outlineLevel="0" collapsed="false">
      <c r="A587" s="50"/>
      <c r="B587" s="50"/>
      <c r="C587" s="5"/>
      <c r="D587" s="48"/>
      <c r="E587" s="50"/>
      <c r="F587" s="5"/>
      <c r="G587" s="5"/>
      <c r="H587" s="5"/>
      <c r="I587" s="5"/>
      <c r="J587" s="5"/>
      <c r="K587" s="50"/>
      <c r="L587" s="50"/>
      <c r="M587" s="50"/>
      <c r="N587" s="50"/>
      <c r="O587" s="50"/>
      <c r="P587" s="50"/>
      <c r="Q587" s="50"/>
      <c r="R587" s="50"/>
      <c r="S587" s="50"/>
      <c r="T587" s="50"/>
      <c r="U587" s="50"/>
      <c r="V587" s="50"/>
      <c r="W587" s="50"/>
      <c r="X587" s="50"/>
      <c r="Y587" s="50"/>
      <c r="Z587" s="50"/>
      <c r="AA587" s="50"/>
      <c r="AB587" s="50"/>
    </row>
    <row r="588" customFormat="false" ht="15.75" hidden="false" customHeight="false" outlineLevel="0" collapsed="false">
      <c r="A588" s="50"/>
      <c r="B588" s="50"/>
      <c r="C588" s="5"/>
      <c r="D588" s="48"/>
      <c r="E588" s="50"/>
      <c r="F588" s="5"/>
      <c r="G588" s="5"/>
      <c r="H588" s="5"/>
      <c r="I588" s="5"/>
      <c r="J588" s="5"/>
      <c r="K588" s="50"/>
      <c r="L588" s="50"/>
      <c r="M588" s="50"/>
      <c r="N588" s="50"/>
      <c r="O588" s="50"/>
      <c r="P588" s="50"/>
      <c r="Q588" s="50"/>
      <c r="R588" s="50"/>
      <c r="S588" s="50"/>
      <c r="T588" s="50"/>
      <c r="U588" s="50"/>
      <c r="V588" s="50"/>
      <c r="W588" s="50"/>
      <c r="X588" s="50"/>
      <c r="Y588" s="50"/>
      <c r="Z588" s="50"/>
      <c r="AA588" s="50"/>
      <c r="AB588" s="50"/>
    </row>
    <row r="589" customFormat="false" ht="15.75" hidden="false" customHeight="false" outlineLevel="0" collapsed="false">
      <c r="A589" s="50"/>
      <c r="B589" s="50"/>
      <c r="C589" s="5"/>
      <c r="D589" s="48"/>
      <c r="E589" s="50"/>
      <c r="F589" s="5"/>
      <c r="G589" s="5"/>
      <c r="H589" s="5"/>
      <c r="I589" s="5"/>
      <c r="J589" s="5"/>
      <c r="K589" s="50"/>
      <c r="L589" s="50"/>
      <c r="M589" s="50"/>
      <c r="N589" s="50"/>
      <c r="O589" s="50"/>
      <c r="P589" s="50"/>
      <c r="Q589" s="50"/>
      <c r="R589" s="50"/>
      <c r="S589" s="50"/>
      <c r="T589" s="50"/>
      <c r="U589" s="50"/>
      <c r="V589" s="50"/>
      <c r="W589" s="50"/>
      <c r="X589" s="50"/>
      <c r="Y589" s="50"/>
      <c r="Z589" s="50"/>
      <c r="AA589" s="50"/>
      <c r="AB589" s="50"/>
    </row>
    <row r="590" customFormat="false" ht="15.75" hidden="false" customHeight="false" outlineLevel="0" collapsed="false">
      <c r="A590" s="50"/>
      <c r="B590" s="50"/>
      <c r="C590" s="5"/>
      <c r="D590" s="48"/>
      <c r="E590" s="50"/>
      <c r="F590" s="5"/>
      <c r="G590" s="5"/>
      <c r="H590" s="5"/>
      <c r="I590" s="5"/>
      <c r="J590" s="5"/>
      <c r="K590" s="50"/>
      <c r="L590" s="50"/>
      <c r="M590" s="50"/>
      <c r="N590" s="50"/>
      <c r="O590" s="50"/>
      <c r="P590" s="50"/>
      <c r="Q590" s="50"/>
      <c r="R590" s="50"/>
      <c r="S590" s="50"/>
      <c r="T590" s="50"/>
      <c r="U590" s="50"/>
      <c r="V590" s="50"/>
      <c r="W590" s="50"/>
      <c r="X590" s="50"/>
      <c r="Y590" s="50"/>
      <c r="Z590" s="50"/>
      <c r="AA590" s="50"/>
      <c r="AB590" s="50"/>
    </row>
    <row r="591" customFormat="false" ht="15.75" hidden="false" customHeight="false" outlineLevel="0" collapsed="false">
      <c r="A591" s="50"/>
      <c r="B591" s="50"/>
      <c r="C591" s="5"/>
      <c r="D591" s="48"/>
      <c r="E591" s="50"/>
      <c r="F591" s="5"/>
      <c r="G591" s="5"/>
      <c r="H591" s="5"/>
      <c r="I591" s="5"/>
      <c r="J591" s="5"/>
      <c r="K591" s="50"/>
      <c r="L591" s="50"/>
      <c r="M591" s="50"/>
      <c r="N591" s="50"/>
      <c r="O591" s="50"/>
      <c r="P591" s="50"/>
      <c r="Q591" s="50"/>
      <c r="R591" s="50"/>
      <c r="S591" s="50"/>
      <c r="T591" s="50"/>
      <c r="U591" s="50"/>
      <c r="V591" s="50"/>
      <c r="W591" s="50"/>
      <c r="X591" s="50"/>
      <c r="Y591" s="50"/>
      <c r="Z591" s="50"/>
      <c r="AA591" s="50"/>
      <c r="AB591" s="50"/>
    </row>
    <row r="592" customFormat="false" ht="15.75" hidden="false" customHeight="false" outlineLevel="0" collapsed="false">
      <c r="A592" s="50"/>
      <c r="B592" s="50"/>
      <c r="C592" s="5"/>
      <c r="D592" s="48"/>
      <c r="E592" s="50"/>
      <c r="F592" s="5"/>
      <c r="G592" s="5"/>
      <c r="H592" s="5"/>
      <c r="I592" s="5"/>
      <c r="J592" s="5"/>
      <c r="K592" s="50"/>
      <c r="L592" s="50"/>
      <c r="M592" s="50"/>
      <c r="N592" s="50"/>
      <c r="O592" s="50"/>
      <c r="P592" s="50"/>
      <c r="Q592" s="50"/>
      <c r="R592" s="50"/>
      <c r="S592" s="50"/>
      <c r="T592" s="50"/>
      <c r="U592" s="50"/>
      <c r="V592" s="50"/>
      <c r="W592" s="50"/>
      <c r="X592" s="50"/>
      <c r="Y592" s="50"/>
      <c r="Z592" s="50"/>
      <c r="AA592" s="50"/>
      <c r="AB592" s="50"/>
    </row>
    <row r="593" customFormat="false" ht="15.75" hidden="false" customHeight="false" outlineLevel="0" collapsed="false">
      <c r="A593" s="50"/>
      <c r="B593" s="50"/>
      <c r="C593" s="5"/>
      <c r="D593" s="48"/>
      <c r="E593" s="50"/>
      <c r="F593" s="5"/>
      <c r="G593" s="5"/>
      <c r="H593" s="5"/>
      <c r="I593" s="5"/>
      <c r="J593" s="5"/>
      <c r="K593" s="50"/>
      <c r="L593" s="50"/>
      <c r="M593" s="50"/>
      <c r="N593" s="50"/>
      <c r="O593" s="50"/>
      <c r="P593" s="50"/>
      <c r="Q593" s="50"/>
      <c r="R593" s="50"/>
      <c r="S593" s="50"/>
      <c r="T593" s="50"/>
      <c r="U593" s="50"/>
      <c r="V593" s="50"/>
      <c r="W593" s="50"/>
      <c r="X593" s="50"/>
      <c r="Y593" s="50"/>
      <c r="Z593" s="50"/>
      <c r="AA593" s="50"/>
      <c r="AB593" s="50"/>
    </row>
    <row r="594" customFormat="false" ht="15.75" hidden="false" customHeight="false" outlineLevel="0" collapsed="false">
      <c r="A594" s="50"/>
      <c r="B594" s="50"/>
      <c r="C594" s="5"/>
      <c r="D594" s="48"/>
      <c r="E594" s="50"/>
      <c r="F594" s="5"/>
      <c r="G594" s="5"/>
      <c r="H594" s="5"/>
      <c r="I594" s="5"/>
      <c r="J594" s="5"/>
      <c r="K594" s="50"/>
      <c r="L594" s="50"/>
      <c r="M594" s="50"/>
      <c r="N594" s="50"/>
      <c r="O594" s="50"/>
      <c r="P594" s="50"/>
      <c r="Q594" s="50"/>
      <c r="R594" s="50"/>
      <c r="S594" s="50"/>
      <c r="T594" s="50"/>
      <c r="U594" s="50"/>
      <c r="V594" s="50"/>
      <c r="W594" s="50"/>
      <c r="X594" s="50"/>
      <c r="Y594" s="50"/>
      <c r="Z594" s="50"/>
      <c r="AA594" s="50"/>
      <c r="AB594" s="50"/>
    </row>
    <row r="595" customFormat="false" ht="15.75" hidden="false" customHeight="false" outlineLevel="0" collapsed="false">
      <c r="A595" s="50"/>
      <c r="B595" s="50"/>
      <c r="C595" s="5"/>
      <c r="D595" s="48"/>
      <c r="E595" s="50"/>
      <c r="F595" s="5"/>
      <c r="G595" s="5"/>
      <c r="H595" s="5"/>
      <c r="I595" s="5"/>
      <c r="J595" s="5"/>
      <c r="K595" s="50"/>
      <c r="L595" s="50"/>
      <c r="M595" s="50"/>
      <c r="N595" s="50"/>
      <c r="O595" s="50"/>
      <c r="P595" s="50"/>
      <c r="Q595" s="50"/>
      <c r="R595" s="50"/>
      <c r="S595" s="50"/>
      <c r="T595" s="50"/>
      <c r="U595" s="50"/>
      <c r="V595" s="50"/>
      <c r="W595" s="50"/>
      <c r="X595" s="50"/>
      <c r="Y595" s="50"/>
      <c r="Z595" s="50"/>
      <c r="AA595" s="50"/>
      <c r="AB595" s="50"/>
    </row>
    <row r="596" customFormat="false" ht="15.75" hidden="false" customHeight="false" outlineLevel="0" collapsed="false">
      <c r="A596" s="50"/>
      <c r="B596" s="50"/>
      <c r="C596" s="5"/>
      <c r="D596" s="48"/>
      <c r="E596" s="50"/>
      <c r="F596" s="5"/>
      <c r="G596" s="5"/>
      <c r="H596" s="5"/>
      <c r="I596" s="5"/>
      <c r="J596" s="5"/>
      <c r="K596" s="50"/>
      <c r="L596" s="50"/>
      <c r="M596" s="50"/>
      <c r="N596" s="50"/>
      <c r="O596" s="50"/>
      <c r="P596" s="50"/>
      <c r="Q596" s="50"/>
      <c r="R596" s="50"/>
      <c r="S596" s="50"/>
      <c r="T596" s="50"/>
      <c r="U596" s="50"/>
      <c r="V596" s="50"/>
      <c r="W596" s="50"/>
      <c r="X596" s="50"/>
      <c r="Y596" s="50"/>
      <c r="Z596" s="50"/>
      <c r="AA596" s="50"/>
      <c r="AB596" s="50"/>
    </row>
    <row r="597" customFormat="false" ht="15.75" hidden="false" customHeight="false" outlineLevel="0" collapsed="false">
      <c r="A597" s="50"/>
      <c r="B597" s="50"/>
      <c r="C597" s="5"/>
      <c r="D597" s="48"/>
      <c r="E597" s="50"/>
      <c r="F597" s="5"/>
      <c r="G597" s="5"/>
      <c r="H597" s="5"/>
      <c r="I597" s="5"/>
      <c r="J597" s="5"/>
      <c r="K597" s="50"/>
      <c r="L597" s="50"/>
      <c r="M597" s="50"/>
      <c r="N597" s="50"/>
      <c r="O597" s="50"/>
      <c r="P597" s="50"/>
      <c r="Q597" s="50"/>
      <c r="R597" s="50"/>
      <c r="S597" s="50"/>
      <c r="T597" s="50"/>
      <c r="U597" s="50"/>
      <c r="V597" s="50"/>
      <c r="W597" s="50"/>
      <c r="X597" s="50"/>
      <c r="Y597" s="50"/>
      <c r="Z597" s="50"/>
      <c r="AA597" s="50"/>
      <c r="AB597" s="50"/>
    </row>
    <row r="598" customFormat="false" ht="15.75" hidden="false" customHeight="false" outlineLevel="0" collapsed="false">
      <c r="A598" s="50"/>
      <c r="B598" s="50"/>
      <c r="C598" s="5"/>
      <c r="D598" s="48"/>
      <c r="E598" s="50"/>
      <c r="F598" s="5"/>
      <c r="G598" s="5"/>
      <c r="H598" s="5"/>
      <c r="I598" s="5"/>
      <c r="J598" s="5"/>
      <c r="K598" s="50"/>
      <c r="L598" s="50"/>
      <c r="M598" s="50"/>
      <c r="N598" s="50"/>
      <c r="O598" s="50"/>
      <c r="P598" s="50"/>
      <c r="Q598" s="50"/>
      <c r="R598" s="50"/>
      <c r="S598" s="50"/>
      <c r="T598" s="50"/>
      <c r="U598" s="50"/>
      <c r="V598" s="50"/>
      <c r="W598" s="50"/>
      <c r="X598" s="50"/>
      <c r="Y598" s="50"/>
      <c r="Z598" s="50"/>
      <c r="AA598" s="50"/>
      <c r="AB598" s="50"/>
    </row>
    <row r="599" customFormat="false" ht="15.75" hidden="false" customHeight="false" outlineLevel="0" collapsed="false">
      <c r="A599" s="50"/>
      <c r="B599" s="50"/>
      <c r="C599" s="5"/>
      <c r="D599" s="48"/>
      <c r="E599" s="50"/>
      <c r="F599" s="5"/>
      <c r="G599" s="5"/>
      <c r="H599" s="5"/>
      <c r="I599" s="5"/>
      <c r="J599" s="5"/>
      <c r="K599" s="50"/>
      <c r="L599" s="50"/>
      <c r="M599" s="50"/>
      <c r="N599" s="50"/>
      <c r="O599" s="50"/>
      <c r="P599" s="50"/>
      <c r="Q599" s="50"/>
      <c r="R599" s="50"/>
      <c r="S599" s="50"/>
      <c r="T599" s="50"/>
      <c r="U599" s="50"/>
      <c r="V599" s="50"/>
      <c r="W599" s="50"/>
      <c r="X599" s="50"/>
      <c r="Y599" s="50"/>
      <c r="Z599" s="50"/>
      <c r="AA599" s="50"/>
      <c r="AB599" s="50"/>
    </row>
    <row r="600" customFormat="false" ht="15.75" hidden="false" customHeight="false" outlineLevel="0" collapsed="false">
      <c r="A600" s="50"/>
      <c r="B600" s="50"/>
      <c r="C600" s="5"/>
      <c r="D600" s="48"/>
      <c r="E600" s="50"/>
      <c r="F600" s="5"/>
      <c r="G600" s="5"/>
      <c r="H600" s="5"/>
      <c r="I600" s="5"/>
      <c r="J600" s="5"/>
      <c r="K600" s="50"/>
      <c r="L600" s="50"/>
      <c r="M600" s="50"/>
      <c r="N600" s="50"/>
      <c r="O600" s="50"/>
      <c r="P600" s="50"/>
      <c r="Q600" s="50"/>
      <c r="R600" s="50"/>
      <c r="S600" s="50"/>
      <c r="T600" s="50"/>
      <c r="U600" s="50"/>
      <c r="V600" s="50"/>
      <c r="W600" s="50"/>
      <c r="X600" s="50"/>
      <c r="Y600" s="50"/>
      <c r="Z600" s="50"/>
      <c r="AA600" s="50"/>
      <c r="AB600" s="50"/>
    </row>
    <row r="601" customFormat="false" ht="15.75" hidden="false" customHeight="false" outlineLevel="0" collapsed="false">
      <c r="A601" s="50"/>
      <c r="B601" s="50"/>
      <c r="C601" s="5"/>
      <c r="D601" s="48"/>
      <c r="E601" s="50"/>
      <c r="F601" s="5"/>
      <c r="G601" s="5"/>
      <c r="H601" s="5"/>
      <c r="I601" s="5"/>
      <c r="J601" s="5"/>
      <c r="K601" s="50"/>
      <c r="L601" s="50"/>
      <c r="M601" s="50"/>
      <c r="N601" s="50"/>
      <c r="O601" s="50"/>
      <c r="P601" s="50"/>
      <c r="Q601" s="50"/>
      <c r="R601" s="50"/>
      <c r="S601" s="50"/>
      <c r="T601" s="50"/>
      <c r="U601" s="50"/>
      <c r="V601" s="50"/>
      <c r="W601" s="50"/>
      <c r="X601" s="50"/>
      <c r="Y601" s="50"/>
      <c r="Z601" s="50"/>
      <c r="AA601" s="50"/>
      <c r="AB601" s="50"/>
    </row>
    <row r="602" customFormat="false" ht="15.75" hidden="false" customHeight="false" outlineLevel="0" collapsed="false">
      <c r="A602" s="50"/>
      <c r="B602" s="50"/>
      <c r="C602" s="5"/>
      <c r="D602" s="48"/>
      <c r="E602" s="50"/>
      <c r="F602" s="5"/>
      <c r="G602" s="5"/>
      <c r="H602" s="5"/>
      <c r="I602" s="5"/>
      <c r="J602" s="5"/>
      <c r="K602" s="50"/>
      <c r="L602" s="50"/>
      <c r="M602" s="50"/>
      <c r="N602" s="50"/>
      <c r="O602" s="50"/>
      <c r="P602" s="50"/>
      <c r="Q602" s="50"/>
      <c r="R602" s="50"/>
      <c r="S602" s="50"/>
      <c r="T602" s="50"/>
      <c r="U602" s="50"/>
      <c r="V602" s="50"/>
      <c r="W602" s="50"/>
      <c r="X602" s="50"/>
      <c r="Y602" s="50"/>
      <c r="Z602" s="50"/>
      <c r="AA602" s="50"/>
      <c r="AB602" s="50"/>
    </row>
    <row r="603" customFormat="false" ht="15.75" hidden="false" customHeight="false" outlineLevel="0" collapsed="false">
      <c r="A603" s="50"/>
      <c r="B603" s="50"/>
      <c r="C603" s="5"/>
      <c r="D603" s="48"/>
      <c r="E603" s="50"/>
      <c r="F603" s="5"/>
      <c r="G603" s="5"/>
      <c r="H603" s="5"/>
      <c r="I603" s="5"/>
      <c r="J603" s="5"/>
      <c r="K603" s="50"/>
      <c r="L603" s="50"/>
      <c r="M603" s="50"/>
      <c r="N603" s="50"/>
      <c r="O603" s="50"/>
      <c r="P603" s="50"/>
      <c r="Q603" s="50"/>
      <c r="R603" s="50"/>
      <c r="S603" s="50"/>
      <c r="T603" s="50"/>
      <c r="U603" s="50"/>
      <c r="V603" s="50"/>
      <c r="W603" s="50"/>
      <c r="X603" s="50"/>
      <c r="Y603" s="50"/>
      <c r="Z603" s="50"/>
      <c r="AA603" s="50"/>
      <c r="AB603" s="50"/>
    </row>
    <row r="604" customFormat="false" ht="15.75" hidden="false" customHeight="false" outlineLevel="0" collapsed="false">
      <c r="A604" s="50"/>
      <c r="B604" s="50"/>
      <c r="C604" s="5"/>
      <c r="D604" s="48"/>
      <c r="E604" s="50"/>
      <c r="F604" s="5"/>
      <c r="G604" s="5"/>
      <c r="H604" s="5"/>
      <c r="I604" s="5"/>
      <c r="J604" s="5"/>
      <c r="K604" s="50"/>
      <c r="L604" s="50"/>
      <c r="M604" s="50"/>
      <c r="N604" s="50"/>
      <c r="O604" s="50"/>
      <c r="P604" s="50"/>
      <c r="Q604" s="50"/>
      <c r="R604" s="50"/>
      <c r="S604" s="50"/>
      <c r="T604" s="50"/>
      <c r="U604" s="50"/>
      <c r="V604" s="50"/>
      <c r="W604" s="50"/>
      <c r="X604" s="50"/>
      <c r="Y604" s="50"/>
      <c r="Z604" s="50"/>
      <c r="AA604" s="50"/>
      <c r="AB604" s="50"/>
    </row>
    <row r="605" customFormat="false" ht="15.75" hidden="false" customHeight="false" outlineLevel="0" collapsed="false">
      <c r="A605" s="50"/>
      <c r="B605" s="50"/>
      <c r="C605" s="5"/>
      <c r="D605" s="48"/>
      <c r="E605" s="50"/>
      <c r="F605" s="5"/>
      <c r="G605" s="5"/>
      <c r="H605" s="5"/>
      <c r="I605" s="5"/>
      <c r="J605" s="5"/>
      <c r="K605" s="50"/>
      <c r="L605" s="50"/>
      <c r="M605" s="50"/>
      <c r="N605" s="50"/>
      <c r="O605" s="50"/>
      <c r="P605" s="50"/>
      <c r="Q605" s="50"/>
      <c r="R605" s="50"/>
      <c r="S605" s="50"/>
      <c r="T605" s="50"/>
      <c r="U605" s="50"/>
      <c r="V605" s="50"/>
      <c r="W605" s="50"/>
      <c r="X605" s="50"/>
      <c r="Y605" s="50"/>
      <c r="Z605" s="50"/>
      <c r="AA605" s="50"/>
      <c r="AB605" s="50"/>
    </row>
    <row r="606" customFormat="false" ht="15.75" hidden="false" customHeight="false" outlineLevel="0" collapsed="false">
      <c r="A606" s="50"/>
      <c r="B606" s="50"/>
      <c r="C606" s="5"/>
      <c r="D606" s="48"/>
      <c r="E606" s="50"/>
      <c r="F606" s="5"/>
      <c r="G606" s="5"/>
      <c r="H606" s="5"/>
      <c r="I606" s="5"/>
      <c r="J606" s="5"/>
      <c r="K606" s="50"/>
      <c r="L606" s="50"/>
      <c r="M606" s="50"/>
      <c r="N606" s="50"/>
      <c r="O606" s="50"/>
      <c r="P606" s="50"/>
      <c r="Q606" s="50"/>
      <c r="R606" s="50"/>
      <c r="S606" s="50"/>
      <c r="T606" s="50"/>
      <c r="U606" s="50"/>
      <c r="V606" s="50"/>
      <c r="W606" s="50"/>
      <c r="X606" s="50"/>
      <c r="Y606" s="50"/>
      <c r="Z606" s="50"/>
      <c r="AA606" s="50"/>
      <c r="AB606" s="50"/>
    </row>
    <row r="607" customFormat="false" ht="15.75" hidden="false" customHeight="false" outlineLevel="0" collapsed="false">
      <c r="A607" s="50"/>
      <c r="B607" s="50"/>
      <c r="C607" s="5"/>
      <c r="D607" s="48"/>
      <c r="E607" s="50"/>
      <c r="F607" s="5"/>
      <c r="G607" s="5"/>
      <c r="H607" s="5"/>
      <c r="I607" s="5"/>
      <c r="J607" s="5"/>
      <c r="K607" s="50"/>
      <c r="L607" s="50"/>
      <c r="M607" s="50"/>
      <c r="N607" s="50"/>
      <c r="O607" s="50"/>
      <c r="P607" s="50"/>
      <c r="Q607" s="50"/>
      <c r="R607" s="50"/>
      <c r="S607" s="50"/>
      <c r="T607" s="50"/>
      <c r="U607" s="50"/>
      <c r="V607" s="50"/>
      <c r="W607" s="50"/>
      <c r="X607" s="50"/>
      <c r="Y607" s="50"/>
      <c r="Z607" s="50"/>
      <c r="AA607" s="50"/>
      <c r="AB607" s="50"/>
    </row>
    <row r="608" customFormat="false" ht="15.75" hidden="false" customHeight="false" outlineLevel="0" collapsed="false">
      <c r="A608" s="50"/>
      <c r="B608" s="50"/>
      <c r="C608" s="5"/>
      <c r="D608" s="48"/>
      <c r="E608" s="50"/>
      <c r="F608" s="5"/>
      <c r="G608" s="5"/>
      <c r="H608" s="5"/>
      <c r="I608" s="5"/>
      <c r="J608" s="5"/>
      <c r="K608" s="50"/>
      <c r="L608" s="50"/>
      <c r="M608" s="50"/>
      <c r="N608" s="50"/>
      <c r="O608" s="50"/>
      <c r="P608" s="50"/>
      <c r="Q608" s="50"/>
      <c r="R608" s="50"/>
      <c r="S608" s="50"/>
      <c r="T608" s="50"/>
      <c r="U608" s="50"/>
      <c r="V608" s="50"/>
      <c r="W608" s="50"/>
      <c r="X608" s="50"/>
      <c r="Y608" s="50"/>
      <c r="Z608" s="50"/>
      <c r="AA608" s="50"/>
      <c r="AB608" s="50"/>
    </row>
    <row r="609" customFormat="false" ht="15.75" hidden="false" customHeight="false" outlineLevel="0" collapsed="false">
      <c r="A609" s="50"/>
      <c r="B609" s="50"/>
      <c r="C609" s="5"/>
      <c r="D609" s="48"/>
      <c r="E609" s="50"/>
      <c r="F609" s="5"/>
      <c r="G609" s="5"/>
      <c r="H609" s="5"/>
      <c r="I609" s="5"/>
      <c r="J609" s="5"/>
      <c r="K609" s="50"/>
      <c r="L609" s="50"/>
      <c r="M609" s="50"/>
      <c r="N609" s="50"/>
      <c r="O609" s="50"/>
      <c r="P609" s="50"/>
      <c r="Q609" s="50"/>
      <c r="R609" s="50"/>
      <c r="S609" s="50"/>
      <c r="T609" s="50"/>
      <c r="U609" s="50"/>
      <c r="V609" s="50"/>
      <c r="W609" s="50"/>
      <c r="X609" s="50"/>
      <c r="Y609" s="50"/>
      <c r="Z609" s="50"/>
      <c r="AA609" s="50"/>
      <c r="AB609" s="50"/>
    </row>
    <row r="610" customFormat="false" ht="15.75" hidden="false" customHeight="false" outlineLevel="0" collapsed="false">
      <c r="A610" s="50"/>
      <c r="B610" s="50"/>
      <c r="C610" s="5"/>
      <c r="D610" s="48"/>
      <c r="E610" s="50"/>
      <c r="F610" s="5"/>
      <c r="G610" s="5"/>
      <c r="H610" s="5"/>
      <c r="I610" s="5"/>
      <c r="J610" s="5"/>
      <c r="K610" s="50"/>
      <c r="L610" s="50"/>
      <c r="M610" s="50"/>
      <c r="N610" s="50"/>
      <c r="O610" s="50"/>
      <c r="P610" s="50"/>
      <c r="Q610" s="50"/>
      <c r="R610" s="50"/>
      <c r="S610" s="50"/>
      <c r="T610" s="50"/>
      <c r="U610" s="50"/>
      <c r="V610" s="50"/>
      <c r="W610" s="50"/>
      <c r="X610" s="50"/>
      <c r="Y610" s="50"/>
      <c r="Z610" s="50"/>
      <c r="AA610" s="50"/>
      <c r="AB610" s="50"/>
    </row>
    <row r="611" customFormat="false" ht="15.75" hidden="false" customHeight="false" outlineLevel="0" collapsed="false">
      <c r="A611" s="50"/>
      <c r="B611" s="50"/>
      <c r="C611" s="5"/>
      <c r="D611" s="48"/>
      <c r="E611" s="50"/>
      <c r="F611" s="5"/>
      <c r="G611" s="5"/>
      <c r="H611" s="5"/>
      <c r="I611" s="5"/>
      <c r="J611" s="5"/>
      <c r="K611" s="50"/>
      <c r="L611" s="50"/>
      <c r="M611" s="50"/>
      <c r="N611" s="50"/>
      <c r="O611" s="50"/>
      <c r="P611" s="50"/>
      <c r="Q611" s="50"/>
      <c r="R611" s="50"/>
      <c r="S611" s="50"/>
      <c r="T611" s="50"/>
      <c r="U611" s="50"/>
      <c r="V611" s="50"/>
      <c r="W611" s="50"/>
      <c r="X611" s="50"/>
      <c r="Y611" s="50"/>
      <c r="Z611" s="50"/>
      <c r="AA611" s="50"/>
      <c r="AB611" s="50"/>
    </row>
    <row r="612" customFormat="false" ht="15.75" hidden="false" customHeight="false" outlineLevel="0" collapsed="false">
      <c r="A612" s="50"/>
      <c r="B612" s="50"/>
      <c r="C612" s="5"/>
      <c r="D612" s="48"/>
      <c r="E612" s="50"/>
      <c r="F612" s="5"/>
      <c r="G612" s="5"/>
      <c r="H612" s="5"/>
      <c r="I612" s="5"/>
      <c r="J612" s="5"/>
      <c r="K612" s="50"/>
      <c r="L612" s="50"/>
      <c r="M612" s="50"/>
      <c r="N612" s="50"/>
      <c r="O612" s="50"/>
      <c r="P612" s="50"/>
      <c r="Q612" s="50"/>
      <c r="R612" s="50"/>
      <c r="S612" s="50"/>
      <c r="T612" s="50"/>
      <c r="U612" s="50"/>
      <c r="V612" s="50"/>
      <c r="W612" s="50"/>
      <c r="X612" s="50"/>
      <c r="Y612" s="50"/>
      <c r="Z612" s="50"/>
      <c r="AA612" s="50"/>
      <c r="AB612" s="50"/>
    </row>
    <row r="613" customFormat="false" ht="15.75" hidden="false" customHeight="false" outlineLevel="0" collapsed="false">
      <c r="A613" s="50"/>
      <c r="B613" s="50"/>
      <c r="C613" s="5"/>
      <c r="D613" s="48"/>
      <c r="E613" s="50"/>
      <c r="F613" s="5"/>
      <c r="G613" s="5"/>
      <c r="H613" s="5"/>
      <c r="I613" s="5"/>
      <c r="J613" s="5"/>
      <c r="K613" s="50"/>
      <c r="L613" s="50"/>
      <c r="M613" s="50"/>
      <c r="N613" s="50"/>
      <c r="O613" s="50"/>
      <c r="P613" s="50"/>
      <c r="Q613" s="50"/>
      <c r="R613" s="50"/>
      <c r="S613" s="50"/>
      <c r="T613" s="50"/>
      <c r="U613" s="50"/>
      <c r="V613" s="50"/>
      <c r="W613" s="50"/>
      <c r="X613" s="50"/>
      <c r="Y613" s="50"/>
      <c r="Z613" s="50"/>
      <c r="AA613" s="50"/>
      <c r="AB613" s="50"/>
    </row>
    <row r="614" customFormat="false" ht="15.75" hidden="false" customHeight="false" outlineLevel="0" collapsed="false">
      <c r="A614" s="50"/>
      <c r="B614" s="50"/>
      <c r="C614" s="5"/>
      <c r="D614" s="48"/>
      <c r="E614" s="50"/>
      <c r="F614" s="5"/>
      <c r="G614" s="5"/>
      <c r="H614" s="5"/>
      <c r="I614" s="5"/>
      <c r="J614" s="5"/>
      <c r="K614" s="50"/>
      <c r="L614" s="50"/>
      <c r="M614" s="50"/>
      <c r="N614" s="50"/>
      <c r="O614" s="50"/>
      <c r="P614" s="50"/>
      <c r="Q614" s="50"/>
      <c r="R614" s="50"/>
      <c r="S614" s="50"/>
      <c r="T614" s="50"/>
      <c r="U614" s="50"/>
      <c r="V614" s="50"/>
      <c r="W614" s="50"/>
      <c r="X614" s="50"/>
      <c r="Y614" s="50"/>
      <c r="Z614" s="50"/>
      <c r="AA614" s="50"/>
      <c r="AB614" s="50"/>
    </row>
    <row r="615" customFormat="false" ht="15.75" hidden="false" customHeight="false" outlineLevel="0" collapsed="false">
      <c r="A615" s="50"/>
      <c r="B615" s="50"/>
      <c r="C615" s="5"/>
      <c r="D615" s="48"/>
      <c r="E615" s="50"/>
      <c r="F615" s="5"/>
      <c r="G615" s="5"/>
      <c r="H615" s="5"/>
      <c r="I615" s="5"/>
      <c r="J615" s="5"/>
      <c r="K615" s="50"/>
      <c r="L615" s="50"/>
      <c r="M615" s="50"/>
      <c r="N615" s="50"/>
      <c r="O615" s="50"/>
      <c r="P615" s="50"/>
      <c r="Q615" s="50"/>
      <c r="R615" s="50"/>
      <c r="S615" s="50"/>
      <c r="T615" s="50"/>
      <c r="U615" s="50"/>
      <c r="V615" s="50"/>
      <c r="W615" s="50"/>
      <c r="X615" s="50"/>
      <c r="Y615" s="50"/>
      <c r="Z615" s="50"/>
      <c r="AA615" s="50"/>
      <c r="AB615" s="50"/>
    </row>
    <row r="616" customFormat="false" ht="15.75" hidden="false" customHeight="false" outlineLevel="0" collapsed="false">
      <c r="A616" s="50"/>
      <c r="B616" s="50"/>
      <c r="C616" s="5"/>
      <c r="D616" s="48"/>
      <c r="E616" s="50"/>
      <c r="F616" s="5"/>
      <c r="G616" s="5"/>
      <c r="H616" s="5"/>
      <c r="I616" s="5"/>
      <c r="J616" s="5"/>
      <c r="K616" s="50"/>
      <c r="L616" s="50"/>
      <c r="M616" s="50"/>
      <c r="N616" s="50"/>
      <c r="O616" s="50"/>
      <c r="P616" s="50"/>
      <c r="Q616" s="50"/>
      <c r="R616" s="50"/>
      <c r="S616" s="50"/>
      <c r="T616" s="50"/>
      <c r="U616" s="50"/>
      <c r="V616" s="50"/>
      <c r="W616" s="50"/>
      <c r="X616" s="50"/>
      <c r="Y616" s="50"/>
      <c r="Z616" s="50"/>
      <c r="AA616" s="50"/>
      <c r="AB616" s="50"/>
    </row>
    <row r="617" customFormat="false" ht="15.75" hidden="false" customHeight="false" outlineLevel="0" collapsed="false">
      <c r="A617" s="50"/>
      <c r="B617" s="50"/>
      <c r="C617" s="5"/>
      <c r="D617" s="48"/>
      <c r="E617" s="50"/>
      <c r="F617" s="5"/>
      <c r="G617" s="5"/>
      <c r="H617" s="5"/>
      <c r="I617" s="5"/>
      <c r="J617" s="5"/>
      <c r="K617" s="50"/>
      <c r="L617" s="50"/>
      <c r="M617" s="50"/>
      <c r="N617" s="50"/>
      <c r="O617" s="50"/>
      <c r="P617" s="50"/>
      <c r="Q617" s="50"/>
      <c r="R617" s="50"/>
      <c r="S617" s="50"/>
      <c r="T617" s="50"/>
      <c r="U617" s="50"/>
      <c r="V617" s="50"/>
      <c r="W617" s="50"/>
      <c r="X617" s="50"/>
      <c r="Y617" s="50"/>
      <c r="Z617" s="50"/>
      <c r="AA617" s="50"/>
      <c r="AB617" s="50"/>
    </row>
    <row r="618" customFormat="false" ht="15.75" hidden="false" customHeight="false" outlineLevel="0" collapsed="false">
      <c r="A618" s="50"/>
      <c r="B618" s="50"/>
      <c r="C618" s="5"/>
      <c r="D618" s="48"/>
      <c r="E618" s="50"/>
      <c r="F618" s="5"/>
      <c r="G618" s="5"/>
      <c r="H618" s="5"/>
      <c r="I618" s="5"/>
      <c r="J618" s="5"/>
      <c r="K618" s="50"/>
      <c r="L618" s="50"/>
      <c r="M618" s="50"/>
      <c r="N618" s="50"/>
      <c r="O618" s="50"/>
      <c r="P618" s="50"/>
      <c r="Q618" s="50"/>
      <c r="R618" s="50"/>
      <c r="S618" s="50"/>
      <c r="T618" s="50"/>
      <c r="U618" s="50"/>
      <c r="V618" s="50"/>
      <c r="W618" s="50"/>
      <c r="X618" s="50"/>
      <c r="Y618" s="50"/>
      <c r="Z618" s="50"/>
      <c r="AA618" s="50"/>
      <c r="AB618" s="50"/>
    </row>
    <row r="619" customFormat="false" ht="15.75" hidden="false" customHeight="false" outlineLevel="0" collapsed="false">
      <c r="A619" s="50"/>
      <c r="B619" s="50"/>
      <c r="C619" s="5"/>
      <c r="D619" s="48"/>
      <c r="E619" s="50"/>
      <c r="F619" s="5"/>
      <c r="G619" s="5"/>
      <c r="H619" s="5"/>
      <c r="I619" s="5"/>
      <c r="J619" s="5"/>
      <c r="K619" s="50"/>
      <c r="L619" s="50"/>
      <c r="M619" s="50"/>
      <c r="N619" s="50"/>
      <c r="O619" s="50"/>
      <c r="P619" s="50"/>
      <c r="Q619" s="50"/>
      <c r="R619" s="50"/>
      <c r="S619" s="50"/>
      <c r="T619" s="50"/>
      <c r="U619" s="50"/>
      <c r="V619" s="50"/>
      <c r="W619" s="50"/>
      <c r="X619" s="50"/>
      <c r="Y619" s="50"/>
      <c r="Z619" s="50"/>
      <c r="AA619" s="50"/>
      <c r="AB619" s="50"/>
    </row>
    <row r="620" customFormat="false" ht="15.75" hidden="false" customHeight="false" outlineLevel="0" collapsed="false">
      <c r="A620" s="50"/>
      <c r="B620" s="50"/>
      <c r="C620" s="5"/>
      <c r="D620" s="48"/>
      <c r="E620" s="50"/>
      <c r="F620" s="5"/>
      <c r="G620" s="5"/>
      <c r="H620" s="5"/>
      <c r="I620" s="5"/>
      <c r="J620" s="5"/>
      <c r="K620" s="50"/>
      <c r="L620" s="50"/>
      <c r="M620" s="50"/>
      <c r="N620" s="50"/>
      <c r="O620" s="50"/>
      <c r="P620" s="50"/>
      <c r="Q620" s="50"/>
      <c r="R620" s="50"/>
      <c r="S620" s="50"/>
      <c r="T620" s="50"/>
      <c r="U620" s="50"/>
      <c r="V620" s="50"/>
      <c r="W620" s="50"/>
      <c r="X620" s="50"/>
      <c r="Y620" s="50"/>
      <c r="Z620" s="50"/>
      <c r="AA620" s="50"/>
      <c r="AB620" s="50"/>
    </row>
    <row r="621" customFormat="false" ht="15.75" hidden="false" customHeight="false" outlineLevel="0" collapsed="false">
      <c r="A621" s="50"/>
      <c r="B621" s="50"/>
      <c r="C621" s="5"/>
      <c r="D621" s="48"/>
      <c r="E621" s="50"/>
      <c r="F621" s="5"/>
      <c r="G621" s="5"/>
      <c r="H621" s="5"/>
      <c r="I621" s="5"/>
      <c r="J621" s="5"/>
      <c r="K621" s="50"/>
      <c r="L621" s="50"/>
      <c r="M621" s="50"/>
      <c r="N621" s="50"/>
      <c r="O621" s="50"/>
      <c r="P621" s="50"/>
      <c r="Q621" s="50"/>
      <c r="R621" s="50"/>
      <c r="S621" s="50"/>
      <c r="T621" s="50"/>
      <c r="U621" s="50"/>
      <c r="V621" s="50"/>
      <c r="W621" s="50"/>
      <c r="X621" s="50"/>
      <c r="Y621" s="50"/>
      <c r="Z621" s="50"/>
      <c r="AA621" s="50"/>
      <c r="AB621" s="50"/>
    </row>
    <row r="622" customFormat="false" ht="15.75" hidden="false" customHeight="false" outlineLevel="0" collapsed="false">
      <c r="A622" s="50"/>
      <c r="B622" s="50"/>
      <c r="C622" s="5"/>
      <c r="D622" s="48"/>
      <c r="E622" s="50"/>
      <c r="F622" s="5"/>
      <c r="G622" s="5"/>
      <c r="H622" s="5"/>
      <c r="I622" s="5"/>
      <c r="J622" s="5"/>
      <c r="K622" s="50"/>
      <c r="L622" s="50"/>
      <c r="M622" s="50"/>
      <c r="N622" s="50"/>
      <c r="O622" s="50"/>
      <c r="P622" s="50"/>
      <c r="Q622" s="50"/>
      <c r="R622" s="50"/>
      <c r="S622" s="50"/>
      <c r="T622" s="50"/>
      <c r="U622" s="50"/>
      <c r="V622" s="50"/>
      <c r="W622" s="50"/>
      <c r="X622" s="50"/>
      <c r="Y622" s="50"/>
      <c r="Z622" s="50"/>
      <c r="AA622" s="50"/>
      <c r="AB622" s="50"/>
    </row>
    <row r="623" customFormat="false" ht="15.75" hidden="false" customHeight="false" outlineLevel="0" collapsed="false">
      <c r="A623" s="50"/>
      <c r="B623" s="50"/>
      <c r="C623" s="5"/>
      <c r="D623" s="48"/>
      <c r="E623" s="50"/>
      <c r="F623" s="5"/>
      <c r="G623" s="5"/>
      <c r="H623" s="5"/>
      <c r="I623" s="5"/>
      <c r="J623" s="5"/>
      <c r="K623" s="50"/>
      <c r="L623" s="50"/>
      <c r="M623" s="50"/>
      <c r="N623" s="50"/>
      <c r="O623" s="50"/>
      <c r="P623" s="50"/>
      <c r="Q623" s="50"/>
      <c r="R623" s="50"/>
      <c r="S623" s="50"/>
      <c r="T623" s="50"/>
      <c r="U623" s="50"/>
      <c r="V623" s="50"/>
      <c r="W623" s="50"/>
      <c r="X623" s="50"/>
      <c r="Y623" s="50"/>
      <c r="Z623" s="50"/>
      <c r="AA623" s="50"/>
      <c r="AB623" s="50"/>
    </row>
    <row r="624" customFormat="false" ht="15.75" hidden="false" customHeight="false" outlineLevel="0" collapsed="false">
      <c r="A624" s="50"/>
      <c r="B624" s="50"/>
      <c r="C624" s="5"/>
      <c r="D624" s="48"/>
      <c r="E624" s="50"/>
      <c r="F624" s="5"/>
      <c r="G624" s="5"/>
      <c r="H624" s="5"/>
      <c r="I624" s="5"/>
      <c r="J624" s="5"/>
      <c r="K624" s="50"/>
      <c r="L624" s="50"/>
      <c r="M624" s="50"/>
      <c r="N624" s="50"/>
      <c r="O624" s="50"/>
      <c r="P624" s="50"/>
      <c r="Q624" s="50"/>
      <c r="R624" s="50"/>
      <c r="S624" s="50"/>
      <c r="T624" s="50"/>
      <c r="U624" s="50"/>
      <c r="V624" s="50"/>
      <c r="W624" s="50"/>
      <c r="X624" s="50"/>
      <c r="Y624" s="50"/>
      <c r="Z624" s="50"/>
      <c r="AA624" s="50"/>
      <c r="AB624" s="50"/>
    </row>
    <row r="625" customFormat="false" ht="15.75" hidden="false" customHeight="false" outlineLevel="0" collapsed="false">
      <c r="A625" s="50"/>
      <c r="B625" s="50"/>
      <c r="C625" s="5"/>
      <c r="D625" s="48"/>
      <c r="E625" s="50"/>
      <c r="F625" s="5"/>
      <c r="G625" s="5"/>
      <c r="H625" s="5"/>
      <c r="I625" s="5"/>
      <c r="J625" s="5"/>
      <c r="K625" s="50"/>
      <c r="L625" s="50"/>
      <c r="M625" s="50"/>
      <c r="N625" s="50"/>
      <c r="O625" s="50"/>
      <c r="P625" s="50"/>
      <c r="Q625" s="50"/>
      <c r="R625" s="50"/>
      <c r="S625" s="50"/>
      <c r="T625" s="50"/>
      <c r="U625" s="50"/>
      <c r="V625" s="50"/>
      <c r="W625" s="50"/>
      <c r="X625" s="50"/>
      <c r="Y625" s="50"/>
      <c r="Z625" s="50"/>
      <c r="AA625" s="50"/>
      <c r="AB625" s="50"/>
    </row>
    <row r="626" customFormat="false" ht="15.75" hidden="false" customHeight="false" outlineLevel="0" collapsed="false">
      <c r="A626" s="50"/>
      <c r="B626" s="50"/>
      <c r="C626" s="5"/>
      <c r="D626" s="48"/>
      <c r="E626" s="50"/>
      <c r="F626" s="5"/>
      <c r="G626" s="5"/>
      <c r="H626" s="5"/>
      <c r="I626" s="5"/>
      <c r="J626" s="5"/>
      <c r="K626" s="50"/>
      <c r="L626" s="50"/>
      <c r="M626" s="50"/>
      <c r="N626" s="50"/>
      <c r="O626" s="50"/>
      <c r="P626" s="50"/>
      <c r="Q626" s="50"/>
      <c r="R626" s="50"/>
      <c r="S626" s="50"/>
      <c r="T626" s="50"/>
      <c r="U626" s="50"/>
      <c r="V626" s="50"/>
      <c r="W626" s="50"/>
      <c r="X626" s="50"/>
      <c r="Y626" s="50"/>
      <c r="Z626" s="50"/>
      <c r="AA626" s="50"/>
      <c r="AB626" s="50"/>
    </row>
    <row r="627" customFormat="false" ht="15.75" hidden="false" customHeight="false" outlineLevel="0" collapsed="false">
      <c r="A627" s="50"/>
      <c r="B627" s="50"/>
      <c r="C627" s="5"/>
      <c r="D627" s="48"/>
      <c r="E627" s="50"/>
      <c r="F627" s="5"/>
      <c r="G627" s="5"/>
      <c r="H627" s="5"/>
      <c r="I627" s="5"/>
      <c r="J627" s="5"/>
      <c r="K627" s="50"/>
      <c r="L627" s="50"/>
      <c r="M627" s="50"/>
      <c r="N627" s="50"/>
      <c r="O627" s="50"/>
      <c r="P627" s="50"/>
      <c r="Q627" s="50"/>
      <c r="R627" s="50"/>
      <c r="S627" s="50"/>
      <c r="T627" s="50"/>
      <c r="U627" s="50"/>
      <c r="V627" s="50"/>
      <c r="W627" s="50"/>
      <c r="X627" s="50"/>
      <c r="Y627" s="50"/>
      <c r="Z627" s="50"/>
      <c r="AA627" s="50"/>
      <c r="AB627" s="50"/>
    </row>
    <row r="628" customFormat="false" ht="15.75" hidden="false" customHeight="false" outlineLevel="0" collapsed="false">
      <c r="A628" s="50"/>
      <c r="B628" s="50"/>
      <c r="C628" s="5"/>
      <c r="D628" s="48"/>
      <c r="E628" s="50"/>
      <c r="F628" s="5"/>
      <c r="G628" s="5"/>
      <c r="H628" s="5"/>
      <c r="I628" s="5"/>
      <c r="J628" s="5"/>
      <c r="K628" s="50"/>
      <c r="L628" s="50"/>
      <c r="M628" s="50"/>
      <c r="N628" s="50"/>
      <c r="O628" s="50"/>
      <c r="P628" s="50"/>
      <c r="Q628" s="50"/>
      <c r="R628" s="50"/>
      <c r="S628" s="50"/>
      <c r="T628" s="50"/>
      <c r="U628" s="50"/>
      <c r="V628" s="50"/>
      <c r="W628" s="50"/>
      <c r="X628" s="50"/>
      <c r="Y628" s="50"/>
      <c r="Z628" s="50"/>
      <c r="AA628" s="50"/>
      <c r="AB628" s="50"/>
    </row>
    <row r="629" customFormat="false" ht="15.75" hidden="false" customHeight="false" outlineLevel="0" collapsed="false">
      <c r="A629" s="50"/>
      <c r="B629" s="50"/>
      <c r="C629" s="5"/>
      <c r="D629" s="48"/>
      <c r="E629" s="50"/>
      <c r="F629" s="5"/>
      <c r="G629" s="5"/>
      <c r="H629" s="5"/>
      <c r="I629" s="5"/>
      <c r="J629" s="5"/>
      <c r="K629" s="50"/>
      <c r="L629" s="50"/>
      <c r="M629" s="50"/>
      <c r="N629" s="50"/>
      <c r="O629" s="50"/>
      <c r="P629" s="50"/>
      <c r="Q629" s="50"/>
      <c r="R629" s="50"/>
      <c r="S629" s="50"/>
      <c r="T629" s="50"/>
      <c r="U629" s="50"/>
      <c r="V629" s="50"/>
      <c r="W629" s="50"/>
      <c r="X629" s="50"/>
      <c r="Y629" s="50"/>
      <c r="Z629" s="50"/>
      <c r="AA629" s="50"/>
      <c r="AB629" s="50"/>
    </row>
    <row r="630" customFormat="false" ht="15.75" hidden="false" customHeight="false" outlineLevel="0" collapsed="false">
      <c r="A630" s="50"/>
      <c r="B630" s="50"/>
      <c r="C630" s="5"/>
      <c r="D630" s="48"/>
      <c r="E630" s="50"/>
      <c r="F630" s="5"/>
      <c r="G630" s="5"/>
      <c r="H630" s="5"/>
      <c r="I630" s="5"/>
      <c r="J630" s="5"/>
      <c r="K630" s="50"/>
      <c r="L630" s="50"/>
      <c r="M630" s="50"/>
      <c r="N630" s="50"/>
      <c r="O630" s="50"/>
      <c r="P630" s="50"/>
      <c r="Q630" s="50"/>
      <c r="R630" s="50"/>
      <c r="S630" s="50"/>
      <c r="T630" s="50"/>
      <c r="U630" s="50"/>
      <c r="V630" s="50"/>
      <c r="W630" s="50"/>
      <c r="X630" s="50"/>
      <c r="Y630" s="50"/>
      <c r="Z630" s="50"/>
      <c r="AA630" s="50"/>
      <c r="AB630" s="50"/>
    </row>
    <row r="631" customFormat="false" ht="15.75" hidden="false" customHeight="false" outlineLevel="0" collapsed="false">
      <c r="A631" s="50"/>
      <c r="B631" s="50"/>
      <c r="C631" s="5"/>
      <c r="D631" s="48"/>
      <c r="E631" s="50"/>
      <c r="F631" s="5"/>
      <c r="G631" s="5"/>
      <c r="H631" s="5"/>
      <c r="I631" s="5"/>
      <c r="J631" s="5"/>
      <c r="K631" s="50"/>
      <c r="L631" s="50"/>
      <c r="M631" s="50"/>
      <c r="N631" s="50"/>
      <c r="O631" s="50"/>
      <c r="P631" s="50"/>
      <c r="Q631" s="50"/>
      <c r="R631" s="50"/>
      <c r="S631" s="50"/>
      <c r="T631" s="50"/>
      <c r="U631" s="50"/>
      <c r="V631" s="50"/>
      <c r="W631" s="50"/>
      <c r="X631" s="50"/>
      <c r="Y631" s="50"/>
      <c r="Z631" s="50"/>
      <c r="AA631" s="50"/>
      <c r="AB631" s="50"/>
    </row>
    <row r="632" customFormat="false" ht="15.75" hidden="false" customHeight="false" outlineLevel="0" collapsed="false">
      <c r="A632" s="50"/>
      <c r="B632" s="50"/>
      <c r="C632" s="5"/>
      <c r="D632" s="48"/>
      <c r="E632" s="50"/>
      <c r="F632" s="5"/>
      <c r="G632" s="5"/>
      <c r="H632" s="5"/>
      <c r="I632" s="5"/>
      <c r="J632" s="5"/>
      <c r="K632" s="50"/>
      <c r="L632" s="50"/>
      <c r="M632" s="50"/>
      <c r="N632" s="50"/>
      <c r="O632" s="50"/>
      <c r="P632" s="50"/>
      <c r="Q632" s="50"/>
      <c r="R632" s="50"/>
      <c r="S632" s="50"/>
      <c r="T632" s="50"/>
      <c r="U632" s="50"/>
      <c r="V632" s="50"/>
      <c r="W632" s="50"/>
      <c r="X632" s="50"/>
      <c r="Y632" s="50"/>
      <c r="Z632" s="50"/>
      <c r="AA632" s="50"/>
      <c r="AB632" s="50"/>
    </row>
    <row r="633" customFormat="false" ht="15.75" hidden="false" customHeight="false" outlineLevel="0" collapsed="false">
      <c r="A633" s="50"/>
      <c r="B633" s="50"/>
      <c r="C633" s="5"/>
      <c r="D633" s="48"/>
      <c r="E633" s="50"/>
      <c r="F633" s="5"/>
      <c r="G633" s="5"/>
      <c r="H633" s="5"/>
      <c r="I633" s="5"/>
      <c r="J633" s="5"/>
      <c r="K633" s="50"/>
      <c r="L633" s="50"/>
      <c r="M633" s="50"/>
      <c r="N633" s="50"/>
      <c r="O633" s="50"/>
      <c r="P633" s="50"/>
      <c r="Q633" s="50"/>
      <c r="R633" s="50"/>
      <c r="S633" s="50"/>
      <c r="T633" s="50"/>
      <c r="U633" s="50"/>
      <c r="V633" s="50"/>
      <c r="W633" s="50"/>
      <c r="X633" s="50"/>
      <c r="Y633" s="50"/>
      <c r="Z633" s="50"/>
      <c r="AA633" s="50"/>
      <c r="AB633" s="50"/>
    </row>
    <row r="634" customFormat="false" ht="15.75" hidden="false" customHeight="false" outlineLevel="0" collapsed="false">
      <c r="A634" s="50"/>
      <c r="B634" s="50"/>
      <c r="C634" s="5"/>
      <c r="D634" s="48"/>
      <c r="E634" s="50"/>
      <c r="F634" s="5"/>
      <c r="G634" s="5"/>
      <c r="H634" s="5"/>
      <c r="I634" s="5"/>
      <c r="J634" s="5"/>
      <c r="K634" s="50"/>
      <c r="L634" s="50"/>
      <c r="M634" s="50"/>
      <c r="N634" s="50"/>
      <c r="O634" s="50"/>
      <c r="P634" s="50"/>
      <c r="Q634" s="50"/>
      <c r="R634" s="50"/>
      <c r="S634" s="50"/>
      <c r="T634" s="50"/>
      <c r="U634" s="50"/>
      <c r="V634" s="50"/>
      <c r="W634" s="50"/>
      <c r="X634" s="50"/>
      <c r="Y634" s="50"/>
      <c r="Z634" s="50"/>
      <c r="AA634" s="50"/>
      <c r="AB634" s="50"/>
    </row>
    <row r="635" customFormat="false" ht="15.75" hidden="false" customHeight="false" outlineLevel="0" collapsed="false">
      <c r="A635" s="50"/>
      <c r="B635" s="50"/>
      <c r="C635" s="5"/>
      <c r="D635" s="48"/>
      <c r="E635" s="50"/>
      <c r="F635" s="5"/>
      <c r="G635" s="5"/>
      <c r="H635" s="5"/>
      <c r="I635" s="5"/>
      <c r="J635" s="5"/>
      <c r="K635" s="50"/>
      <c r="L635" s="50"/>
      <c r="M635" s="50"/>
      <c r="N635" s="50"/>
      <c r="O635" s="50"/>
      <c r="P635" s="50"/>
      <c r="Q635" s="50"/>
      <c r="R635" s="50"/>
      <c r="S635" s="50"/>
      <c r="T635" s="50"/>
      <c r="U635" s="50"/>
      <c r="V635" s="50"/>
      <c r="W635" s="50"/>
      <c r="X635" s="50"/>
      <c r="Y635" s="50"/>
      <c r="Z635" s="50"/>
      <c r="AA635" s="50"/>
      <c r="AB635" s="50"/>
    </row>
    <row r="636" customFormat="false" ht="15.75" hidden="false" customHeight="false" outlineLevel="0" collapsed="false">
      <c r="A636" s="50"/>
      <c r="B636" s="50"/>
      <c r="C636" s="5"/>
      <c r="D636" s="48"/>
      <c r="E636" s="50"/>
      <c r="F636" s="5"/>
      <c r="G636" s="5"/>
      <c r="H636" s="5"/>
      <c r="I636" s="5"/>
      <c r="J636" s="5"/>
      <c r="K636" s="50"/>
      <c r="L636" s="50"/>
      <c r="M636" s="50"/>
      <c r="N636" s="50"/>
      <c r="O636" s="50"/>
      <c r="P636" s="50"/>
      <c r="Q636" s="50"/>
      <c r="R636" s="50"/>
      <c r="S636" s="50"/>
      <c r="T636" s="50"/>
      <c r="U636" s="50"/>
      <c r="V636" s="50"/>
      <c r="W636" s="50"/>
      <c r="X636" s="50"/>
      <c r="Y636" s="50"/>
      <c r="Z636" s="50"/>
      <c r="AA636" s="50"/>
      <c r="AB636" s="50"/>
    </row>
    <row r="637" customFormat="false" ht="15.75" hidden="false" customHeight="false" outlineLevel="0" collapsed="false">
      <c r="A637" s="50"/>
      <c r="B637" s="50"/>
      <c r="C637" s="5"/>
      <c r="D637" s="48"/>
      <c r="E637" s="50"/>
      <c r="F637" s="5"/>
      <c r="G637" s="5"/>
      <c r="H637" s="5"/>
      <c r="I637" s="5"/>
      <c r="J637" s="5"/>
      <c r="K637" s="50"/>
      <c r="L637" s="50"/>
      <c r="M637" s="50"/>
      <c r="N637" s="50"/>
      <c r="O637" s="50"/>
      <c r="P637" s="50"/>
      <c r="Q637" s="50"/>
      <c r="R637" s="50"/>
      <c r="S637" s="50"/>
      <c r="T637" s="50"/>
      <c r="U637" s="50"/>
      <c r="V637" s="50"/>
      <c r="W637" s="50"/>
      <c r="X637" s="50"/>
      <c r="Y637" s="50"/>
      <c r="Z637" s="50"/>
      <c r="AA637" s="50"/>
      <c r="AB637" s="50"/>
    </row>
    <row r="638" customFormat="false" ht="15.75" hidden="false" customHeight="false" outlineLevel="0" collapsed="false">
      <c r="A638" s="50"/>
      <c r="B638" s="50"/>
      <c r="C638" s="5"/>
      <c r="D638" s="48"/>
      <c r="E638" s="50"/>
      <c r="F638" s="5"/>
      <c r="G638" s="5"/>
      <c r="H638" s="5"/>
      <c r="I638" s="5"/>
      <c r="J638" s="5"/>
      <c r="K638" s="50"/>
      <c r="L638" s="50"/>
      <c r="M638" s="50"/>
      <c r="N638" s="50"/>
      <c r="O638" s="50"/>
      <c r="P638" s="50"/>
      <c r="Q638" s="50"/>
      <c r="R638" s="50"/>
      <c r="S638" s="50"/>
      <c r="T638" s="50"/>
      <c r="U638" s="50"/>
      <c r="V638" s="50"/>
      <c r="W638" s="50"/>
      <c r="X638" s="50"/>
      <c r="Y638" s="50"/>
      <c r="Z638" s="50"/>
      <c r="AA638" s="50"/>
      <c r="AB638" s="50"/>
    </row>
    <row r="639" customFormat="false" ht="15.75" hidden="false" customHeight="false" outlineLevel="0" collapsed="false">
      <c r="A639" s="50"/>
      <c r="B639" s="50"/>
      <c r="C639" s="5"/>
      <c r="D639" s="48"/>
      <c r="E639" s="50"/>
      <c r="F639" s="5"/>
      <c r="G639" s="5"/>
      <c r="H639" s="5"/>
      <c r="I639" s="5"/>
      <c r="J639" s="5"/>
      <c r="K639" s="50"/>
      <c r="L639" s="50"/>
      <c r="M639" s="50"/>
      <c r="N639" s="50"/>
      <c r="O639" s="50"/>
      <c r="P639" s="50"/>
      <c r="Q639" s="50"/>
      <c r="R639" s="50"/>
      <c r="S639" s="50"/>
      <c r="T639" s="50"/>
      <c r="U639" s="50"/>
      <c r="V639" s="50"/>
      <c r="W639" s="50"/>
      <c r="X639" s="50"/>
      <c r="Y639" s="50"/>
      <c r="Z639" s="50"/>
      <c r="AA639" s="50"/>
      <c r="AB639" s="50"/>
    </row>
    <row r="640" customFormat="false" ht="15.75" hidden="false" customHeight="false" outlineLevel="0" collapsed="false">
      <c r="A640" s="50"/>
      <c r="B640" s="50"/>
      <c r="C640" s="5"/>
      <c r="D640" s="48"/>
      <c r="E640" s="50"/>
      <c r="F640" s="5"/>
      <c r="G640" s="5"/>
      <c r="H640" s="5"/>
      <c r="I640" s="5"/>
      <c r="J640" s="5"/>
      <c r="K640" s="50"/>
      <c r="L640" s="50"/>
      <c r="M640" s="50"/>
      <c r="N640" s="50"/>
      <c r="O640" s="50"/>
      <c r="P640" s="50"/>
      <c r="Q640" s="50"/>
      <c r="R640" s="50"/>
      <c r="S640" s="50"/>
      <c r="T640" s="50"/>
      <c r="U640" s="50"/>
      <c r="V640" s="50"/>
      <c r="W640" s="50"/>
      <c r="X640" s="50"/>
      <c r="Y640" s="50"/>
      <c r="Z640" s="50"/>
      <c r="AA640" s="50"/>
      <c r="AB640" s="50"/>
    </row>
    <row r="641" customFormat="false" ht="15.75" hidden="false" customHeight="false" outlineLevel="0" collapsed="false">
      <c r="A641" s="50"/>
      <c r="B641" s="50"/>
      <c r="C641" s="5"/>
      <c r="D641" s="48"/>
      <c r="E641" s="50"/>
      <c r="F641" s="5"/>
      <c r="G641" s="5"/>
      <c r="H641" s="5"/>
      <c r="I641" s="5"/>
      <c r="J641" s="5"/>
      <c r="K641" s="50"/>
      <c r="L641" s="50"/>
      <c r="M641" s="50"/>
      <c r="N641" s="50"/>
      <c r="O641" s="50"/>
      <c r="P641" s="50"/>
      <c r="Q641" s="50"/>
      <c r="R641" s="50"/>
      <c r="S641" s="50"/>
      <c r="T641" s="50"/>
      <c r="U641" s="50"/>
      <c r="V641" s="50"/>
      <c r="W641" s="50"/>
      <c r="X641" s="50"/>
      <c r="Y641" s="50"/>
      <c r="Z641" s="50"/>
      <c r="AA641" s="50"/>
      <c r="AB641" s="50"/>
    </row>
    <row r="642" customFormat="false" ht="15.75" hidden="false" customHeight="false" outlineLevel="0" collapsed="false">
      <c r="A642" s="50"/>
      <c r="B642" s="50"/>
      <c r="C642" s="5"/>
      <c r="D642" s="48"/>
      <c r="E642" s="50"/>
      <c r="F642" s="5"/>
      <c r="G642" s="5"/>
      <c r="H642" s="5"/>
      <c r="I642" s="5"/>
      <c r="J642" s="5"/>
      <c r="K642" s="50"/>
      <c r="L642" s="50"/>
      <c r="M642" s="50"/>
      <c r="N642" s="50"/>
      <c r="O642" s="50"/>
      <c r="P642" s="50"/>
      <c r="Q642" s="50"/>
      <c r="R642" s="50"/>
      <c r="S642" s="50"/>
      <c r="T642" s="50"/>
      <c r="U642" s="50"/>
      <c r="V642" s="50"/>
      <c r="W642" s="50"/>
      <c r="X642" s="50"/>
      <c r="Y642" s="50"/>
      <c r="Z642" s="50"/>
      <c r="AA642" s="50"/>
      <c r="AB642" s="50"/>
    </row>
    <row r="643" customFormat="false" ht="15.75" hidden="false" customHeight="false" outlineLevel="0" collapsed="false">
      <c r="A643" s="50"/>
      <c r="B643" s="50"/>
      <c r="C643" s="5"/>
      <c r="D643" s="48"/>
      <c r="E643" s="50"/>
      <c r="F643" s="5"/>
      <c r="G643" s="5"/>
      <c r="H643" s="5"/>
      <c r="I643" s="5"/>
      <c r="J643" s="5"/>
      <c r="K643" s="50"/>
      <c r="L643" s="50"/>
      <c r="M643" s="50"/>
      <c r="N643" s="50"/>
      <c r="O643" s="50"/>
      <c r="P643" s="50"/>
      <c r="Q643" s="50"/>
      <c r="R643" s="50"/>
      <c r="S643" s="50"/>
      <c r="T643" s="50"/>
      <c r="U643" s="50"/>
      <c r="V643" s="50"/>
      <c r="W643" s="50"/>
      <c r="X643" s="50"/>
      <c r="Y643" s="50"/>
      <c r="Z643" s="50"/>
      <c r="AA643" s="50"/>
      <c r="AB643" s="50"/>
    </row>
    <row r="644" customFormat="false" ht="15.75" hidden="false" customHeight="false" outlineLevel="0" collapsed="false">
      <c r="A644" s="50"/>
      <c r="B644" s="50"/>
      <c r="C644" s="5"/>
      <c r="D644" s="48"/>
      <c r="E644" s="50"/>
      <c r="F644" s="5"/>
      <c r="G644" s="5"/>
      <c r="H644" s="5"/>
      <c r="I644" s="5"/>
      <c r="J644" s="5"/>
      <c r="K644" s="50"/>
      <c r="L644" s="50"/>
      <c r="M644" s="50"/>
      <c r="N644" s="50"/>
      <c r="O644" s="50"/>
      <c r="P644" s="50"/>
      <c r="Q644" s="50"/>
      <c r="R644" s="50"/>
      <c r="S644" s="50"/>
      <c r="T644" s="50"/>
      <c r="U644" s="50"/>
      <c r="V644" s="50"/>
      <c r="W644" s="50"/>
      <c r="X644" s="50"/>
      <c r="Y644" s="50"/>
      <c r="Z644" s="50"/>
      <c r="AA644" s="50"/>
      <c r="AB644" s="50"/>
    </row>
    <row r="645" customFormat="false" ht="15.75" hidden="false" customHeight="false" outlineLevel="0" collapsed="false">
      <c r="A645" s="50"/>
      <c r="B645" s="50"/>
      <c r="C645" s="5"/>
      <c r="D645" s="48"/>
      <c r="E645" s="50"/>
      <c r="F645" s="5"/>
      <c r="G645" s="5"/>
      <c r="H645" s="5"/>
      <c r="I645" s="5"/>
      <c r="J645" s="5"/>
      <c r="K645" s="50"/>
      <c r="L645" s="50"/>
      <c r="M645" s="50"/>
      <c r="N645" s="50"/>
      <c r="O645" s="50"/>
      <c r="P645" s="50"/>
      <c r="Q645" s="50"/>
      <c r="R645" s="50"/>
      <c r="S645" s="50"/>
      <c r="T645" s="50"/>
      <c r="U645" s="50"/>
      <c r="V645" s="50"/>
      <c r="W645" s="50"/>
      <c r="X645" s="50"/>
      <c r="Y645" s="50"/>
      <c r="Z645" s="50"/>
      <c r="AA645" s="50"/>
      <c r="AB645" s="50"/>
    </row>
    <row r="646" customFormat="false" ht="15.75" hidden="false" customHeight="false" outlineLevel="0" collapsed="false">
      <c r="A646" s="50"/>
      <c r="B646" s="50"/>
      <c r="C646" s="5"/>
      <c r="D646" s="48"/>
      <c r="E646" s="50"/>
      <c r="F646" s="5"/>
      <c r="G646" s="5"/>
      <c r="H646" s="5"/>
      <c r="I646" s="5"/>
      <c r="J646" s="5"/>
      <c r="K646" s="50"/>
      <c r="L646" s="50"/>
      <c r="M646" s="50"/>
      <c r="N646" s="50"/>
      <c r="O646" s="50"/>
      <c r="P646" s="50"/>
      <c r="Q646" s="50"/>
      <c r="R646" s="50"/>
      <c r="S646" s="50"/>
      <c r="T646" s="50"/>
      <c r="U646" s="50"/>
      <c r="V646" s="50"/>
      <c r="W646" s="50"/>
      <c r="X646" s="50"/>
      <c r="Y646" s="50"/>
      <c r="Z646" s="50"/>
      <c r="AA646" s="50"/>
      <c r="AB646" s="50"/>
    </row>
    <row r="647" customFormat="false" ht="15.75" hidden="false" customHeight="false" outlineLevel="0" collapsed="false">
      <c r="A647" s="50"/>
      <c r="B647" s="50"/>
      <c r="C647" s="5"/>
      <c r="D647" s="48"/>
      <c r="E647" s="50"/>
      <c r="F647" s="5"/>
      <c r="G647" s="5"/>
      <c r="H647" s="5"/>
      <c r="I647" s="5"/>
      <c r="J647" s="5"/>
      <c r="K647" s="50"/>
      <c r="L647" s="50"/>
      <c r="M647" s="50"/>
      <c r="N647" s="50"/>
      <c r="O647" s="50"/>
      <c r="P647" s="50"/>
      <c r="Q647" s="50"/>
      <c r="R647" s="50"/>
      <c r="S647" s="50"/>
      <c r="T647" s="50"/>
      <c r="U647" s="50"/>
      <c r="V647" s="50"/>
      <c r="W647" s="50"/>
      <c r="X647" s="50"/>
      <c r="Y647" s="50"/>
      <c r="Z647" s="50"/>
      <c r="AA647" s="50"/>
      <c r="AB647" s="50"/>
    </row>
    <row r="648" customFormat="false" ht="15.75" hidden="false" customHeight="false" outlineLevel="0" collapsed="false">
      <c r="A648" s="50"/>
      <c r="B648" s="50"/>
      <c r="C648" s="5"/>
      <c r="D648" s="48"/>
      <c r="E648" s="50"/>
      <c r="F648" s="5"/>
      <c r="G648" s="5"/>
      <c r="H648" s="5"/>
      <c r="I648" s="5"/>
      <c r="J648" s="5"/>
      <c r="K648" s="50"/>
      <c r="L648" s="50"/>
      <c r="M648" s="50"/>
      <c r="N648" s="50"/>
      <c r="O648" s="50"/>
      <c r="P648" s="50"/>
      <c r="Q648" s="50"/>
      <c r="R648" s="50"/>
      <c r="S648" s="50"/>
      <c r="T648" s="50"/>
      <c r="U648" s="50"/>
      <c r="V648" s="50"/>
      <c r="W648" s="50"/>
      <c r="X648" s="50"/>
      <c r="Y648" s="50"/>
      <c r="Z648" s="50"/>
      <c r="AA648" s="50"/>
      <c r="AB648" s="50"/>
    </row>
    <row r="649" customFormat="false" ht="15.75" hidden="false" customHeight="false" outlineLevel="0" collapsed="false">
      <c r="A649" s="50"/>
      <c r="B649" s="50"/>
      <c r="C649" s="5"/>
      <c r="D649" s="48"/>
      <c r="E649" s="50"/>
      <c r="F649" s="5"/>
      <c r="G649" s="5"/>
      <c r="H649" s="5"/>
      <c r="I649" s="5"/>
      <c r="J649" s="5"/>
      <c r="K649" s="50"/>
      <c r="L649" s="50"/>
      <c r="M649" s="50"/>
      <c r="N649" s="50"/>
      <c r="O649" s="50"/>
      <c r="P649" s="50"/>
      <c r="Q649" s="50"/>
      <c r="R649" s="50"/>
      <c r="S649" s="50"/>
      <c r="T649" s="50"/>
      <c r="U649" s="50"/>
      <c r="V649" s="50"/>
      <c r="W649" s="50"/>
      <c r="X649" s="50"/>
      <c r="Y649" s="50"/>
      <c r="Z649" s="50"/>
      <c r="AA649" s="50"/>
      <c r="AB649" s="50"/>
    </row>
    <row r="650" customFormat="false" ht="15.75" hidden="false" customHeight="false" outlineLevel="0" collapsed="false">
      <c r="A650" s="50"/>
      <c r="B650" s="50"/>
      <c r="C650" s="5"/>
      <c r="D650" s="48"/>
      <c r="E650" s="50"/>
      <c r="F650" s="5"/>
      <c r="G650" s="5"/>
      <c r="H650" s="5"/>
      <c r="I650" s="5"/>
      <c r="J650" s="5"/>
      <c r="K650" s="50"/>
      <c r="L650" s="50"/>
      <c r="M650" s="50"/>
      <c r="N650" s="50"/>
      <c r="O650" s="50"/>
      <c r="P650" s="50"/>
      <c r="Q650" s="50"/>
      <c r="R650" s="50"/>
      <c r="S650" s="50"/>
      <c r="T650" s="50"/>
      <c r="U650" s="50"/>
      <c r="V650" s="50"/>
      <c r="W650" s="50"/>
      <c r="X650" s="50"/>
      <c r="Y650" s="50"/>
      <c r="Z650" s="50"/>
      <c r="AA650" s="50"/>
      <c r="AB650" s="50"/>
    </row>
    <row r="651" customFormat="false" ht="15.75" hidden="false" customHeight="false" outlineLevel="0" collapsed="false">
      <c r="A651" s="50"/>
      <c r="B651" s="50"/>
      <c r="C651" s="5"/>
      <c r="D651" s="48"/>
      <c r="E651" s="50"/>
      <c r="F651" s="5"/>
      <c r="G651" s="5"/>
      <c r="H651" s="5"/>
      <c r="I651" s="5"/>
      <c r="J651" s="5"/>
      <c r="K651" s="50"/>
      <c r="L651" s="50"/>
      <c r="M651" s="50"/>
      <c r="N651" s="50"/>
      <c r="O651" s="50"/>
      <c r="P651" s="50"/>
      <c r="Q651" s="50"/>
      <c r="R651" s="50"/>
      <c r="S651" s="50"/>
      <c r="T651" s="50"/>
      <c r="U651" s="50"/>
      <c r="V651" s="50"/>
      <c r="W651" s="50"/>
      <c r="X651" s="50"/>
      <c r="Y651" s="50"/>
      <c r="Z651" s="50"/>
      <c r="AA651" s="50"/>
      <c r="AB651" s="50"/>
    </row>
    <row r="652" customFormat="false" ht="15.75" hidden="false" customHeight="false" outlineLevel="0" collapsed="false">
      <c r="A652" s="50"/>
      <c r="B652" s="50"/>
      <c r="C652" s="5"/>
      <c r="D652" s="48"/>
      <c r="E652" s="50"/>
      <c r="F652" s="5"/>
      <c r="G652" s="5"/>
      <c r="H652" s="5"/>
      <c r="I652" s="5"/>
      <c r="J652" s="5"/>
      <c r="K652" s="50"/>
      <c r="L652" s="50"/>
      <c r="M652" s="50"/>
      <c r="N652" s="50"/>
      <c r="O652" s="50"/>
      <c r="P652" s="50"/>
      <c r="Q652" s="50"/>
      <c r="R652" s="50"/>
      <c r="S652" s="50"/>
      <c r="T652" s="50"/>
      <c r="U652" s="50"/>
      <c r="V652" s="50"/>
      <c r="W652" s="50"/>
      <c r="X652" s="50"/>
      <c r="Y652" s="50"/>
      <c r="Z652" s="50"/>
      <c r="AA652" s="50"/>
      <c r="AB652" s="50"/>
    </row>
    <row r="653" customFormat="false" ht="15.75" hidden="false" customHeight="false" outlineLevel="0" collapsed="false">
      <c r="A653" s="50"/>
      <c r="B653" s="50"/>
      <c r="C653" s="5"/>
      <c r="D653" s="48"/>
      <c r="E653" s="50"/>
      <c r="F653" s="5"/>
      <c r="G653" s="5"/>
      <c r="H653" s="5"/>
      <c r="I653" s="5"/>
      <c r="J653" s="5"/>
      <c r="K653" s="50"/>
      <c r="L653" s="50"/>
      <c r="M653" s="50"/>
      <c r="N653" s="50"/>
      <c r="O653" s="50"/>
      <c r="P653" s="50"/>
      <c r="Q653" s="50"/>
      <c r="R653" s="50"/>
      <c r="S653" s="50"/>
      <c r="T653" s="50"/>
      <c r="U653" s="50"/>
      <c r="V653" s="50"/>
      <c r="W653" s="50"/>
      <c r="X653" s="50"/>
      <c r="Y653" s="50"/>
      <c r="Z653" s="50"/>
      <c r="AA653" s="50"/>
      <c r="AB653" s="50"/>
    </row>
    <row r="654" customFormat="false" ht="15.75" hidden="false" customHeight="false" outlineLevel="0" collapsed="false">
      <c r="A654" s="50"/>
      <c r="B654" s="50"/>
      <c r="C654" s="5"/>
      <c r="D654" s="48"/>
      <c r="E654" s="50"/>
      <c r="F654" s="5"/>
      <c r="G654" s="5"/>
      <c r="H654" s="5"/>
      <c r="I654" s="5"/>
      <c r="J654" s="5"/>
      <c r="K654" s="50"/>
      <c r="L654" s="50"/>
      <c r="M654" s="50"/>
      <c r="N654" s="50"/>
      <c r="O654" s="50"/>
      <c r="P654" s="50"/>
      <c r="Q654" s="50"/>
      <c r="R654" s="50"/>
      <c r="S654" s="50"/>
      <c r="T654" s="50"/>
      <c r="U654" s="50"/>
      <c r="V654" s="50"/>
      <c r="W654" s="50"/>
      <c r="X654" s="50"/>
      <c r="Y654" s="50"/>
      <c r="Z654" s="50"/>
      <c r="AA654" s="50"/>
      <c r="AB654" s="50"/>
    </row>
    <row r="655" customFormat="false" ht="15.75" hidden="false" customHeight="false" outlineLevel="0" collapsed="false">
      <c r="A655" s="50"/>
      <c r="B655" s="50"/>
      <c r="C655" s="5"/>
      <c r="D655" s="48"/>
      <c r="E655" s="50"/>
      <c r="F655" s="5"/>
      <c r="G655" s="5"/>
      <c r="H655" s="5"/>
      <c r="I655" s="5"/>
      <c r="J655" s="5"/>
      <c r="K655" s="50"/>
      <c r="L655" s="50"/>
      <c r="M655" s="50"/>
      <c r="N655" s="50"/>
      <c r="O655" s="50"/>
      <c r="P655" s="50"/>
      <c r="Q655" s="50"/>
      <c r="R655" s="50"/>
      <c r="S655" s="50"/>
      <c r="T655" s="50"/>
      <c r="U655" s="50"/>
      <c r="V655" s="50"/>
      <c r="W655" s="50"/>
      <c r="X655" s="50"/>
      <c r="Y655" s="50"/>
      <c r="Z655" s="50"/>
      <c r="AA655" s="50"/>
      <c r="AB655" s="50"/>
    </row>
    <row r="656" customFormat="false" ht="15.75" hidden="false" customHeight="false" outlineLevel="0" collapsed="false">
      <c r="A656" s="50"/>
      <c r="B656" s="50"/>
      <c r="C656" s="5"/>
      <c r="D656" s="48"/>
      <c r="E656" s="50"/>
      <c r="F656" s="5"/>
      <c r="G656" s="5"/>
      <c r="H656" s="5"/>
      <c r="I656" s="5"/>
      <c r="J656" s="5"/>
      <c r="K656" s="50"/>
      <c r="L656" s="50"/>
      <c r="M656" s="50"/>
      <c r="N656" s="50"/>
      <c r="O656" s="50"/>
      <c r="P656" s="50"/>
      <c r="Q656" s="50"/>
      <c r="R656" s="50"/>
      <c r="S656" s="50"/>
      <c r="T656" s="50"/>
      <c r="U656" s="50"/>
      <c r="V656" s="50"/>
      <c r="W656" s="50"/>
      <c r="X656" s="50"/>
      <c r="Y656" s="50"/>
      <c r="Z656" s="50"/>
      <c r="AA656" s="50"/>
      <c r="AB656" s="50"/>
    </row>
    <row r="657" customFormat="false" ht="15.75" hidden="false" customHeight="false" outlineLevel="0" collapsed="false">
      <c r="A657" s="50"/>
      <c r="B657" s="50"/>
      <c r="C657" s="5"/>
      <c r="D657" s="48"/>
      <c r="E657" s="50"/>
      <c r="F657" s="5"/>
      <c r="G657" s="5"/>
      <c r="H657" s="5"/>
      <c r="I657" s="5"/>
      <c r="J657" s="5"/>
      <c r="K657" s="50"/>
      <c r="L657" s="50"/>
      <c r="M657" s="50"/>
      <c r="N657" s="50"/>
      <c r="O657" s="50"/>
      <c r="P657" s="50"/>
      <c r="Q657" s="50"/>
      <c r="R657" s="50"/>
      <c r="S657" s="50"/>
      <c r="T657" s="50"/>
      <c r="U657" s="50"/>
      <c r="V657" s="50"/>
      <c r="W657" s="50"/>
      <c r="X657" s="50"/>
      <c r="Y657" s="50"/>
      <c r="Z657" s="50"/>
      <c r="AA657" s="50"/>
      <c r="AB657" s="50"/>
    </row>
    <row r="658" customFormat="false" ht="15.75" hidden="false" customHeight="false" outlineLevel="0" collapsed="false">
      <c r="A658" s="50"/>
      <c r="B658" s="50"/>
      <c r="C658" s="5"/>
      <c r="D658" s="48"/>
      <c r="E658" s="50"/>
      <c r="F658" s="5"/>
      <c r="G658" s="5"/>
      <c r="H658" s="5"/>
      <c r="I658" s="5"/>
      <c r="J658" s="5"/>
      <c r="K658" s="50"/>
      <c r="L658" s="50"/>
      <c r="M658" s="50"/>
      <c r="N658" s="50"/>
      <c r="O658" s="50"/>
      <c r="P658" s="50"/>
      <c r="Q658" s="50"/>
      <c r="R658" s="50"/>
      <c r="S658" s="50"/>
      <c r="T658" s="50"/>
      <c r="U658" s="50"/>
      <c r="V658" s="50"/>
      <c r="W658" s="50"/>
      <c r="X658" s="50"/>
      <c r="Y658" s="50"/>
      <c r="Z658" s="50"/>
      <c r="AA658" s="50"/>
      <c r="AB658" s="50"/>
    </row>
    <row r="659" customFormat="false" ht="15.75" hidden="false" customHeight="false" outlineLevel="0" collapsed="false">
      <c r="A659" s="50"/>
      <c r="B659" s="50"/>
      <c r="C659" s="5"/>
      <c r="D659" s="48"/>
      <c r="E659" s="50"/>
      <c r="F659" s="5"/>
      <c r="G659" s="5"/>
      <c r="H659" s="5"/>
      <c r="I659" s="5"/>
      <c r="J659" s="5"/>
      <c r="K659" s="50"/>
      <c r="L659" s="50"/>
      <c r="M659" s="50"/>
      <c r="N659" s="50"/>
      <c r="O659" s="50"/>
      <c r="P659" s="50"/>
      <c r="Q659" s="50"/>
      <c r="R659" s="50"/>
      <c r="S659" s="50"/>
      <c r="T659" s="50"/>
      <c r="U659" s="50"/>
      <c r="V659" s="50"/>
      <c r="W659" s="50"/>
      <c r="X659" s="50"/>
      <c r="Y659" s="50"/>
      <c r="Z659" s="50"/>
      <c r="AA659" s="50"/>
      <c r="AB659" s="50"/>
    </row>
    <row r="660" customFormat="false" ht="15.75" hidden="false" customHeight="false" outlineLevel="0" collapsed="false">
      <c r="A660" s="50"/>
      <c r="B660" s="50"/>
      <c r="C660" s="5"/>
      <c r="D660" s="48"/>
      <c r="E660" s="50"/>
      <c r="F660" s="5"/>
      <c r="G660" s="5"/>
      <c r="H660" s="5"/>
      <c r="I660" s="5"/>
      <c r="J660" s="5"/>
      <c r="K660" s="50"/>
      <c r="L660" s="50"/>
      <c r="M660" s="50"/>
      <c r="N660" s="50"/>
      <c r="O660" s="50"/>
      <c r="P660" s="50"/>
      <c r="Q660" s="50"/>
      <c r="R660" s="50"/>
      <c r="S660" s="50"/>
      <c r="T660" s="50"/>
      <c r="U660" s="50"/>
      <c r="V660" s="50"/>
      <c r="W660" s="50"/>
      <c r="X660" s="50"/>
      <c r="Y660" s="50"/>
      <c r="Z660" s="50"/>
      <c r="AA660" s="50"/>
      <c r="AB660" s="50"/>
    </row>
    <row r="661" customFormat="false" ht="15.75" hidden="false" customHeight="false" outlineLevel="0" collapsed="false">
      <c r="A661" s="50"/>
      <c r="B661" s="50"/>
      <c r="C661" s="5"/>
      <c r="D661" s="48"/>
      <c r="E661" s="50"/>
      <c r="F661" s="5"/>
      <c r="G661" s="5"/>
      <c r="H661" s="5"/>
      <c r="I661" s="5"/>
      <c r="J661" s="5"/>
      <c r="K661" s="50"/>
      <c r="L661" s="50"/>
      <c r="M661" s="50"/>
      <c r="N661" s="50"/>
      <c r="O661" s="50"/>
      <c r="P661" s="50"/>
      <c r="Q661" s="50"/>
      <c r="R661" s="50"/>
      <c r="S661" s="50"/>
      <c r="T661" s="50"/>
      <c r="U661" s="50"/>
      <c r="V661" s="50"/>
      <c r="W661" s="50"/>
      <c r="X661" s="50"/>
      <c r="Y661" s="50"/>
      <c r="Z661" s="50"/>
      <c r="AA661" s="50"/>
      <c r="AB661" s="50"/>
    </row>
    <row r="662" customFormat="false" ht="15.75" hidden="false" customHeight="false" outlineLevel="0" collapsed="false">
      <c r="A662" s="50"/>
      <c r="B662" s="50"/>
      <c r="C662" s="5"/>
      <c r="D662" s="48"/>
      <c r="E662" s="50"/>
      <c r="F662" s="5"/>
      <c r="G662" s="5"/>
      <c r="H662" s="5"/>
      <c r="I662" s="5"/>
      <c r="J662" s="5"/>
      <c r="K662" s="50"/>
      <c r="L662" s="50"/>
      <c r="M662" s="50"/>
      <c r="N662" s="50"/>
      <c r="O662" s="50"/>
      <c r="P662" s="50"/>
      <c r="Q662" s="50"/>
      <c r="R662" s="50"/>
      <c r="S662" s="50"/>
      <c r="T662" s="50"/>
      <c r="U662" s="50"/>
      <c r="V662" s="50"/>
      <c r="W662" s="50"/>
      <c r="X662" s="50"/>
      <c r="Y662" s="50"/>
      <c r="Z662" s="50"/>
      <c r="AA662" s="50"/>
      <c r="AB662" s="50"/>
    </row>
    <row r="663" customFormat="false" ht="15.75" hidden="false" customHeight="false" outlineLevel="0" collapsed="false">
      <c r="A663" s="50"/>
      <c r="B663" s="50"/>
      <c r="C663" s="5"/>
      <c r="D663" s="48"/>
      <c r="E663" s="50"/>
      <c r="F663" s="5"/>
      <c r="G663" s="5"/>
      <c r="H663" s="5"/>
      <c r="I663" s="5"/>
      <c r="J663" s="5"/>
      <c r="K663" s="50"/>
      <c r="L663" s="50"/>
      <c r="M663" s="50"/>
      <c r="N663" s="50"/>
      <c r="O663" s="50"/>
      <c r="P663" s="50"/>
      <c r="Q663" s="50"/>
      <c r="R663" s="50"/>
      <c r="S663" s="50"/>
      <c r="T663" s="50"/>
      <c r="U663" s="50"/>
      <c r="V663" s="50"/>
      <c r="W663" s="50"/>
      <c r="X663" s="50"/>
      <c r="Y663" s="50"/>
      <c r="Z663" s="50"/>
      <c r="AA663" s="50"/>
      <c r="AB663" s="50"/>
    </row>
    <row r="664" customFormat="false" ht="15.75" hidden="false" customHeight="false" outlineLevel="0" collapsed="false">
      <c r="A664" s="50"/>
      <c r="B664" s="50"/>
      <c r="C664" s="5"/>
      <c r="D664" s="48"/>
      <c r="E664" s="50"/>
      <c r="F664" s="5"/>
      <c r="G664" s="5"/>
      <c r="H664" s="5"/>
      <c r="I664" s="5"/>
      <c r="J664" s="5"/>
      <c r="K664" s="50"/>
      <c r="L664" s="50"/>
      <c r="M664" s="50"/>
      <c r="N664" s="50"/>
      <c r="O664" s="50"/>
      <c r="P664" s="50"/>
      <c r="Q664" s="50"/>
      <c r="R664" s="50"/>
      <c r="S664" s="50"/>
      <c r="T664" s="50"/>
      <c r="U664" s="50"/>
      <c r="V664" s="50"/>
      <c r="W664" s="50"/>
      <c r="X664" s="50"/>
      <c r="Y664" s="50"/>
      <c r="Z664" s="50"/>
      <c r="AA664" s="50"/>
      <c r="AB664" s="50"/>
    </row>
    <row r="665" customFormat="false" ht="15.75" hidden="false" customHeight="false" outlineLevel="0" collapsed="false">
      <c r="A665" s="50"/>
      <c r="B665" s="50"/>
      <c r="C665" s="5"/>
      <c r="D665" s="48"/>
      <c r="E665" s="50"/>
      <c r="F665" s="5"/>
      <c r="G665" s="5"/>
      <c r="H665" s="5"/>
      <c r="I665" s="5"/>
      <c r="J665" s="5"/>
      <c r="K665" s="50"/>
      <c r="L665" s="50"/>
      <c r="M665" s="50"/>
      <c r="N665" s="50"/>
      <c r="O665" s="50"/>
      <c r="P665" s="50"/>
      <c r="Q665" s="50"/>
      <c r="R665" s="50"/>
      <c r="S665" s="50"/>
      <c r="T665" s="50"/>
      <c r="U665" s="50"/>
      <c r="V665" s="50"/>
      <c r="W665" s="50"/>
      <c r="X665" s="50"/>
      <c r="Y665" s="50"/>
      <c r="Z665" s="50"/>
      <c r="AA665" s="50"/>
      <c r="AB665" s="50"/>
    </row>
    <row r="666" customFormat="false" ht="15.75" hidden="false" customHeight="false" outlineLevel="0" collapsed="false">
      <c r="A666" s="50"/>
      <c r="B666" s="50"/>
      <c r="C666" s="5"/>
      <c r="D666" s="48"/>
      <c r="E666" s="50"/>
      <c r="F666" s="5"/>
      <c r="G666" s="5"/>
      <c r="H666" s="5"/>
      <c r="I666" s="5"/>
      <c r="J666" s="5"/>
      <c r="K666" s="50"/>
      <c r="L666" s="50"/>
      <c r="M666" s="50"/>
      <c r="N666" s="50"/>
      <c r="O666" s="50"/>
      <c r="P666" s="50"/>
      <c r="Q666" s="50"/>
      <c r="R666" s="50"/>
      <c r="S666" s="50"/>
      <c r="T666" s="50"/>
      <c r="U666" s="50"/>
      <c r="V666" s="50"/>
      <c r="W666" s="50"/>
      <c r="X666" s="50"/>
      <c r="Y666" s="50"/>
      <c r="Z666" s="50"/>
      <c r="AA666" s="50"/>
      <c r="AB666" s="50"/>
    </row>
    <row r="667" customFormat="false" ht="15.75" hidden="false" customHeight="false" outlineLevel="0" collapsed="false">
      <c r="A667" s="50"/>
      <c r="B667" s="50"/>
      <c r="C667" s="5"/>
      <c r="D667" s="48"/>
      <c r="E667" s="50"/>
      <c r="F667" s="5"/>
      <c r="G667" s="5"/>
      <c r="H667" s="5"/>
      <c r="I667" s="5"/>
      <c r="J667" s="5"/>
      <c r="K667" s="50"/>
      <c r="L667" s="50"/>
      <c r="M667" s="50"/>
      <c r="N667" s="50"/>
      <c r="O667" s="50"/>
      <c r="P667" s="50"/>
      <c r="Q667" s="50"/>
      <c r="R667" s="50"/>
      <c r="S667" s="50"/>
      <c r="T667" s="50"/>
      <c r="U667" s="50"/>
      <c r="V667" s="50"/>
      <c r="W667" s="50"/>
      <c r="X667" s="50"/>
      <c r="Y667" s="50"/>
      <c r="Z667" s="50"/>
      <c r="AA667" s="50"/>
      <c r="AB667" s="50"/>
    </row>
    <row r="668" customFormat="false" ht="15.75" hidden="false" customHeight="false" outlineLevel="0" collapsed="false">
      <c r="A668" s="50"/>
      <c r="B668" s="50"/>
      <c r="C668" s="5"/>
      <c r="D668" s="48"/>
      <c r="E668" s="50"/>
      <c r="F668" s="5"/>
      <c r="G668" s="5"/>
      <c r="H668" s="5"/>
      <c r="I668" s="5"/>
      <c r="J668" s="5"/>
      <c r="K668" s="50"/>
      <c r="L668" s="50"/>
      <c r="M668" s="50"/>
      <c r="N668" s="50"/>
      <c r="O668" s="50"/>
      <c r="P668" s="50"/>
      <c r="Q668" s="50"/>
      <c r="R668" s="50"/>
      <c r="S668" s="50"/>
      <c r="T668" s="50"/>
      <c r="U668" s="50"/>
      <c r="V668" s="50"/>
      <c r="W668" s="50"/>
      <c r="X668" s="50"/>
      <c r="Y668" s="50"/>
      <c r="Z668" s="50"/>
      <c r="AA668" s="50"/>
      <c r="AB668" s="50"/>
    </row>
    <row r="669" customFormat="false" ht="15.75" hidden="false" customHeight="false" outlineLevel="0" collapsed="false">
      <c r="A669" s="50"/>
      <c r="B669" s="50"/>
      <c r="C669" s="5"/>
      <c r="D669" s="48"/>
      <c r="E669" s="50"/>
      <c r="F669" s="5"/>
      <c r="G669" s="5"/>
      <c r="H669" s="5"/>
      <c r="I669" s="5"/>
      <c r="J669" s="5"/>
      <c r="K669" s="50"/>
      <c r="L669" s="50"/>
      <c r="M669" s="50"/>
      <c r="N669" s="50"/>
      <c r="O669" s="50"/>
      <c r="P669" s="50"/>
      <c r="Q669" s="50"/>
      <c r="R669" s="50"/>
      <c r="S669" s="50"/>
      <c r="T669" s="50"/>
      <c r="U669" s="50"/>
      <c r="V669" s="50"/>
      <c r="W669" s="50"/>
      <c r="X669" s="50"/>
      <c r="Y669" s="50"/>
      <c r="Z669" s="50"/>
      <c r="AA669" s="50"/>
      <c r="AB669" s="50"/>
    </row>
    <row r="670" customFormat="false" ht="15.75" hidden="false" customHeight="false" outlineLevel="0" collapsed="false">
      <c r="A670" s="50"/>
      <c r="B670" s="50"/>
      <c r="C670" s="5"/>
      <c r="D670" s="48"/>
      <c r="E670" s="50"/>
      <c r="F670" s="5"/>
      <c r="G670" s="5"/>
      <c r="H670" s="5"/>
      <c r="I670" s="5"/>
      <c r="J670" s="5"/>
      <c r="K670" s="50"/>
      <c r="L670" s="50"/>
      <c r="M670" s="50"/>
      <c r="N670" s="50"/>
      <c r="O670" s="50"/>
      <c r="P670" s="50"/>
      <c r="Q670" s="50"/>
      <c r="R670" s="50"/>
      <c r="S670" s="50"/>
      <c r="T670" s="50"/>
      <c r="U670" s="50"/>
      <c r="V670" s="50"/>
      <c r="W670" s="50"/>
      <c r="X670" s="50"/>
      <c r="Y670" s="50"/>
      <c r="Z670" s="50"/>
      <c r="AA670" s="50"/>
      <c r="AB670" s="50"/>
    </row>
    <row r="671" customFormat="false" ht="15.75" hidden="false" customHeight="false" outlineLevel="0" collapsed="false">
      <c r="A671" s="50"/>
      <c r="B671" s="50"/>
      <c r="C671" s="5"/>
      <c r="D671" s="48"/>
      <c r="E671" s="50"/>
      <c r="F671" s="5"/>
      <c r="G671" s="5"/>
      <c r="H671" s="5"/>
      <c r="I671" s="5"/>
      <c r="J671" s="5"/>
      <c r="K671" s="50"/>
      <c r="L671" s="50"/>
      <c r="M671" s="50"/>
      <c r="N671" s="50"/>
      <c r="O671" s="50"/>
      <c r="P671" s="50"/>
      <c r="Q671" s="50"/>
      <c r="R671" s="50"/>
      <c r="S671" s="50"/>
      <c r="T671" s="50"/>
      <c r="U671" s="50"/>
      <c r="V671" s="50"/>
      <c r="W671" s="50"/>
      <c r="X671" s="50"/>
      <c r="Y671" s="50"/>
      <c r="Z671" s="50"/>
      <c r="AA671" s="50"/>
      <c r="AB671" s="50"/>
    </row>
    <row r="672" customFormat="false" ht="15.75" hidden="false" customHeight="false" outlineLevel="0" collapsed="false">
      <c r="A672" s="50"/>
      <c r="B672" s="50"/>
      <c r="C672" s="5"/>
      <c r="D672" s="48"/>
      <c r="E672" s="50"/>
      <c r="F672" s="5"/>
      <c r="G672" s="5"/>
      <c r="H672" s="5"/>
      <c r="I672" s="5"/>
      <c r="J672" s="5"/>
      <c r="K672" s="50"/>
      <c r="L672" s="50"/>
      <c r="M672" s="50"/>
      <c r="N672" s="50"/>
      <c r="O672" s="50"/>
      <c r="P672" s="50"/>
      <c r="Q672" s="50"/>
      <c r="R672" s="50"/>
      <c r="S672" s="50"/>
      <c r="T672" s="50"/>
      <c r="U672" s="50"/>
      <c r="V672" s="50"/>
      <c r="W672" s="50"/>
      <c r="X672" s="50"/>
      <c r="Y672" s="50"/>
      <c r="Z672" s="50"/>
      <c r="AA672" s="50"/>
      <c r="AB672" s="50"/>
    </row>
    <row r="673" customFormat="false" ht="15.75" hidden="false" customHeight="false" outlineLevel="0" collapsed="false">
      <c r="A673" s="50"/>
      <c r="B673" s="50"/>
      <c r="C673" s="5"/>
      <c r="D673" s="48"/>
      <c r="E673" s="50"/>
      <c r="F673" s="5"/>
      <c r="G673" s="5"/>
      <c r="H673" s="5"/>
      <c r="I673" s="5"/>
      <c r="J673" s="5"/>
      <c r="K673" s="50"/>
      <c r="L673" s="50"/>
      <c r="M673" s="50"/>
      <c r="N673" s="50"/>
      <c r="O673" s="50"/>
      <c r="P673" s="50"/>
      <c r="Q673" s="50"/>
      <c r="R673" s="50"/>
      <c r="S673" s="50"/>
      <c r="T673" s="50"/>
      <c r="U673" s="50"/>
      <c r="V673" s="50"/>
      <c r="W673" s="50"/>
      <c r="X673" s="50"/>
      <c r="Y673" s="50"/>
      <c r="Z673" s="50"/>
      <c r="AA673" s="50"/>
      <c r="AB673" s="50"/>
    </row>
    <row r="674" customFormat="false" ht="15.75" hidden="false" customHeight="false" outlineLevel="0" collapsed="false">
      <c r="A674" s="50"/>
      <c r="B674" s="50"/>
      <c r="C674" s="5"/>
      <c r="D674" s="48"/>
      <c r="E674" s="50"/>
      <c r="F674" s="5"/>
      <c r="G674" s="5"/>
      <c r="H674" s="5"/>
      <c r="I674" s="5"/>
      <c r="J674" s="5"/>
      <c r="K674" s="50"/>
      <c r="L674" s="50"/>
      <c r="M674" s="50"/>
      <c r="N674" s="50"/>
      <c r="O674" s="50"/>
      <c r="P674" s="50"/>
      <c r="Q674" s="50"/>
      <c r="R674" s="50"/>
      <c r="S674" s="50"/>
      <c r="T674" s="50"/>
      <c r="U674" s="50"/>
      <c r="V674" s="50"/>
      <c r="W674" s="50"/>
      <c r="X674" s="50"/>
      <c r="Y674" s="50"/>
      <c r="Z674" s="50"/>
      <c r="AA674" s="50"/>
      <c r="AB674" s="50"/>
    </row>
    <row r="675" customFormat="false" ht="15.75" hidden="false" customHeight="false" outlineLevel="0" collapsed="false">
      <c r="A675" s="50"/>
      <c r="B675" s="50"/>
      <c r="C675" s="5"/>
      <c r="D675" s="48"/>
      <c r="E675" s="50"/>
      <c r="F675" s="5"/>
      <c r="G675" s="5"/>
      <c r="H675" s="5"/>
      <c r="I675" s="5"/>
      <c r="J675" s="5"/>
      <c r="K675" s="50"/>
      <c r="L675" s="50"/>
      <c r="M675" s="50"/>
      <c r="N675" s="50"/>
      <c r="O675" s="50"/>
      <c r="P675" s="50"/>
      <c r="Q675" s="50"/>
      <c r="R675" s="50"/>
      <c r="S675" s="50"/>
      <c r="T675" s="50"/>
      <c r="U675" s="50"/>
      <c r="V675" s="50"/>
      <c r="W675" s="50"/>
      <c r="X675" s="50"/>
      <c r="Y675" s="50"/>
      <c r="Z675" s="50"/>
      <c r="AA675" s="50"/>
      <c r="AB675" s="50"/>
    </row>
    <row r="676" customFormat="false" ht="15.75" hidden="false" customHeight="false" outlineLevel="0" collapsed="false">
      <c r="A676" s="50"/>
      <c r="B676" s="50"/>
      <c r="C676" s="5"/>
      <c r="D676" s="48"/>
      <c r="E676" s="50"/>
      <c r="F676" s="5"/>
      <c r="G676" s="5"/>
      <c r="H676" s="5"/>
      <c r="I676" s="5"/>
      <c r="J676" s="5"/>
      <c r="K676" s="50"/>
      <c r="L676" s="50"/>
      <c r="M676" s="50"/>
      <c r="N676" s="50"/>
      <c r="O676" s="50"/>
      <c r="P676" s="50"/>
      <c r="Q676" s="50"/>
      <c r="R676" s="50"/>
      <c r="S676" s="50"/>
      <c r="T676" s="50"/>
      <c r="U676" s="50"/>
      <c r="V676" s="50"/>
      <c r="W676" s="50"/>
      <c r="X676" s="50"/>
      <c r="Y676" s="50"/>
      <c r="Z676" s="50"/>
      <c r="AA676" s="50"/>
      <c r="AB676" s="50"/>
    </row>
    <row r="677" customFormat="false" ht="15.75" hidden="false" customHeight="false" outlineLevel="0" collapsed="false">
      <c r="A677" s="50"/>
      <c r="B677" s="50"/>
      <c r="C677" s="5"/>
      <c r="D677" s="48"/>
      <c r="E677" s="50"/>
      <c r="F677" s="5"/>
      <c r="G677" s="5"/>
      <c r="H677" s="5"/>
      <c r="I677" s="5"/>
      <c r="J677" s="5"/>
      <c r="K677" s="50"/>
      <c r="L677" s="50"/>
      <c r="M677" s="50"/>
      <c r="N677" s="50"/>
      <c r="O677" s="50"/>
      <c r="P677" s="50"/>
      <c r="Q677" s="50"/>
      <c r="R677" s="50"/>
      <c r="S677" s="50"/>
      <c r="T677" s="50"/>
      <c r="U677" s="50"/>
      <c r="V677" s="50"/>
      <c r="W677" s="50"/>
      <c r="X677" s="50"/>
      <c r="Y677" s="50"/>
      <c r="Z677" s="50"/>
      <c r="AA677" s="50"/>
      <c r="AB677" s="50"/>
    </row>
    <row r="678" customFormat="false" ht="15.75" hidden="false" customHeight="false" outlineLevel="0" collapsed="false">
      <c r="A678" s="50"/>
      <c r="B678" s="50"/>
      <c r="C678" s="5"/>
      <c r="D678" s="48"/>
      <c r="E678" s="50"/>
      <c r="F678" s="5"/>
      <c r="G678" s="5"/>
      <c r="H678" s="5"/>
      <c r="I678" s="5"/>
      <c r="J678" s="5"/>
      <c r="K678" s="50"/>
      <c r="L678" s="50"/>
      <c r="M678" s="50"/>
      <c r="N678" s="50"/>
      <c r="O678" s="50"/>
      <c r="P678" s="50"/>
      <c r="Q678" s="50"/>
      <c r="R678" s="50"/>
      <c r="S678" s="50"/>
      <c r="T678" s="50"/>
      <c r="U678" s="50"/>
      <c r="V678" s="50"/>
      <c r="W678" s="50"/>
      <c r="X678" s="50"/>
      <c r="Y678" s="50"/>
      <c r="Z678" s="50"/>
      <c r="AA678" s="50"/>
      <c r="AB678" s="50"/>
    </row>
    <row r="679" customFormat="false" ht="15.75" hidden="false" customHeight="false" outlineLevel="0" collapsed="false">
      <c r="A679" s="50"/>
      <c r="B679" s="50"/>
      <c r="C679" s="5"/>
      <c r="D679" s="48"/>
      <c r="E679" s="50"/>
      <c r="F679" s="5"/>
      <c r="G679" s="5"/>
      <c r="H679" s="5"/>
      <c r="I679" s="5"/>
      <c r="J679" s="5"/>
      <c r="K679" s="50"/>
      <c r="L679" s="50"/>
      <c r="M679" s="50"/>
      <c r="N679" s="50"/>
      <c r="O679" s="50"/>
      <c r="P679" s="50"/>
      <c r="Q679" s="50"/>
      <c r="R679" s="50"/>
      <c r="S679" s="50"/>
      <c r="T679" s="50"/>
      <c r="U679" s="50"/>
      <c r="V679" s="50"/>
      <c r="W679" s="50"/>
      <c r="X679" s="50"/>
      <c r="Y679" s="50"/>
      <c r="Z679" s="50"/>
      <c r="AA679" s="50"/>
      <c r="AB679" s="50"/>
    </row>
    <row r="680" customFormat="false" ht="15.75" hidden="false" customHeight="false" outlineLevel="0" collapsed="false">
      <c r="A680" s="50"/>
      <c r="B680" s="50"/>
      <c r="C680" s="5"/>
      <c r="D680" s="48"/>
      <c r="E680" s="50"/>
      <c r="F680" s="5"/>
      <c r="G680" s="5"/>
      <c r="H680" s="5"/>
      <c r="I680" s="5"/>
      <c r="J680" s="5"/>
      <c r="K680" s="50"/>
      <c r="L680" s="50"/>
      <c r="M680" s="50"/>
      <c r="N680" s="50"/>
      <c r="O680" s="50"/>
      <c r="P680" s="50"/>
      <c r="Q680" s="50"/>
      <c r="R680" s="50"/>
      <c r="S680" s="50"/>
      <c r="T680" s="50"/>
      <c r="U680" s="50"/>
      <c r="V680" s="50"/>
      <c r="W680" s="50"/>
      <c r="X680" s="50"/>
      <c r="Y680" s="50"/>
      <c r="Z680" s="50"/>
      <c r="AA680" s="50"/>
      <c r="AB680" s="50"/>
    </row>
    <row r="681" customFormat="false" ht="15.75" hidden="false" customHeight="false" outlineLevel="0" collapsed="false">
      <c r="A681" s="50"/>
      <c r="B681" s="50"/>
      <c r="C681" s="5"/>
      <c r="D681" s="48"/>
      <c r="E681" s="50"/>
      <c r="F681" s="5"/>
      <c r="G681" s="5"/>
      <c r="H681" s="5"/>
      <c r="I681" s="5"/>
      <c r="J681" s="5"/>
      <c r="K681" s="50"/>
      <c r="L681" s="50"/>
      <c r="M681" s="50"/>
      <c r="N681" s="50"/>
      <c r="O681" s="50"/>
      <c r="P681" s="50"/>
      <c r="Q681" s="50"/>
      <c r="R681" s="50"/>
      <c r="S681" s="50"/>
      <c r="T681" s="50"/>
      <c r="U681" s="50"/>
      <c r="V681" s="50"/>
      <c r="W681" s="50"/>
      <c r="X681" s="50"/>
      <c r="Y681" s="50"/>
      <c r="Z681" s="50"/>
      <c r="AA681" s="50"/>
      <c r="AB681" s="50"/>
    </row>
    <row r="682" customFormat="false" ht="15.75" hidden="false" customHeight="false" outlineLevel="0" collapsed="false">
      <c r="A682" s="50"/>
      <c r="B682" s="50"/>
      <c r="C682" s="5"/>
      <c r="D682" s="48"/>
      <c r="E682" s="50"/>
      <c r="F682" s="5"/>
      <c r="G682" s="5"/>
      <c r="H682" s="5"/>
      <c r="I682" s="5"/>
      <c r="J682" s="5"/>
      <c r="K682" s="50"/>
      <c r="L682" s="50"/>
      <c r="M682" s="50"/>
      <c r="N682" s="50"/>
      <c r="O682" s="50"/>
      <c r="P682" s="50"/>
      <c r="Q682" s="50"/>
      <c r="R682" s="50"/>
      <c r="S682" s="50"/>
      <c r="T682" s="50"/>
      <c r="U682" s="50"/>
      <c r="V682" s="50"/>
      <c r="W682" s="50"/>
      <c r="X682" s="50"/>
      <c r="Y682" s="50"/>
      <c r="Z682" s="50"/>
      <c r="AA682" s="50"/>
      <c r="AB682" s="50"/>
    </row>
    <row r="683" customFormat="false" ht="15.75" hidden="false" customHeight="false" outlineLevel="0" collapsed="false">
      <c r="A683" s="50"/>
      <c r="B683" s="50"/>
      <c r="C683" s="5"/>
      <c r="D683" s="48"/>
      <c r="E683" s="50"/>
      <c r="F683" s="5"/>
      <c r="G683" s="5"/>
      <c r="H683" s="5"/>
      <c r="I683" s="5"/>
      <c r="J683" s="5"/>
      <c r="K683" s="50"/>
      <c r="L683" s="50"/>
      <c r="M683" s="50"/>
      <c r="N683" s="50"/>
      <c r="O683" s="50"/>
      <c r="P683" s="50"/>
      <c r="Q683" s="50"/>
      <c r="R683" s="50"/>
      <c r="S683" s="50"/>
      <c r="T683" s="50"/>
      <c r="U683" s="50"/>
      <c r="V683" s="50"/>
      <c r="W683" s="50"/>
      <c r="X683" s="50"/>
      <c r="Y683" s="50"/>
      <c r="Z683" s="50"/>
      <c r="AA683" s="50"/>
      <c r="AB683" s="50"/>
    </row>
    <row r="684" customFormat="false" ht="15.75" hidden="false" customHeight="false" outlineLevel="0" collapsed="false">
      <c r="A684" s="50"/>
      <c r="B684" s="50"/>
      <c r="C684" s="5"/>
      <c r="D684" s="48"/>
      <c r="E684" s="50"/>
      <c r="F684" s="5"/>
      <c r="G684" s="5"/>
      <c r="H684" s="5"/>
      <c r="I684" s="5"/>
      <c r="J684" s="5"/>
      <c r="K684" s="50"/>
      <c r="L684" s="50"/>
      <c r="M684" s="50"/>
      <c r="N684" s="50"/>
      <c r="O684" s="50"/>
      <c r="P684" s="50"/>
      <c r="Q684" s="50"/>
      <c r="R684" s="50"/>
      <c r="S684" s="50"/>
      <c r="T684" s="50"/>
      <c r="U684" s="50"/>
      <c r="V684" s="50"/>
      <c r="W684" s="50"/>
      <c r="X684" s="50"/>
      <c r="Y684" s="50"/>
      <c r="Z684" s="50"/>
      <c r="AA684" s="50"/>
      <c r="AB684" s="50"/>
    </row>
    <row r="685" customFormat="false" ht="15.75" hidden="false" customHeight="false" outlineLevel="0" collapsed="false">
      <c r="A685" s="50"/>
      <c r="B685" s="50"/>
      <c r="C685" s="5"/>
      <c r="D685" s="48"/>
      <c r="E685" s="50"/>
      <c r="F685" s="5"/>
      <c r="G685" s="5"/>
      <c r="H685" s="5"/>
      <c r="I685" s="5"/>
      <c r="J685" s="5"/>
      <c r="K685" s="50"/>
      <c r="L685" s="50"/>
      <c r="M685" s="50"/>
      <c r="N685" s="50"/>
      <c r="O685" s="50"/>
      <c r="P685" s="50"/>
      <c r="Q685" s="50"/>
      <c r="R685" s="50"/>
      <c r="S685" s="50"/>
      <c r="T685" s="50"/>
      <c r="U685" s="50"/>
      <c r="V685" s="50"/>
      <c r="W685" s="50"/>
      <c r="X685" s="50"/>
      <c r="Y685" s="50"/>
      <c r="Z685" s="50"/>
      <c r="AA685" s="50"/>
      <c r="AB685" s="50"/>
    </row>
    <row r="686" customFormat="false" ht="15.75" hidden="false" customHeight="false" outlineLevel="0" collapsed="false">
      <c r="A686" s="50"/>
      <c r="B686" s="50"/>
      <c r="C686" s="5"/>
      <c r="D686" s="48"/>
      <c r="E686" s="50"/>
      <c r="F686" s="5"/>
      <c r="G686" s="5"/>
      <c r="H686" s="5"/>
      <c r="I686" s="5"/>
      <c r="J686" s="5"/>
      <c r="K686" s="50"/>
      <c r="L686" s="50"/>
      <c r="M686" s="50"/>
      <c r="N686" s="50"/>
      <c r="O686" s="50"/>
      <c r="P686" s="50"/>
      <c r="Q686" s="50"/>
      <c r="R686" s="50"/>
      <c r="S686" s="50"/>
      <c r="T686" s="50"/>
      <c r="U686" s="50"/>
      <c r="V686" s="50"/>
      <c r="W686" s="50"/>
      <c r="X686" s="50"/>
      <c r="Y686" s="50"/>
      <c r="Z686" s="50"/>
      <c r="AA686" s="50"/>
      <c r="AB686" s="50"/>
    </row>
    <row r="687" customFormat="false" ht="15.75" hidden="false" customHeight="false" outlineLevel="0" collapsed="false">
      <c r="A687" s="50"/>
      <c r="B687" s="50"/>
      <c r="C687" s="5"/>
      <c r="D687" s="48"/>
      <c r="E687" s="50"/>
      <c r="F687" s="5"/>
      <c r="G687" s="5"/>
      <c r="H687" s="5"/>
      <c r="I687" s="5"/>
      <c r="J687" s="5"/>
      <c r="K687" s="50"/>
      <c r="L687" s="50"/>
      <c r="M687" s="50"/>
      <c r="N687" s="50"/>
      <c r="O687" s="50"/>
      <c r="P687" s="50"/>
      <c r="Q687" s="50"/>
      <c r="R687" s="50"/>
      <c r="S687" s="50"/>
      <c r="T687" s="50"/>
      <c r="U687" s="50"/>
      <c r="V687" s="50"/>
      <c r="W687" s="50"/>
      <c r="X687" s="50"/>
      <c r="Y687" s="50"/>
      <c r="Z687" s="50"/>
      <c r="AA687" s="50"/>
      <c r="AB687" s="50"/>
    </row>
    <row r="688" customFormat="false" ht="15.75" hidden="false" customHeight="false" outlineLevel="0" collapsed="false">
      <c r="A688" s="50"/>
      <c r="B688" s="50"/>
      <c r="C688" s="5"/>
      <c r="D688" s="48"/>
      <c r="E688" s="50"/>
      <c r="F688" s="5"/>
      <c r="G688" s="5"/>
      <c r="H688" s="5"/>
      <c r="I688" s="5"/>
      <c r="J688" s="5"/>
      <c r="K688" s="50"/>
      <c r="L688" s="50"/>
      <c r="M688" s="50"/>
      <c r="N688" s="50"/>
      <c r="O688" s="50"/>
      <c r="P688" s="50"/>
      <c r="Q688" s="50"/>
      <c r="R688" s="50"/>
      <c r="S688" s="50"/>
      <c r="T688" s="50"/>
      <c r="U688" s="50"/>
      <c r="V688" s="50"/>
      <c r="W688" s="50"/>
      <c r="X688" s="50"/>
      <c r="Y688" s="50"/>
      <c r="Z688" s="50"/>
      <c r="AA688" s="50"/>
      <c r="AB688" s="50"/>
    </row>
    <row r="689" customFormat="false" ht="15.75" hidden="false" customHeight="false" outlineLevel="0" collapsed="false">
      <c r="A689" s="50"/>
      <c r="B689" s="50"/>
      <c r="C689" s="5"/>
      <c r="D689" s="48"/>
      <c r="E689" s="50"/>
      <c r="F689" s="5"/>
      <c r="G689" s="5"/>
      <c r="H689" s="5"/>
      <c r="I689" s="5"/>
      <c r="J689" s="5"/>
      <c r="K689" s="50"/>
      <c r="L689" s="50"/>
      <c r="M689" s="50"/>
      <c r="N689" s="50"/>
      <c r="O689" s="50"/>
      <c r="P689" s="50"/>
      <c r="Q689" s="50"/>
      <c r="R689" s="50"/>
      <c r="S689" s="50"/>
      <c r="T689" s="50"/>
      <c r="U689" s="50"/>
      <c r="V689" s="50"/>
      <c r="W689" s="50"/>
      <c r="X689" s="50"/>
      <c r="Y689" s="50"/>
      <c r="Z689" s="50"/>
      <c r="AA689" s="50"/>
      <c r="AB689" s="50"/>
    </row>
    <row r="690" customFormat="false" ht="15.75" hidden="false" customHeight="false" outlineLevel="0" collapsed="false">
      <c r="A690" s="50"/>
      <c r="B690" s="50"/>
      <c r="C690" s="5"/>
      <c r="D690" s="48"/>
      <c r="E690" s="50"/>
      <c r="F690" s="5"/>
      <c r="G690" s="5"/>
      <c r="H690" s="5"/>
      <c r="I690" s="5"/>
      <c r="J690" s="5"/>
      <c r="K690" s="50"/>
      <c r="L690" s="50"/>
      <c r="M690" s="50"/>
      <c r="N690" s="50"/>
      <c r="O690" s="50"/>
      <c r="P690" s="50"/>
      <c r="Q690" s="50"/>
      <c r="R690" s="50"/>
      <c r="S690" s="50"/>
      <c r="T690" s="50"/>
      <c r="U690" s="50"/>
      <c r="V690" s="50"/>
      <c r="W690" s="50"/>
      <c r="X690" s="50"/>
      <c r="Y690" s="50"/>
      <c r="Z690" s="50"/>
      <c r="AA690" s="50"/>
      <c r="AB690" s="50"/>
    </row>
    <row r="691" customFormat="false" ht="15.75" hidden="false" customHeight="false" outlineLevel="0" collapsed="false">
      <c r="A691" s="50"/>
      <c r="B691" s="50"/>
      <c r="C691" s="5"/>
      <c r="D691" s="48"/>
      <c r="E691" s="50"/>
      <c r="F691" s="5"/>
      <c r="G691" s="5"/>
      <c r="H691" s="5"/>
      <c r="I691" s="5"/>
      <c r="J691" s="5"/>
      <c r="K691" s="50"/>
      <c r="L691" s="50"/>
      <c r="M691" s="50"/>
      <c r="N691" s="50"/>
      <c r="O691" s="50"/>
      <c r="P691" s="50"/>
      <c r="Q691" s="50"/>
      <c r="R691" s="50"/>
      <c r="S691" s="50"/>
      <c r="T691" s="50"/>
      <c r="U691" s="50"/>
      <c r="V691" s="50"/>
      <c r="W691" s="50"/>
      <c r="X691" s="50"/>
      <c r="Y691" s="50"/>
      <c r="Z691" s="50"/>
      <c r="AA691" s="50"/>
      <c r="AB691" s="50"/>
    </row>
    <row r="692" customFormat="false" ht="15.75" hidden="false" customHeight="false" outlineLevel="0" collapsed="false">
      <c r="A692" s="50"/>
      <c r="B692" s="50"/>
      <c r="C692" s="5"/>
      <c r="D692" s="48"/>
      <c r="E692" s="50"/>
      <c r="F692" s="5"/>
      <c r="G692" s="5"/>
      <c r="H692" s="5"/>
      <c r="I692" s="5"/>
      <c r="J692" s="5"/>
      <c r="K692" s="50"/>
      <c r="L692" s="50"/>
      <c r="M692" s="50"/>
      <c r="N692" s="50"/>
      <c r="O692" s="50"/>
      <c r="P692" s="50"/>
      <c r="Q692" s="50"/>
      <c r="R692" s="50"/>
      <c r="S692" s="50"/>
      <c r="T692" s="50"/>
      <c r="U692" s="50"/>
      <c r="V692" s="50"/>
      <c r="W692" s="50"/>
      <c r="X692" s="50"/>
      <c r="Y692" s="50"/>
      <c r="Z692" s="50"/>
      <c r="AA692" s="50"/>
      <c r="AB692" s="50"/>
    </row>
    <row r="693" customFormat="false" ht="15.75" hidden="false" customHeight="false" outlineLevel="0" collapsed="false">
      <c r="A693" s="50"/>
      <c r="B693" s="50"/>
      <c r="C693" s="5"/>
      <c r="D693" s="48"/>
      <c r="E693" s="50"/>
      <c r="F693" s="5"/>
      <c r="G693" s="5"/>
      <c r="H693" s="5"/>
      <c r="I693" s="5"/>
      <c r="J693" s="5"/>
      <c r="K693" s="50"/>
      <c r="L693" s="50"/>
      <c r="M693" s="50"/>
      <c r="N693" s="50"/>
      <c r="O693" s="50"/>
      <c r="P693" s="50"/>
      <c r="Q693" s="50"/>
      <c r="R693" s="50"/>
      <c r="S693" s="50"/>
      <c r="T693" s="50"/>
      <c r="U693" s="50"/>
      <c r="V693" s="50"/>
      <c r="W693" s="50"/>
      <c r="X693" s="50"/>
      <c r="Y693" s="50"/>
      <c r="Z693" s="50"/>
      <c r="AA693" s="50"/>
      <c r="AB693" s="50"/>
    </row>
    <row r="694" customFormat="false" ht="15.75" hidden="false" customHeight="false" outlineLevel="0" collapsed="false">
      <c r="A694" s="50"/>
      <c r="B694" s="50"/>
      <c r="C694" s="5"/>
      <c r="D694" s="48"/>
      <c r="E694" s="50"/>
      <c r="F694" s="5"/>
      <c r="G694" s="5"/>
      <c r="H694" s="5"/>
      <c r="I694" s="5"/>
      <c r="J694" s="5"/>
      <c r="K694" s="50"/>
      <c r="L694" s="50"/>
      <c r="M694" s="50"/>
      <c r="N694" s="50"/>
      <c r="O694" s="50"/>
      <c r="P694" s="50"/>
      <c r="Q694" s="50"/>
      <c r="R694" s="50"/>
      <c r="S694" s="50"/>
      <c r="T694" s="50"/>
      <c r="U694" s="50"/>
      <c r="V694" s="50"/>
      <c r="W694" s="50"/>
      <c r="X694" s="50"/>
      <c r="Y694" s="50"/>
      <c r="Z694" s="50"/>
      <c r="AA694" s="50"/>
      <c r="AB694" s="50"/>
    </row>
    <row r="695" customFormat="false" ht="15.75" hidden="false" customHeight="false" outlineLevel="0" collapsed="false">
      <c r="A695" s="50"/>
      <c r="B695" s="50"/>
      <c r="C695" s="5"/>
      <c r="D695" s="48"/>
      <c r="E695" s="50"/>
      <c r="F695" s="5"/>
      <c r="G695" s="5"/>
      <c r="H695" s="5"/>
      <c r="I695" s="5"/>
      <c r="J695" s="5"/>
      <c r="K695" s="50"/>
      <c r="L695" s="50"/>
      <c r="M695" s="50"/>
      <c r="N695" s="50"/>
      <c r="O695" s="50"/>
      <c r="P695" s="50"/>
      <c r="Q695" s="50"/>
      <c r="R695" s="50"/>
      <c r="S695" s="50"/>
      <c r="T695" s="50"/>
      <c r="U695" s="50"/>
      <c r="V695" s="50"/>
      <c r="W695" s="50"/>
      <c r="X695" s="50"/>
      <c r="Y695" s="50"/>
      <c r="Z695" s="50"/>
      <c r="AA695" s="50"/>
      <c r="AB695" s="50"/>
    </row>
    <row r="696" customFormat="false" ht="15.75" hidden="false" customHeight="false" outlineLevel="0" collapsed="false">
      <c r="A696" s="50"/>
      <c r="B696" s="50"/>
      <c r="C696" s="5"/>
      <c r="D696" s="48"/>
      <c r="E696" s="50"/>
      <c r="F696" s="5"/>
      <c r="G696" s="5"/>
      <c r="H696" s="5"/>
      <c r="I696" s="5"/>
      <c r="J696" s="5"/>
      <c r="K696" s="50"/>
      <c r="L696" s="50"/>
      <c r="M696" s="50"/>
      <c r="N696" s="50"/>
      <c r="O696" s="50"/>
      <c r="P696" s="50"/>
      <c r="Q696" s="50"/>
      <c r="R696" s="50"/>
      <c r="S696" s="50"/>
      <c r="T696" s="50"/>
      <c r="U696" s="50"/>
      <c r="V696" s="50"/>
      <c r="W696" s="50"/>
      <c r="X696" s="50"/>
      <c r="Y696" s="50"/>
      <c r="Z696" s="50"/>
      <c r="AA696" s="50"/>
      <c r="AB696" s="50"/>
    </row>
    <row r="697" customFormat="false" ht="15.75" hidden="false" customHeight="false" outlineLevel="0" collapsed="false">
      <c r="A697" s="50"/>
      <c r="B697" s="50"/>
      <c r="C697" s="5"/>
      <c r="D697" s="48"/>
      <c r="E697" s="50"/>
      <c r="F697" s="5"/>
      <c r="G697" s="5"/>
      <c r="H697" s="5"/>
      <c r="I697" s="5"/>
      <c r="J697" s="5"/>
      <c r="K697" s="50"/>
      <c r="L697" s="50"/>
      <c r="M697" s="50"/>
      <c r="N697" s="50"/>
      <c r="O697" s="50"/>
      <c r="P697" s="50"/>
      <c r="Q697" s="50"/>
      <c r="R697" s="50"/>
      <c r="S697" s="50"/>
      <c r="T697" s="50"/>
      <c r="U697" s="50"/>
      <c r="V697" s="50"/>
      <c r="W697" s="50"/>
      <c r="X697" s="50"/>
      <c r="Y697" s="50"/>
      <c r="Z697" s="50"/>
      <c r="AA697" s="50"/>
      <c r="AB697" s="50"/>
    </row>
    <row r="698" customFormat="false" ht="15.75" hidden="false" customHeight="false" outlineLevel="0" collapsed="false">
      <c r="A698" s="50"/>
      <c r="B698" s="50"/>
      <c r="C698" s="5"/>
      <c r="D698" s="48"/>
      <c r="E698" s="50"/>
      <c r="F698" s="5"/>
      <c r="G698" s="5"/>
      <c r="H698" s="5"/>
      <c r="I698" s="5"/>
      <c r="J698" s="5"/>
      <c r="K698" s="50"/>
      <c r="L698" s="50"/>
      <c r="M698" s="50"/>
      <c r="N698" s="50"/>
      <c r="O698" s="50"/>
      <c r="P698" s="50"/>
      <c r="Q698" s="50"/>
      <c r="R698" s="50"/>
      <c r="S698" s="50"/>
      <c r="T698" s="50"/>
      <c r="U698" s="50"/>
      <c r="V698" s="50"/>
      <c r="W698" s="50"/>
      <c r="X698" s="50"/>
      <c r="Y698" s="50"/>
      <c r="Z698" s="50"/>
      <c r="AA698" s="50"/>
      <c r="AB698" s="50"/>
    </row>
    <row r="699" customFormat="false" ht="15.75" hidden="false" customHeight="false" outlineLevel="0" collapsed="false">
      <c r="A699" s="50"/>
      <c r="B699" s="50"/>
      <c r="C699" s="5"/>
      <c r="D699" s="48"/>
      <c r="E699" s="50"/>
      <c r="F699" s="5"/>
      <c r="G699" s="5"/>
      <c r="H699" s="5"/>
      <c r="I699" s="5"/>
      <c r="J699" s="5"/>
      <c r="K699" s="50"/>
      <c r="L699" s="50"/>
      <c r="M699" s="50"/>
      <c r="N699" s="50"/>
      <c r="O699" s="50"/>
      <c r="P699" s="50"/>
      <c r="Q699" s="50"/>
      <c r="R699" s="50"/>
      <c r="S699" s="50"/>
      <c r="T699" s="50"/>
      <c r="U699" s="50"/>
      <c r="V699" s="50"/>
      <c r="W699" s="50"/>
      <c r="X699" s="50"/>
      <c r="Y699" s="50"/>
      <c r="Z699" s="50"/>
      <c r="AA699" s="50"/>
      <c r="AB699" s="50"/>
    </row>
    <row r="700" customFormat="false" ht="15.75" hidden="false" customHeight="false" outlineLevel="0" collapsed="false">
      <c r="A700" s="50"/>
      <c r="B700" s="50"/>
      <c r="C700" s="5"/>
      <c r="D700" s="48"/>
      <c r="E700" s="50"/>
      <c r="F700" s="5"/>
      <c r="G700" s="5"/>
      <c r="H700" s="5"/>
      <c r="I700" s="5"/>
      <c r="J700" s="5"/>
      <c r="K700" s="50"/>
      <c r="L700" s="50"/>
      <c r="M700" s="50"/>
      <c r="N700" s="50"/>
      <c r="O700" s="50"/>
      <c r="P700" s="50"/>
      <c r="Q700" s="50"/>
      <c r="R700" s="50"/>
      <c r="S700" s="50"/>
      <c r="T700" s="50"/>
      <c r="U700" s="50"/>
      <c r="V700" s="50"/>
      <c r="W700" s="50"/>
      <c r="X700" s="50"/>
      <c r="Y700" s="50"/>
      <c r="Z700" s="50"/>
      <c r="AA700" s="50"/>
      <c r="AB700" s="50"/>
    </row>
    <row r="701" customFormat="false" ht="15.75" hidden="false" customHeight="false" outlineLevel="0" collapsed="false">
      <c r="A701" s="50"/>
      <c r="B701" s="50"/>
      <c r="C701" s="5"/>
      <c r="D701" s="48"/>
      <c r="E701" s="50"/>
      <c r="F701" s="5"/>
      <c r="G701" s="5"/>
      <c r="H701" s="5"/>
      <c r="I701" s="5"/>
      <c r="J701" s="5"/>
      <c r="K701" s="50"/>
      <c r="L701" s="50"/>
      <c r="M701" s="50"/>
      <c r="N701" s="50"/>
      <c r="O701" s="50"/>
      <c r="P701" s="50"/>
      <c r="Q701" s="50"/>
      <c r="R701" s="50"/>
      <c r="S701" s="50"/>
      <c r="T701" s="50"/>
      <c r="U701" s="50"/>
      <c r="V701" s="50"/>
      <c r="W701" s="50"/>
      <c r="X701" s="50"/>
      <c r="Y701" s="50"/>
      <c r="Z701" s="50"/>
      <c r="AA701" s="50"/>
      <c r="AB701" s="50"/>
    </row>
    <row r="702" customFormat="false" ht="15.75" hidden="false" customHeight="false" outlineLevel="0" collapsed="false">
      <c r="A702" s="50"/>
      <c r="B702" s="50"/>
      <c r="C702" s="5"/>
      <c r="D702" s="48"/>
      <c r="E702" s="50"/>
      <c r="F702" s="5"/>
      <c r="G702" s="5"/>
      <c r="H702" s="5"/>
      <c r="I702" s="5"/>
      <c r="J702" s="5"/>
      <c r="K702" s="50"/>
      <c r="L702" s="50"/>
      <c r="M702" s="50"/>
      <c r="N702" s="50"/>
      <c r="O702" s="50"/>
      <c r="P702" s="50"/>
      <c r="Q702" s="50"/>
      <c r="R702" s="50"/>
      <c r="S702" s="50"/>
      <c r="T702" s="50"/>
      <c r="U702" s="50"/>
      <c r="V702" s="50"/>
      <c r="W702" s="50"/>
      <c r="X702" s="50"/>
      <c r="Y702" s="50"/>
      <c r="Z702" s="50"/>
      <c r="AA702" s="50"/>
      <c r="AB702" s="50"/>
    </row>
    <row r="703" customFormat="false" ht="15.75" hidden="false" customHeight="false" outlineLevel="0" collapsed="false">
      <c r="A703" s="50"/>
      <c r="B703" s="50"/>
      <c r="C703" s="5"/>
      <c r="D703" s="48"/>
      <c r="E703" s="50"/>
      <c r="F703" s="5"/>
      <c r="G703" s="5"/>
      <c r="H703" s="5"/>
      <c r="I703" s="5"/>
      <c r="J703" s="5"/>
      <c r="K703" s="50"/>
      <c r="L703" s="50"/>
      <c r="M703" s="50"/>
      <c r="N703" s="50"/>
      <c r="O703" s="50"/>
      <c r="P703" s="50"/>
      <c r="Q703" s="50"/>
      <c r="R703" s="50"/>
      <c r="S703" s="50"/>
      <c r="T703" s="50"/>
      <c r="U703" s="50"/>
      <c r="V703" s="50"/>
      <c r="W703" s="50"/>
      <c r="X703" s="50"/>
      <c r="Y703" s="50"/>
      <c r="Z703" s="50"/>
      <c r="AA703" s="50"/>
      <c r="AB703" s="50"/>
    </row>
    <row r="704" customFormat="false" ht="15.75" hidden="false" customHeight="false" outlineLevel="0" collapsed="false">
      <c r="A704" s="50"/>
      <c r="B704" s="50"/>
      <c r="C704" s="5"/>
      <c r="D704" s="48"/>
      <c r="E704" s="50"/>
      <c r="F704" s="5"/>
      <c r="G704" s="5"/>
      <c r="H704" s="5"/>
      <c r="I704" s="5"/>
      <c r="J704" s="5"/>
      <c r="K704" s="50"/>
      <c r="L704" s="50"/>
      <c r="M704" s="50"/>
      <c r="N704" s="50"/>
      <c r="O704" s="50"/>
      <c r="P704" s="50"/>
      <c r="Q704" s="50"/>
      <c r="R704" s="50"/>
      <c r="S704" s="50"/>
      <c r="T704" s="50"/>
      <c r="U704" s="50"/>
      <c r="V704" s="50"/>
      <c r="W704" s="50"/>
      <c r="X704" s="50"/>
      <c r="Y704" s="50"/>
      <c r="Z704" s="50"/>
      <c r="AA704" s="50"/>
      <c r="AB704" s="50"/>
    </row>
    <row r="705" customFormat="false" ht="15.75" hidden="false" customHeight="false" outlineLevel="0" collapsed="false">
      <c r="A705" s="50"/>
      <c r="B705" s="50"/>
      <c r="C705" s="5"/>
      <c r="D705" s="48"/>
      <c r="E705" s="50"/>
      <c r="F705" s="5"/>
      <c r="G705" s="5"/>
      <c r="H705" s="5"/>
      <c r="I705" s="5"/>
      <c r="J705" s="5"/>
      <c r="K705" s="50"/>
      <c r="L705" s="50"/>
      <c r="M705" s="50"/>
      <c r="N705" s="50"/>
      <c r="O705" s="50"/>
      <c r="P705" s="50"/>
      <c r="Q705" s="50"/>
      <c r="R705" s="50"/>
      <c r="S705" s="50"/>
      <c r="T705" s="50"/>
      <c r="U705" s="50"/>
      <c r="V705" s="50"/>
      <c r="W705" s="50"/>
      <c r="X705" s="50"/>
      <c r="Y705" s="50"/>
      <c r="Z705" s="50"/>
      <c r="AA705" s="50"/>
      <c r="AB705" s="50"/>
    </row>
    <row r="706" customFormat="false" ht="15.75" hidden="false" customHeight="false" outlineLevel="0" collapsed="false">
      <c r="A706" s="50"/>
      <c r="B706" s="50"/>
      <c r="C706" s="5"/>
      <c r="D706" s="48"/>
      <c r="E706" s="50"/>
      <c r="F706" s="5"/>
      <c r="G706" s="5"/>
      <c r="H706" s="5"/>
      <c r="I706" s="5"/>
      <c r="J706" s="5"/>
      <c r="K706" s="50"/>
      <c r="L706" s="50"/>
      <c r="M706" s="50"/>
      <c r="N706" s="50"/>
      <c r="O706" s="50"/>
      <c r="P706" s="50"/>
      <c r="Q706" s="50"/>
      <c r="R706" s="50"/>
      <c r="S706" s="50"/>
      <c r="T706" s="50"/>
      <c r="U706" s="50"/>
      <c r="V706" s="50"/>
      <c r="W706" s="50"/>
      <c r="X706" s="50"/>
      <c r="Y706" s="50"/>
      <c r="Z706" s="50"/>
      <c r="AA706" s="50"/>
      <c r="AB706" s="50"/>
    </row>
    <row r="707" customFormat="false" ht="15.75" hidden="false" customHeight="false" outlineLevel="0" collapsed="false">
      <c r="A707" s="50"/>
      <c r="B707" s="50"/>
      <c r="C707" s="5"/>
      <c r="D707" s="48"/>
      <c r="E707" s="50"/>
      <c r="F707" s="5"/>
      <c r="G707" s="5"/>
      <c r="H707" s="5"/>
      <c r="I707" s="5"/>
      <c r="J707" s="5"/>
      <c r="K707" s="50"/>
      <c r="L707" s="50"/>
      <c r="M707" s="50"/>
      <c r="N707" s="50"/>
      <c r="O707" s="50"/>
      <c r="P707" s="50"/>
      <c r="Q707" s="50"/>
      <c r="R707" s="50"/>
      <c r="S707" s="50"/>
      <c r="T707" s="50"/>
      <c r="U707" s="50"/>
      <c r="V707" s="50"/>
      <c r="W707" s="50"/>
      <c r="X707" s="50"/>
      <c r="Y707" s="50"/>
      <c r="Z707" s="50"/>
      <c r="AA707" s="50"/>
      <c r="AB707" s="50"/>
    </row>
    <row r="708" customFormat="false" ht="15.75" hidden="false" customHeight="false" outlineLevel="0" collapsed="false">
      <c r="A708" s="50"/>
      <c r="B708" s="50"/>
      <c r="C708" s="5"/>
      <c r="D708" s="48"/>
      <c r="E708" s="50"/>
      <c r="F708" s="5"/>
      <c r="G708" s="5"/>
      <c r="H708" s="5"/>
      <c r="I708" s="5"/>
      <c r="J708" s="5"/>
      <c r="K708" s="50"/>
      <c r="L708" s="50"/>
      <c r="M708" s="50"/>
      <c r="N708" s="50"/>
      <c r="O708" s="50"/>
      <c r="P708" s="50"/>
      <c r="Q708" s="50"/>
      <c r="R708" s="50"/>
      <c r="S708" s="50"/>
      <c r="T708" s="50"/>
      <c r="U708" s="50"/>
      <c r="V708" s="50"/>
      <c r="W708" s="50"/>
      <c r="X708" s="50"/>
      <c r="Y708" s="50"/>
      <c r="Z708" s="50"/>
      <c r="AA708" s="50"/>
      <c r="AB708" s="50"/>
    </row>
    <row r="709" customFormat="false" ht="15.75" hidden="false" customHeight="false" outlineLevel="0" collapsed="false">
      <c r="A709" s="50"/>
      <c r="B709" s="50"/>
      <c r="C709" s="5"/>
      <c r="D709" s="48"/>
      <c r="E709" s="50"/>
      <c r="F709" s="5"/>
      <c r="G709" s="5"/>
      <c r="H709" s="5"/>
      <c r="I709" s="5"/>
      <c r="J709" s="5"/>
      <c r="K709" s="50"/>
      <c r="L709" s="50"/>
      <c r="M709" s="50"/>
      <c r="N709" s="50"/>
      <c r="O709" s="50"/>
      <c r="P709" s="50"/>
      <c r="Q709" s="50"/>
      <c r="R709" s="50"/>
      <c r="S709" s="50"/>
      <c r="T709" s="50"/>
      <c r="U709" s="50"/>
      <c r="V709" s="50"/>
      <c r="W709" s="50"/>
      <c r="X709" s="50"/>
      <c r="Y709" s="50"/>
      <c r="Z709" s="50"/>
      <c r="AA709" s="50"/>
      <c r="AB709" s="50"/>
    </row>
    <row r="710" customFormat="false" ht="15.75" hidden="false" customHeight="false" outlineLevel="0" collapsed="false">
      <c r="A710" s="50"/>
      <c r="B710" s="50"/>
      <c r="C710" s="5"/>
      <c r="D710" s="48"/>
      <c r="E710" s="50"/>
      <c r="F710" s="5"/>
      <c r="G710" s="5"/>
      <c r="H710" s="5"/>
      <c r="I710" s="5"/>
      <c r="J710" s="5"/>
      <c r="K710" s="50"/>
      <c r="L710" s="50"/>
      <c r="M710" s="50"/>
      <c r="N710" s="50"/>
      <c r="O710" s="50"/>
      <c r="P710" s="50"/>
      <c r="Q710" s="50"/>
      <c r="R710" s="50"/>
      <c r="S710" s="50"/>
      <c r="T710" s="50"/>
      <c r="U710" s="50"/>
      <c r="V710" s="50"/>
      <c r="W710" s="50"/>
      <c r="X710" s="50"/>
      <c r="Y710" s="50"/>
      <c r="Z710" s="50"/>
      <c r="AA710" s="50"/>
      <c r="AB710" s="50"/>
    </row>
    <row r="711" customFormat="false" ht="15.75" hidden="false" customHeight="false" outlineLevel="0" collapsed="false">
      <c r="A711" s="50"/>
      <c r="B711" s="50"/>
      <c r="C711" s="5"/>
      <c r="D711" s="48"/>
      <c r="E711" s="50"/>
      <c r="F711" s="5"/>
      <c r="G711" s="5"/>
      <c r="H711" s="5"/>
      <c r="I711" s="5"/>
      <c r="J711" s="5"/>
      <c r="K711" s="50"/>
      <c r="L711" s="50"/>
      <c r="M711" s="50"/>
      <c r="N711" s="50"/>
      <c r="O711" s="50"/>
      <c r="P711" s="50"/>
      <c r="Q711" s="50"/>
      <c r="R711" s="50"/>
      <c r="S711" s="50"/>
      <c r="T711" s="50"/>
      <c r="U711" s="50"/>
      <c r="V711" s="50"/>
      <c r="W711" s="50"/>
      <c r="X711" s="50"/>
      <c r="Y711" s="50"/>
      <c r="Z711" s="50"/>
      <c r="AA711" s="50"/>
      <c r="AB711" s="50"/>
    </row>
    <row r="712" customFormat="false" ht="15.75" hidden="false" customHeight="false" outlineLevel="0" collapsed="false">
      <c r="A712" s="50"/>
      <c r="B712" s="50"/>
      <c r="C712" s="5"/>
      <c r="D712" s="48"/>
      <c r="E712" s="50"/>
      <c r="F712" s="5"/>
      <c r="G712" s="5"/>
      <c r="H712" s="5"/>
      <c r="I712" s="5"/>
      <c r="J712" s="5"/>
      <c r="K712" s="50"/>
      <c r="L712" s="50"/>
      <c r="M712" s="50"/>
      <c r="N712" s="50"/>
      <c r="O712" s="50"/>
      <c r="P712" s="50"/>
      <c r="Q712" s="50"/>
      <c r="R712" s="50"/>
      <c r="S712" s="50"/>
      <c r="T712" s="50"/>
      <c r="U712" s="50"/>
      <c r="V712" s="50"/>
      <c r="W712" s="50"/>
      <c r="X712" s="50"/>
      <c r="Y712" s="50"/>
      <c r="Z712" s="50"/>
      <c r="AA712" s="50"/>
      <c r="AB712" s="50"/>
    </row>
    <row r="713" customFormat="false" ht="15.75" hidden="false" customHeight="false" outlineLevel="0" collapsed="false">
      <c r="A713" s="50"/>
      <c r="B713" s="50"/>
      <c r="C713" s="5"/>
      <c r="D713" s="48"/>
      <c r="E713" s="50"/>
      <c r="F713" s="5"/>
      <c r="G713" s="5"/>
      <c r="H713" s="5"/>
      <c r="I713" s="5"/>
      <c r="J713" s="5"/>
      <c r="K713" s="50"/>
      <c r="L713" s="50"/>
      <c r="M713" s="50"/>
      <c r="N713" s="50"/>
      <c r="O713" s="50"/>
      <c r="P713" s="50"/>
      <c r="Q713" s="50"/>
      <c r="R713" s="50"/>
      <c r="S713" s="50"/>
      <c r="T713" s="50"/>
      <c r="U713" s="50"/>
      <c r="V713" s="50"/>
      <c r="W713" s="50"/>
      <c r="X713" s="50"/>
      <c r="Y713" s="50"/>
      <c r="Z713" s="50"/>
      <c r="AA713" s="50"/>
      <c r="AB713" s="50"/>
    </row>
    <row r="714" customFormat="false" ht="15.75" hidden="false" customHeight="false" outlineLevel="0" collapsed="false">
      <c r="A714" s="50"/>
      <c r="B714" s="50"/>
      <c r="C714" s="5"/>
      <c r="D714" s="48"/>
      <c r="E714" s="50"/>
      <c r="F714" s="5"/>
      <c r="G714" s="5"/>
      <c r="H714" s="5"/>
      <c r="I714" s="5"/>
      <c r="J714" s="5"/>
      <c r="K714" s="50"/>
      <c r="L714" s="50"/>
      <c r="M714" s="50"/>
      <c r="N714" s="50"/>
      <c r="O714" s="50"/>
      <c r="P714" s="50"/>
      <c r="Q714" s="50"/>
      <c r="R714" s="50"/>
      <c r="S714" s="50"/>
      <c r="T714" s="50"/>
      <c r="U714" s="50"/>
      <c r="V714" s="50"/>
      <c r="W714" s="50"/>
      <c r="X714" s="50"/>
      <c r="Y714" s="50"/>
      <c r="Z714" s="50"/>
      <c r="AA714" s="50"/>
      <c r="AB714" s="50"/>
    </row>
    <row r="715" customFormat="false" ht="15.75" hidden="false" customHeight="false" outlineLevel="0" collapsed="false">
      <c r="A715" s="50"/>
      <c r="B715" s="50"/>
      <c r="C715" s="5"/>
      <c r="D715" s="48"/>
      <c r="E715" s="50"/>
      <c r="F715" s="5"/>
      <c r="G715" s="5"/>
      <c r="H715" s="5"/>
      <c r="I715" s="5"/>
      <c r="J715" s="5"/>
      <c r="K715" s="50"/>
      <c r="L715" s="50"/>
      <c r="M715" s="50"/>
      <c r="N715" s="50"/>
      <c r="O715" s="50"/>
      <c r="P715" s="50"/>
      <c r="Q715" s="50"/>
      <c r="R715" s="50"/>
      <c r="S715" s="50"/>
      <c r="T715" s="50"/>
      <c r="U715" s="50"/>
      <c r="V715" s="50"/>
      <c r="W715" s="50"/>
      <c r="X715" s="50"/>
      <c r="Y715" s="50"/>
      <c r="Z715" s="50"/>
      <c r="AA715" s="50"/>
      <c r="AB715" s="50"/>
    </row>
    <row r="716" customFormat="false" ht="15.75" hidden="false" customHeight="false" outlineLevel="0" collapsed="false">
      <c r="A716" s="50"/>
      <c r="B716" s="50"/>
      <c r="C716" s="5"/>
      <c r="D716" s="48"/>
      <c r="E716" s="50"/>
      <c r="F716" s="5"/>
      <c r="G716" s="5"/>
      <c r="H716" s="5"/>
      <c r="I716" s="5"/>
      <c r="J716" s="5"/>
      <c r="K716" s="50"/>
      <c r="L716" s="50"/>
      <c r="M716" s="50"/>
      <c r="N716" s="50"/>
      <c r="O716" s="50"/>
      <c r="P716" s="50"/>
      <c r="Q716" s="50"/>
      <c r="R716" s="50"/>
      <c r="S716" s="50"/>
      <c r="T716" s="50"/>
      <c r="U716" s="50"/>
      <c r="V716" s="50"/>
      <c r="W716" s="50"/>
      <c r="X716" s="50"/>
      <c r="Y716" s="50"/>
      <c r="Z716" s="50"/>
      <c r="AA716" s="50"/>
      <c r="AB716" s="50"/>
    </row>
    <row r="717" customFormat="false" ht="15.75" hidden="false" customHeight="false" outlineLevel="0" collapsed="false">
      <c r="A717" s="50"/>
      <c r="B717" s="50"/>
      <c r="C717" s="5"/>
      <c r="D717" s="48"/>
      <c r="E717" s="50"/>
      <c r="F717" s="5"/>
      <c r="G717" s="5"/>
      <c r="H717" s="5"/>
      <c r="I717" s="5"/>
      <c r="J717" s="5"/>
      <c r="K717" s="50"/>
      <c r="L717" s="50"/>
      <c r="M717" s="50"/>
      <c r="N717" s="50"/>
      <c r="O717" s="50"/>
      <c r="P717" s="50"/>
      <c r="Q717" s="50"/>
      <c r="R717" s="50"/>
      <c r="S717" s="50"/>
      <c r="T717" s="50"/>
      <c r="U717" s="50"/>
      <c r="V717" s="50"/>
      <c r="W717" s="50"/>
      <c r="X717" s="50"/>
      <c r="Y717" s="50"/>
      <c r="Z717" s="50"/>
      <c r="AA717" s="50"/>
      <c r="AB717" s="50"/>
    </row>
    <row r="718" customFormat="false" ht="15.75" hidden="false" customHeight="false" outlineLevel="0" collapsed="false">
      <c r="A718" s="50"/>
      <c r="B718" s="50"/>
      <c r="C718" s="5"/>
      <c r="D718" s="48"/>
      <c r="E718" s="50"/>
      <c r="F718" s="5"/>
      <c r="G718" s="5"/>
      <c r="H718" s="5"/>
      <c r="I718" s="5"/>
      <c r="J718" s="5"/>
      <c r="K718" s="50"/>
      <c r="L718" s="50"/>
      <c r="M718" s="50"/>
      <c r="N718" s="50"/>
      <c r="O718" s="50"/>
      <c r="P718" s="50"/>
      <c r="Q718" s="50"/>
      <c r="R718" s="50"/>
      <c r="S718" s="50"/>
      <c r="T718" s="50"/>
      <c r="U718" s="50"/>
      <c r="V718" s="50"/>
      <c r="W718" s="50"/>
      <c r="X718" s="50"/>
      <c r="Y718" s="50"/>
      <c r="Z718" s="50"/>
      <c r="AA718" s="50"/>
      <c r="AB718" s="50"/>
    </row>
    <row r="719" customFormat="false" ht="15.75" hidden="false" customHeight="false" outlineLevel="0" collapsed="false">
      <c r="A719" s="50"/>
      <c r="B719" s="50"/>
      <c r="C719" s="5"/>
      <c r="D719" s="48"/>
      <c r="E719" s="50"/>
      <c r="F719" s="5"/>
      <c r="G719" s="5"/>
      <c r="H719" s="5"/>
      <c r="I719" s="5"/>
      <c r="J719" s="5"/>
      <c r="K719" s="50"/>
      <c r="L719" s="50"/>
      <c r="M719" s="50"/>
      <c r="N719" s="50"/>
      <c r="O719" s="50"/>
      <c r="P719" s="50"/>
      <c r="Q719" s="50"/>
      <c r="R719" s="50"/>
      <c r="S719" s="50"/>
      <c r="T719" s="50"/>
      <c r="U719" s="50"/>
      <c r="V719" s="50"/>
      <c r="W719" s="50"/>
      <c r="X719" s="50"/>
      <c r="Y719" s="50"/>
      <c r="Z719" s="50"/>
      <c r="AA719" s="50"/>
      <c r="AB719" s="50"/>
    </row>
    <row r="720" customFormat="false" ht="15.75" hidden="false" customHeight="false" outlineLevel="0" collapsed="false">
      <c r="A720" s="50"/>
      <c r="B720" s="50"/>
      <c r="C720" s="5"/>
      <c r="D720" s="48"/>
      <c r="E720" s="50"/>
      <c r="F720" s="5"/>
      <c r="G720" s="5"/>
      <c r="H720" s="5"/>
      <c r="I720" s="5"/>
      <c r="J720" s="5"/>
      <c r="K720" s="50"/>
      <c r="L720" s="50"/>
      <c r="M720" s="50"/>
      <c r="N720" s="50"/>
      <c r="O720" s="50"/>
      <c r="P720" s="50"/>
      <c r="Q720" s="50"/>
      <c r="R720" s="50"/>
      <c r="S720" s="50"/>
      <c r="T720" s="50"/>
      <c r="U720" s="50"/>
      <c r="V720" s="50"/>
      <c r="W720" s="50"/>
      <c r="X720" s="50"/>
      <c r="Y720" s="50"/>
      <c r="Z720" s="50"/>
      <c r="AA720" s="50"/>
      <c r="AB720" s="50"/>
    </row>
    <row r="721" customFormat="false" ht="15.75" hidden="false" customHeight="false" outlineLevel="0" collapsed="false">
      <c r="A721" s="50"/>
      <c r="B721" s="50"/>
      <c r="C721" s="5"/>
      <c r="D721" s="48"/>
      <c r="E721" s="50"/>
      <c r="F721" s="5"/>
      <c r="G721" s="5"/>
      <c r="H721" s="5"/>
      <c r="I721" s="5"/>
      <c r="J721" s="5"/>
      <c r="K721" s="50"/>
      <c r="L721" s="50"/>
      <c r="M721" s="50"/>
      <c r="N721" s="50"/>
      <c r="O721" s="50"/>
      <c r="P721" s="50"/>
      <c r="Q721" s="50"/>
      <c r="R721" s="50"/>
      <c r="S721" s="50"/>
      <c r="T721" s="50"/>
      <c r="U721" s="50"/>
      <c r="V721" s="50"/>
      <c r="W721" s="50"/>
      <c r="X721" s="50"/>
      <c r="Y721" s="50"/>
      <c r="Z721" s="50"/>
      <c r="AA721" s="50"/>
      <c r="AB721" s="50"/>
    </row>
    <row r="722" customFormat="false" ht="15.75" hidden="false" customHeight="false" outlineLevel="0" collapsed="false">
      <c r="A722" s="50"/>
      <c r="B722" s="50"/>
      <c r="C722" s="5"/>
      <c r="D722" s="48"/>
      <c r="E722" s="50"/>
      <c r="F722" s="5"/>
      <c r="G722" s="5"/>
      <c r="H722" s="5"/>
      <c r="I722" s="5"/>
      <c r="J722" s="5"/>
      <c r="K722" s="50"/>
      <c r="L722" s="50"/>
      <c r="M722" s="50"/>
      <c r="N722" s="50"/>
      <c r="O722" s="50"/>
      <c r="P722" s="50"/>
      <c r="Q722" s="50"/>
      <c r="R722" s="50"/>
      <c r="S722" s="50"/>
      <c r="T722" s="50"/>
      <c r="U722" s="50"/>
      <c r="V722" s="50"/>
      <c r="W722" s="50"/>
      <c r="X722" s="50"/>
      <c r="Y722" s="50"/>
      <c r="Z722" s="50"/>
      <c r="AA722" s="50"/>
      <c r="AB722" s="50"/>
    </row>
    <row r="723" customFormat="false" ht="15.75" hidden="false" customHeight="false" outlineLevel="0" collapsed="false">
      <c r="A723" s="50"/>
      <c r="B723" s="50"/>
      <c r="C723" s="5"/>
      <c r="D723" s="48"/>
      <c r="E723" s="50"/>
      <c r="F723" s="5"/>
      <c r="G723" s="5"/>
      <c r="H723" s="5"/>
      <c r="I723" s="5"/>
      <c r="J723" s="5"/>
      <c r="K723" s="50"/>
      <c r="L723" s="50"/>
      <c r="M723" s="50"/>
      <c r="N723" s="50"/>
      <c r="O723" s="50"/>
      <c r="P723" s="50"/>
      <c r="Q723" s="50"/>
      <c r="R723" s="50"/>
      <c r="S723" s="50"/>
      <c r="T723" s="50"/>
      <c r="U723" s="50"/>
      <c r="V723" s="50"/>
      <c r="W723" s="50"/>
      <c r="X723" s="50"/>
      <c r="Y723" s="50"/>
      <c r="Z723" s="50"/>
      <c r="AA723" s="50"/>
      <c r="AB723" s="50"/>
    </row>
    <row r="724" customFormat="false" ht="15.75" hidden="false" customHeight="false" outlineLevel="0" collapsed="false">
      <c r="A724" s="50"/>
      <c r="B724" s="50"/>
      <c r="C724" s="5"/>
      <c r="D724" s="48"/>
      <c r="E724" s="50"/>
      <c r="F724" s="5"/>
      <c r="G724" s="5"/>
      <c r="H724" s="5"/>
      <c r="I724" s="5"/>
      <c r="J724" s="5"/>
      <c r="K724" s="50"/>
      <c r="L724" s="50"/>
      <c r="M724" s="50"/>
      <c r="N724" s="50"/>
      <c r="O724" s="50"/>
      <c r="P724" s="50"/>
      <c r="Q724" s="50"/>
      <c r="R724" s="50"/>
      <c r="S724" s="50"/>
      <c r="T724" s="50"/>
      <c r="U724" s="50"/>
      <c r="V724" s="50"/>
      <c r="W724" s="50"/>
      <c r="X724" s="50"/>
      <c r="Y724" s="50"/>
      <c r="Z724" s="50"/>
      <c r="AA724" s="50"/>
      <c r="AB724" s="50"/>
    </row>
    <row r="725" customFormat="false" ht="15.75" hidden="false" customHeight="false" outlineLevel="0" collapsed="false">
      <c r="A725" s="50"/>
      <c r="B725" s="50"/>
      <c r="C725" s="5"/>
      <c r="D725" s="48"/>
      <c r="E725" s="50"/>
      <c r="F725" s="5"/>
      <c r="G725" s="5"/>
      <c r="H725" s="5"/>
      <c r="I725" s="5"/>
      <c r="J725" s="5"/>
      <c r="K725" s="50"/>
      <c r="L725" s="50"/>
      <c r="M725" s="50"/>
      <c r="N725" s="50"/>
      <c r="O725" s="50"/>
      <c r="P725" s="50"/>
      <c r="Q725" s="50"/>
      <c r="R725" s="50"/>
      <c r="S725" s="50"/>
      <c r="T725" s="50"/>
      <c r="U725" s="50"/>
      <c r="V725" s="50"/>
      <c r="W725" s="50"/>
      <c r="X725" s="50"/>
      <c r="Y725" s="50"/>
      <c r="Z725" s="50"/>
      <c r="AA725" s="50"/>
      <c r="AB725" s="50"/>
    </row>
    <row r="726" customFormat="false" ht="15.75" hidden="false" customHeight="false" outlineLevel="0" collapsed="false">
      <c r="A726" s="50"/>
      <c r="B726" s="50"/>
      <c r="C726" s="5"/>
      <c r="D726" s="48"/>
      <c r="E726" s="50"/>
      <c r="F726" s="5"/>
      <c r="G726" s="5"/>
      <c r="H726" s="5"/>
      <c r="I726" s="5"/>
      <c r="J726" s="5"/>
      <c r="K726" s="50"/>
      <c r="L726" s="50"/>
      <c r="M726" s="50"/>
      <c r="N726" s="50"/>
      <c r="O726" s="50"/>
      <c r="P726" s="50"/>
      <c r="Q726" s="50"/>
      <c r="R726" s="50"/>
      <c r="S726" s="50"/>
      <c r="T726" s="50"/>
      <c r="U726" s="50"/>
      <c r="V726" s="50"/>
      <c r="W726" s="50"/>
      <c r="X726" s="50"/>
      <c r="Y726" s="50"/>
      <c r="Z726" s="50"/>
      <c r="AA726" s="50"/>
      <c r="AB726" s="50"/>
    </row>
    <row r="727" customFormat="false" ht="15.75" hidden="false" customHeight="false" outlineLevel="0" collapsed="false">
      <c r="A727" s="50"/>
      <c r="B727" s="50"/>
      <c r="C727" s="5"/>
      <c r="D727" s="48"/>
      <c r="E727" s="50"/>
      <c r="F727" s="5"/>
      <c r="G727" s="5"/>
      <c r="H727" s="5"/>
      <c r="I727" s="5"/>
      <c r="J727" s="5"/>
      <c r="K727" s="50"/>
      <c r="L727" s="50"/>
      <c r="M727" s="50"/>
      <c r="N727" s="50"/>
      <c r="O727" s="50"/>
      <c r="P727" s="50"/>
      <c r="Q727" s="50"/>
      <c r="R727" s="50"/>
      <c r="S727" s="50"/>
      <c r="T727" s="50"/>
      <c r="U727" s="50"/>
      <c r="V727" s="50"/>
      <c r="W727" s="50"/>
      <c r="X727" s="50"/>
      <c r="Y727" s="50"/>
      <c r="Z727" s="50"/>
      <c r="AA727" s="50"/>
      <c r="AB727" s="50"/>
    </row>
    <row r="728" customFormat="false" ht="15.75" hidden="false" customHeight="false" outlineLevel="0" collapsed="false">
      <c r="A728" s="50"/>
      <c r="B728" s="50"/>
      <c r="C728" s="5"/>
      <c r="D728" s="48"/>
      <c r="E728" s="50"/>
      <c r="F728" s="5"/>
      <c r="G728" s="5"/>
      <c r="H728" s="5"/>
      <c r="I728" s="5"/>
      <c r="J728" s="5"/>
      <c r="K728" s="50"/>
      <c r="L728" s="50"/>
      <c r="M728" s="50"/>
      <c r="N728" s="50"/>
      <c r="O728" s="50"/>
      <c r="P728" s="50"/>
      <c r="Q728" s="50"/>
      <c r="R728" s="50"/>
      <c r="S728" s="50"/>
      <c r="T728" s="50"/>
      <c r="U728" s="50"/>
      <c r="V728" s="50"/>
      <c r="W728" s="50"/>
      <c r="X728" s="50"/>
      <c r="Y728" s="50"/>
      <c r="Z728" s="50"/>
      <c r="AA728" s="50"/>
      <c r="AB728" s="50"/>
    </row>
    <row r="729" customFormat="false" ht="15.75" hidden="false" customHeight="false" outlineLevel="0" collapsed="false">
      <c r="A729" s="50"/>
      <c r="B729" s="50"/>
      <c r="C729" s="5"/>
      <c r="D729" s="48"/>
      <c r="E729" s="50"/>
      <c r="F729" s="5"/>
      <c r="G729" s="5"/>
      <c r="H729" s="5"/>
      <c r="I729" s="5"/>
      <c r="J729" s="5"/>
      <c r="K729" s="50"/>
      <c r="L729" s="50"/>
      <c r="M729" s="50"/>
      <c r="N729" s="50"/>
      <c r="O729" s="50"/>
      <c r="P729" s="50"/>
      <c r="Q729" s="50"/>
      <c r="R729" s="50"/>
      <c r="S729" s="50"/>
      <c r="T729" s="50"/>
      <c r="U729" s="50"/>
      <c r="V729" s="50"/>
      <c r="W729" s="50"/>
      <c r="X729" s="50"/>
      <c r="Y729" s="50"/>
      <c r="Z729" s="50"/>
      <c r="AA729" s="50"/>
      <c r="AB729" s="50"/>
    </row>
    <row r="730" customFormat="false" ht="15.75" hidden="false" customHeight="false" outlineLevel="0" collapsed="false">
      <c r="A730" s="50"/>
      <c r="B730" s="50"/>
      <c r="C730" s="5"/>
      <c r="D730" s="48"/>
      <c r="E730" s="50"/>
      <c r="F730" s="5"/>
      <c r="G730" s="5"/>
      <c r="H730" s="5"/>
      <c r="I730" s="5"/>
      <c r="J730" s="5"/>
      <c r="K730" s="50"/>
      <c r="L730" s="50"/>
      <c r="M730" s="50"/>
      <c r="N730" s="50"/>
      <c r="O730" s="50"/>
      <c r="P730" s="50"/>
      <c r="Q730" s="50"/>
      <c r="R730" s="50"/>
      <c r="S730" s="50"/>
      <c r="T730" s="50"/>
      <c r="U730" s="50"/>
      <c r="V730" s="50"/>
      <c r="W730" s="50"/>
      <c r="X730" s="50"/>
      <c r="Y730" s="50"/>
      <c r="Z730" s="50"/>
      <c r="AA730" s="50"/>
      <c r="AB730" s="50"/>
    </row>
    <row r="731" customFormat="false" ht="15.75" hidden="false" customHeight="false" outlineLevel="0" collapsed="false">
      <c r="A731" s="50"/>
      <c r="B731" s="50"/>
      <c r="C731" s="5"/>
      <c r="D731" s="48"/>
      <c r="E731" s="50"/>
      <c r="F731" s="5"/>
      <c r="G731" s="5"/>
      <c r="H731" s="5"/>
      <c r="I731" s="5"/>
      <c r="J731" s="5"/>
      <c r="K731" s="50"/>
      <c r="L731" s="50"/>
      <c r="M731" s="50"/>
      <c r="N731" s="50"/>
      <c r="O731" s="50"/>
      <c r="P731" s="50"/>
      <c r="Q731" s="50"/>
      <c r="R731" s="50"/>
      <c r="S731" s="50"/>
      <c r="T731" s="50"/>
      <c r="U731" s="50"/>
      <c r="V731" s="50"/>
      <c r="W731" s="50"/>
      <c r="X731" s="50"/>
      <c r="Y731" s="50"/>
      <c r="Z731" s="50"/>
      <c r="AA731" s="50"/>
      <c r="AB731" s="50"/>
    </row>
    <row r="732" customFormat="false" ht="15.75" hidden="false" customHeight="false" outlineLevel="0" collapsed="false">
      <c r="A732" s="50"/>
      <c r="B732" s="50"/>
      <c r="C732" s="5"/>
      <c r="D732" s="48"/>
      <c r="E732" s="50"/>
      <c r="F732" s="5"/>
      <c r="G732" s="5"/>
      <c r="H732" s="5"/>
      <c r="I732" s="5"/>
      <c r="J732" s="5"/>
      <c r="K732" s="50"/>
      <c r="L732" s="50"/>
      <c r="M732" s="50"/>
      <c r="N732" s="50"/>
      <c r="O732" s="50"/>
      <c r="P732" s="50"/>
      <c r="Q732" s="50"/>
      <c r="R732" s="50"/>
      <c r="S732" s="50"/>
      <c r="T732" s="50"/>
      <c r="U732" s="50"/>
      <c r="V732" s="50"/>
      <c r="W732" s="50"/>
      <c r="X732" s="50"/>
      <c r="Y732" s="50"/>
      <c r="Z732" s="50"/>
      <c r="AA732" s="50"/>
      <c r="AB732" s="50"/>
    </row>
    <row r="733" customFormat="false" ht="15.75" hidden="false" customHeight="false" outlineLevel="0" collapsed="false">
      <c r="A733" s="50"/>
      <c r="B733" s="50"/>
      <c r="C733" s="5"/>
      <c r="D733" s="48"/>
      <c r="E733" s="50"/>
      <c r="F733" s="5"/>
      <c r="G733" s="5"/>
      <c r="H733" s="5"/>
      <c r="I733" s="5"/>
      <c r="J733" s="5"/>
      <c r="K733" s="50"/>
      <c r="L733" s="50"/>
      <c r="M733" s="50"/>
      <c r="N733" s="50"/>
      <c r="O733" s="50"/>
      <c r="P733" s="50"/>
      <c r="Q733" s="50"/>
      <c r="R733" s="50"/>
      <c r="S733" s="50"/>
      <c r="T733" s="50"/>
      <c r="U733" s="50"/>
      <c r="V733" s="50"/>
      <c r="W733" s="50"/>
      <c r="X733" s="50"/>
      <c r="Y733" s="50"/>
      <c r="Z733" s="50"/>
      <c r="AA733" s="50"/>
      <c r="AB733" s="50"/>
    </row>
    <row r="734" customFormat="false" ht="15.75" hidden="false" customHeight="false" outlineLevel="0" collapsed="false">
      <c r="A734" s="50"/>
      <c r="B734" s="50"/>
      <c r="C734" s="5"/>
      <c r="D734" s="48"/>
      <c r="E734" s="50"/>
      <c r="F734" s="5"/>
      <c r="G734" s="5"/>
      <c r="H734" s="5"/>
      <c r="I734" s="5"/>
      <c r="J734" s="5"/>
      <c r="K734" s="50"/>
      <c r="L734" s="50"/>
      <c r="M734" s="50"/>
      <c r="N734" s="50"/>
      <c r="O734" s="50"/>
      <c r="P734" s="50"/>
      <c r="Q734" s="50"/>
      <c r="R734" s="50"/>
      <c r="S734" s="50"/>
      <c r="T734" s="50"/>
      <c r="U734" s="50"/>
      <c r="V734" s="50"/>
      <c r="W734" s="50"/>
      <c r="X734" s="50"/>
      <c r="Y734" s="50"/>
      <c r="Z734" s="50"/>
      <c r="AA734" s="50"/>
      <c r="AB734" s="50"/>
    </row>
    <row r="735" customFormat="false" ht="15.75" hidden="false" customHeight="false" outlineLevel="0" collapsed="false">
      <c r="A735" s="50"/>
      <c r="B735" s="50"/>
      <c r="C735" s="5"/>
      <c r="D735" s="48"/>
      <c r="E735" s="50"/>
      <c r="F735" s="5"/>
      <c r="G735" s="5"/>
      <c r="H735" s="5"/>
      <c r="I735" s="5"/>
      <c r="J735" s="5"/>
      <c r="K735" s="50"/>
      <c r="L735" s="50"/>
      <c r="M735" s="50"/>
      <c r="N735" s="50"/>
      <c r="O735" s="50"/>
      <c r="P735" s="50"/>
      <c r="Q735" s="50"/>
      <c r="R735" s="50"/>
      <c r="S735" s="50"/>
      <c r="T735" s="50"/>
      <c r="U735" s="50"/>
      <c r="V735" s="50"/>
      <c r="W735" s="50"/>
      <c r="X735" s="50"/>
      <c r="Y735" s="50"/>
      <c r="Z735" s="50"/>
      <c r="AA735" s="50"/>
      <c r="AB735" s="50"/>
    </row>
    <row r="736" customFormat="false" ht="15.75" hidden="false" customHeight="false" outlineLevel="0" collapsed="false">
      <c r="A736" s="50"/>
      <c r="B736" s="50"/>
      <c r="C736" s="5"/>
      <c r="D736" s="48"/>
      <c r="E736" s="50"/>
      <c r="F736" s="5"/>
      <c r="G736" s="5"/>
      <c r="H736" s="5"/>
      <c r="I736" s="5"/>
      <c r="J736" s="5"/>
      <c r="K736" s="50"/>
      <c r="L736" s="50"/>
      <c r="M736" s="50"/>
      <c r="N736" s="50"/>
      <c r="O736" s="50"/>
      <c r="P736" s="50"/>
      <c r="Q736" s="50"/>
      <c r="R736" s="50"/>
      <c r="S736" s="50"/>
      <c r="T736" s="50"/>
      <c r="U736" s="50"/>
      <c r="V736" s="50"/>
      <c r="W736" s="50"/>
      <c r="X736" s="50"/>
      <c r="Y736" s="50"/>
      <c r="Z736" s="50"/>
      <c r="AA736" s="50"/>
      <c r="AB736" s="50"/>
    </row>
    <row r="737" customFormat="false" ht="15.75" hidden="false" customHeight="false" outlineLevel="0" collapsed="false">
      <c r="A737" s="50"/>
      <c r="B737" s="50"/>
      <c r="C737" s="5"/>
      <c r="D737" s="48"/>
      <c r="E737" s="50"/>
      <c r="F737" s="5"/>
      <c r="G737" s="5"/>
      <c r="H737" s="5"/>
      <c r="I737" s="5"/>
      <c r="J737" s="5"/>
      <c r="K737" s="50"/>
      <c r="L737" s="50"/>
      <c r="M737" s="50"/>
      <c r="N737" s="50"/>
      <c r="O737" s="50"/>
      <c r="P737" s="50"/>
      <c r="Q737" s="50"/>
      <c r="R737" s="50"/>
      <c r="S737" s="50"/>
      <c r="T737" s="50"/>
      <c r="U737" s="50"/>
      <c r="V737" s="50"/>
      <c r="W737" s="50"/>
      <c r="X737" s="50"/>
      <c r="Y737" s="50"/>
      <c r="Z737" s="50"/>
      <c r="AA737" s="50"/>
      <c r="AB737" s="50"/>
    </row>
    <row r="738" customFormat="false" ht="15.75" hidden="false" customHeight="false" outlineLevel="0" collapsed="false">
      <c r="A738" s="50"/>
      <c r="B738" s="50"/>
      <c r="C738" s="5"/>
      <c r="D738" s="48"/>
      <c r="E738" s="50"/>
      <c r="F738" s="5"/>
      <c r="G738" s="5"/>
      <c r="H738" s="5"/>
      <c r="I738" s="5"/>
      <c r="J738" s="5"/>
      <c r="K738" s="50"/>
      <c r="L738" s="50"/>
      <c r="M738" s="50"/>
      <c r="N738" s="50"/>
      <c r="O738" s="50"/>
      <c r="P738" s="50"/>
      <c r="Q738" s="50"/>
      <c r="R738" s="50"/>
      <c r="S738" s="50"/>
      <c r="T738" s="50"/>
      <c r="U738" s="50"/>
      <c r="V738" s="50"/>
      <c r="W738" s="50"/>
      <c r="X738" s="50"/>
      <c r="Y738" s="50"/>
      <c r="Z738" s="50"/>
      <c r="AA738" s="50"/>
      <c r="AB738" s="50"/>
    </row>
    <row r="739" customFormat="false" ht="15.75" hidden="false" customHeight="false" outlineLevel="0" collapsed="false">
      <c r="A739" s="50"/>
      <c r="B739" s="50"/>
      <c r="C739" s="5"/>
      <c r="D739" s="48"/>
      <c r="E739" s="50"/>
      <c r="F739" s="5"/>
      <c r="G739" s="5"/>
      <c r="H739" s="5"/>
      <c r="I739" s="5"/>
      <c r="J739" s="5"/>
      <c r="K739" s="50"/>
      <c r="L739" s="50"/>
      <c r="M739" s="50"/>
      <c r="N739" s="50"/>
      <c r="O739" s="50"/>
      <c r="P739" s="50"/>
      <c r="Q739" s="50"/>
      <c r="R739" s="50"/>
      <c r="S739" s="50"/>
      <c r="T739" s="50"/>
      <c r="U739" s="50"/>
      <c r="V739" s="50"/>
      <c r="W739" s="50"/>
      <c r="X739" s="50"/>
      <c r="Y739" s="50"/>
      <c r="Z739" s="50"/>
      <c r="AA739" s="50"/>
      <c r="AB739" s="50"/>
    </row>
    <row r="740" customFormat="false" ht="15.75" hidden="false" customHeight="false" outlineLevel="0" collapsed="false">
      <c r="A740" s="50"/>
      <c r="B740" s="50"/>
      <c r="C740" s="5"/>
      <c r="D740" s="48"/>
      <c r="E740" s="50"/>
      <c r="F740" s="5"/>
      <c r="G740" s="5"/>
      <c r="H740" s="5"/>
      <c r="I740" s="5"/>
      <c r="J740" s="5"/>
      <c r="K740" s="50"/>
      <c r="L740" s="50"/>
      <c r="M740" s="50"/>
      <c r="N740" s="50"/>
      <c r="O740" s="50"/>
      <c r="P740" s="50"/>
      <c r="Q740" s="50"/>
      <c r="R740" s="50"/>
      <c r="S740" s="50"/>
      <c r="T740" s="50"/>
      <c r="U740" s="50"/>
      <c r="V740" s="50"/>
      <c r="W740" s="50"/>
      <c r="X740" s="50"/>
      <c r="Y740" s="50"/>
      <c r="Z740" s="50"/>
      <c r="AA740" s="50"/>
      <c r="AB740" s="50"/>
    </row>
    <row r="741" customFormat="false" ht="15.75" hidden="false" customHeight="false" outlineLevel="0" collapsed="false">
      <c r="A741" s="50"/>
      <c r="B741" s="50"/>
      <c r="C741" s="5"/>
      <c r="D741" s="48"/>
      <c r="E741" s="50"/>
      <c r="F741" s="5"/>
      <c r="G741" s="5"/>
      <c r="H741" s="5"/>
      <c r="I741" s="5"/>
      <c r="J741" s="5"/>
      <c r="K741" s="50"/>
      <c r="L741" s="50"/>
      <c r="M741" s="50"/>
      <c r="N741" s="50"/>
      <c r="O741" s="50"/>
      <c r="P741" s="50"/>
      <c r="Q741" s="50"/>
      <c r="R741" s="50"/>
      <c r="S741" s="50"/>
      <c r="T741" s="50"/>
      <c r="U741" s="50"/>
      <c r="V741" s="50"/>
      <c r="W741" s="50"/>
      <c r="X741" s="50"/>
      <c r="Y741" s="50"/>
      <c r="Z741" s="50"/>
      <c r="AA741" s="50"/>
      <c r="AB741" s="50"/>
    </row>
    <row r="742" customFormat="false" ht="15.75" hidden="false" customHeight="false" outlineLevel="0" collapsed="false">
      <c r="A742" s="50"/>
      <c r="B742" s="50"/>
      <c r="C742" s="5"/>
      <c r="D742" s="48"/>
      <c r="E742" s="50"/>
      <c r="F742" s="5"/>
      <c r="G742" s="5"/>
      <c r="H742" s="5"/>
      <c r="I742" s="5"/>
      <c r="J742" s="5"/>
      <c r="K742" s="50"/>
      <c r="L742" s="50"/>
      <c r="M742" s="50"/>
      <c r="N742" s="50"/>
      <c r="O742" s="50"/>
      <c r="P742" s="50"/>
      <c r="Q742" s="50"/>
      <c r="R742" s="50"/>
      <c r="S742" s="50"/>
      <c r="T742" s="50"/>
      <c r="U742" s="50"/>
      <c r="V742" s="50"/>
      <c r="W742" s="50"/>
      <c r="X742" s="50"/>
      <c r="Y742" s="50"/>
      <c r="Z742" s="50"/>
      <c r="AA742" s="50"/>
      <c r="AB742" s="50"/>
    </row>
    <row r="743" customFormat="false" ht="15.75" hidden="false" customHeight="false" outlineLevel="0" collapsed="false">
      <c r="A743" s="50"/>
      <c r="B743" s="50"/>
      <c r="C743" s="5"/>
      <c r="D743" s="48"/>
      <c r="E743" s="50"/>
      <c r="F743" s="5"/>
      <c r="G743" s="5"/>
      <c r="H743" s="5"/>
      <c r="I743" s="5"/>
      <c r="J743" s="5"/>
      <c r="K743" s="50"/>
      <c r="L743" s="50"/>
      <c r="M743" s="50"/>
      <c r="N743" s="50"/>
      <c r="O743" s="50"/>
      <c r="P743" s="50"/>
      <c r="Q743" s="50"/>
      <c r="R743" s="50"/>
      <c r="S743" s="50"/>
      <c r="T743" s="50"/>
      <c r="U743" s="50"/>
      <c r="V743" s="50"/>
      <c r="W743" s="50"/>
      <c r="X743" s="50"/>
      <c r="Y743" s="50"/>
      <c r="Z743" s="50"/>
      <c r="AA743" s="50"/>
      <c r="AB743" s="50"/>
    </row>
    <row r="744" customFormat="false" ht="15.75" hidden="false" customHeight="false" outlineLevel="0" collapsed="false">
      <c r="A744" s="50"/>
      <c r="B744" s="50"/>
      <c r="C744" s="5"/>
      <c r="D744" s="48"/>
      <c r="E744" s="50"/>
      <c r="F744" s="5"/>
      <c r="G744" s="5"/>
      <c r="H744" s="5"/>
      <c r="I744" s="5"/>
      <c r="J744" s="5"/>
      <c r="K744" s="50"/>
      <c r="L744" s="50"/>
      <c r="M744" s="50"/>
      <c r="N744" s="50"/>
      <c r="O744" s="50"/>
      <c r="P744" s="50"/>
      <c r="Q744" s="50"/>
      <c r="R744" s="50"/>
      <c r="S744" s="50"/>
      <c r="T744" s="50"/>
      <c r="U744" s="50"/>
      <c r="V744" s="50"/>
      <c r="W744" s="50"/>
      <c r="X744" s="50"/>
      <c r="Y744" s="50"/>
      <c r="Z744" s="50"/>
      <c r="AA744" s="50"/>
      <c r="AB744" s="50"/>
    </row>
    <row r="745" customFormat="false" ht="15.75" hidden="false" customHeight="false" outlineLevel="0" collapsed="false">
      <c r="A745" s="50"/>
      <c r="B745" s="50"/>
      <c r="C745" s="5"/>
      <c r="D745" s="48"/>
      <c r="E745" s="50"/>
      <c r="F745" s="5"/>
      <c r="G745" s="5"/>
      <c r="H745" s="5"/>
      <c r="I745" s="5"/>
      <c r="J745" s="5"/>
      <c r="K745" s="50"/>
      <c r="L745" s="50"/>
      <c r="M745" s="50"/>
      <c r="N745" s="50"/>
      <c r="O745" s="50"/>
      <c r="P745" s="50"/>
      <c r="Q745" s="50"/>
      <c r="R745" s="50"/>
      <c r="S745" s="50"/>
      <c r="T745" s="50"/>
      <c r="U745" s="50"/>
      <c r="V745" s="50"/>
      <c r="W745" s="50"/>
      <c r="X745" s="50"/>
      <c r="Y745" s="50"/>
      <c r="Z745" s="50"/>
      <c r="AA745" s="50"/>
      <c r="AB745" s="50"/>
    </row>
    <row r="746" customFormat="false" ht="15.75" hidden="false" customHeight="false" outlineLevel="0" collapsed="false">
      <c r="A746" s="50"/>
      <c r="B746" s="50"/>
      <c r="C746" s="5"/>
      <c r="D746" s="48"/>
      <c r="E746" s="50"/>
      <c r="F746" s="5"/>
      <c r="G746" s="5"/>
      <c r="H746" s="5"/>
      <c r="I746" s="5"/>
      <c r="J746" s="5"/>
      <c r="K746" s="50"/>
      <c r="L746" s="50"/>
      <c r="M746" s="50"/>
      <c r="N746" s="50"/>
      <c r="O746" s="50"/>
      <c r="P746" s="50"/>
      <c r="Q746" s="50"/>
      <c r="R746" s="50"/>
      <c r="S746" s="50"/>
      <c r="T746" s="50"/>
      <c r="U746" s="50"/>
      <c r="V746" s="50"/>
      <c r="W746" s="50"/>
      <c r="X746" s="50"/>
      <c r="Y746" s="50"/>
      <c r="Z746" s="50"/>
      <c r="AA746" s="50"/>
      <c r="AB746" s="50"/>
    </row>
    <row r="747" customFormat="false" ht="15.75" hidden="false" customHeight="false" outlineLevel="0" collapsed="false">
      <c r="A747" s="50"/>
      <c r="B747" s="50"/>
      <c r="C747" s="5"/>
      <c r="D747" s="48"/>
      <c r="E747" s="50"/>
      <c r="F747" s="5"/>
      <c r="G747" s="5"/>
      <c r="H747" s="5"/>
      <c r="I747" s="5"/>
      <c r="J747" s="5"/>
      <c r="K747" s="50"/>
      <c r="L747" s="50"/>
      <c r="M747" s="50"/>
      <c r="N747" s="50"/>
      <c r="O747" s="50"/>
      <c r="P747" s="50"/>
      <c r="Q747" s="50"/>
      <c r="R747" s="50"/>
      <c r="S747" s="50"/>
      <c r="T747" s="50"/>
      <c r="U747" s="50"/>
      <c r="V747" s="50"/>
      <c r="W747" s="50"/>
      <c r="X747" s="50"/>
      <c r="Y747" s="50"/>
      <c r="Z747" s="50"/>
      <c r="AA747" s="50"/>
      <c r="AB747" s="50"/>
    </row>
    <row r="748" customFormat="false" ht="15.75" hidden="false" customHeight="false" outlineLevel="0" collapsed="false">
      <c r="A748" s="50"/>
      <c r="B748" s="50"/>
      <c r="C748" s="5"/>
      <c r="D748" s="48"/>
      <c r="E748" s="50"/>
      <c r="F748" s="5"/>
      <c r="G748" s="5"/>
      <c r="H748" s="5"/>
      <c r="I748" s="5"/>
      <c r="J748" s="5"/>
      <c r="K748" s="50"/>
      <c r="L748" s="50"/>
      <c r="M748" s="50"/>
      <c r="N748" s="50"/>
      <c r="O748" s="50"/>
      <c r="P748" s="50"/>
      <c r="Q748" s="50"/>
      <c r="R748" s="50"/>
      <c r="S748" s="50"/>
      <c r="T748" s="50"/>
      <c r="U748" s="50"/>
      <c r="V748" s="50"/>
      <c r="W748" s="50"/>
      <c r="X748" s="50"/>
      <c r="Y748" s="50"/>
      <c r="Z748" s="50"/>
      <c r="AA748" s="50"/>
      <c r="AB748" s="50"/>
    </row>
    <row r="749" customFormat="false" ht="15.75" hidden="false" customHeight="false" outlineLevel="0" collapsed="false">
      <c r="A749" s="50"/>
      <c r="B749" s="50"/>
      <c r="C749" s="5"/>
      <c r="D749" s="48"/>
      <c r="E749" s="50"/>
      <c r="F749" s="5"/>
      <c r="G749" s="5"/>
      <c r="H749" s="5"/>
      <c r="I749" s="5"/>
      <c r="J749" s="5"/>
      <c r="K749" s="50"/>
      <c r="L749" s="50"/>
      <c r="M749" s="50"/>
      <c r="N749" s="50"/>
      <c r="O749" s="50"/>
      <c r="P749" s="50"/>
      <c r="Q749" s="50"/>
      <c r="R749" s="50"/>
      <c r="S749" s="50"/>
      <c r="T749" s="50"/>
      <c r="U749" s="50"/>
      <c r="V749" s="50"/>
      <c r="W749" s="50"/>
      <c r="X749" s="50"/>
      <c r="Y749" s="50"/>
      <c r="Z749" s="50"/>
      <c r="AA749" s="50"/>
      <c r="AB749" s="50"/>
    </row>
    <row r="750" customFormat="false" ht="15.75" hidden="false" customHeight="false" outlineLevel="0" collapsed="false">
      <c r="A750" s="50"/>
      <c r="B750" s="50"/>
      <c r="C750" s="5"/>
      <c r="D750" s="48"/>
      <c r="E750" s="50"/>
      <c r="F750" s="5"/>
      <c r="G750" s="5"/>
      <c r="H750" s="5"/>
      <c r="I750" s="5"/>
      <c r="J750" s="5"/>
      <c r="K750" s="50"/>
      <c r="L750" s="50"/>
      <c r="M750" s="50"/>
      <c r="N750" s="50"/>
      <c r="O750" s="50"/>
      <c r="P750" s="50"/>
      <c r="Q750" s="50"/>
      <c r="R750" s="50"/>
      <c r="S750" s="50"/>
      <c r="T750" s="50"/>
      <c r="U750" s="50"/>
      <c r="V750" s="50"/>
      <c r="W750" s="50"/>
      <c r="X750" s="50"/>
      <c r="Y750" s="50"/>
      <c r="Z750" s="50"/>
      <c r="AA750" s="50"/>
      <c r="AB750" s="50"/>
    </row>
    <row r="751" customFormat="false" ht="15.75" hidden="false" customHeight="false" outlineLevel="0" collapsed="false">
      <c r="A751" s="50"/>
      <c r="B751" s="50"/>
      <c r="C751" s="5"/>
      <c r="D751" s="48"/>
      <c r="E751" s="50"/>
      <c r="F751" s="5"/>
      <c r="G751" s="5"/>
      <c r="H751" s="5"/>
      <c r="I751" s="5"/>
      <c r="J751" s="5"/>
      <c r="K751" s="50"/>
      <c r="L751" s="50"/>
      <c r="M751" s="50"/>
      <c r="N751" s="50"/>
      <c r="O751" s="50"/>
      <c r="P751" s="50"/>
      <c r="Q751" s="50"/>
      <c r="R751" s="50"/>
      <c r="S751" s="50"/>
      <c r="T751" s="50"/>
      <c r="U751" s="50"/>
      <c r="V751" s="50"/>
      <c r="W751" s="50"/>
      <c r="X751" s="50"/>
      <c r="Y751" s="50"/>
      <c r="Z751" s="50"/>
      <c r="AA751" s="50"/>
      <c r="AB751" s="50"/>
    </row>
    <row r="752" customFormat="false" ht="15.75" hidden="false" customHeight="false" outlineLevel="0" collapsed="false">
      <c r="A752" s="50"/>
      <c r="B752" s="50"/>
      <c r="C752" s="5"/>
      <c r="D752" s="48"/>
      <c r="E752" s="50"/>
      <c r="F752" s="5"/>
      <c r="G752" s="5"/>
      <c r="H752" s="5"/>
      <c r="I752" s="5"/>
      <c r="J752" s="5"/>
      <c r="K752" s="50"/>
      <c r="L752" s="50"/>
      <c r="M752" s="50"/>
      <c r="N752" s="50"/>
      <c r="O752" s="50"/>
      <c r="P752" s="50"/>
      <c r="Q752" s="50"/>
      <c r="R752" s="50"/>
      <c r="S752" s="50"/>
      <c r="T752" s="50"/>
      <c r="U752" s="50"/>
      <c r="V752" s="50"/>
      <c r="W752" s="50"/>
      <c r="X752" s="50"/>
      <c r="Y752" s="50"/>
      <c r="Z752" s="50"/>
      <c r="AA752" s="50"/>
      <c r="AB752" s="50"/>
    </row>
    <row r="753" customFormat="false" ht="15.75" hidden="false" customHeight="false" outlineLevel="0" collapsed="false">
      <c r="A753" s="50"/>
      <c r="B753" s="50"/>
      <c r="C753" s="5"/>
      <c r="D753" s="48"/>
      <c r="E753" s="50"/>
      <c r="F753" s="5"/>
      <c r="G753" s="5"/>
      <c r="H753" s="5"/>
      <c r="I753" s="5"/>
      <c r="J753" s="5"/>
      <c r="K753" s="50"/>
      <c r="L753" s="50"/>
      <c r="M753" s="50"/>
      <c r="N753" s="50"/>
      <c r="O753" s="50"/>
      <c r="P753" s="50"/>
      <c r="Q753" s="50"/>
      <c r="R753" s="50"/>
      <c r="S753" s="50"/>
      <c r="T753" s="50"/>
      <c r="U753" s="50"/>
      <c r="V753" s="50"/>
      <c r="W753" s="50"/>
      <c r="X753" s="50"/>
      <c r="Y753" s="50"/>
      <c r="Z753" s="50"/>
      <c r="AA753" s="50"/>
      <c r="AB753" s="50"/>
    </row>
    <row r="754" customFormat="false" ht="15.75" hidden="false" customHeight="false" outlineLevel="0" collapsed="false">
      <c r="A754" s="50"/>
      <c r="B754" s="50"/>
      <c r="C754" s="5"/>
      <c r="D754" s="48"/>
      <c r="E754" s="50"/>
      <c r="F754" s="5"/>
      <c r="G754" s="5"/>
      <c r="H754" s="5"/>
      <c r="I754" s="5"/>
      <c r="J754" s="5"/>
      <c r="K754" s="50"/>
      <c r="L754" s="50"/>
      <c r="M754" s="50"/>
      <c r="N754" s="50"/>
      <c r="O754" s="50"/>
      <c r="P754" s="50"/>
      <c r="Q754" s="50"/>
      <c r="R754" s="50"/>
      <c r="S754" s="50"/>
      <c r="T754" s="50"/>
      <c r="U754" s="50"/>
      <c r="V754" s="50"/>
      <c r="W754" s="50"/>
      <c r="X754" s="50"/>
      <c r="Y754" s="50"/>
      <c r="Z754" s="50"/>
      <c r="AA754" s="50"/>
      <c r="AB754" s="50"/>
    </row>
    <row r="755" customFormat="false" ht="15.75" hidden="false" customHeight="false" outlineLevel="0" collapsed="false">
      <c r="A755" s="50"/>
      <c r="B755" s="50"/>
      <c r="C755" s="5"/>
      <c r="D755" s="48"/>
      <c r="E755" s="50"/>
      <c r="F755" s="5"/>
      <c r="G755" s="5"/>
      <c r="H755" s="5"/>
      <c r="I755" s="5"/>
      <c r="J755" s="5"/>
      <c r="K755" s="50"/>
      <c r="L755" s="50"/>
      <c r="M755" s="50"/>
      <c r="N755" s="50"/>
      <c r="O755" s="50"/>
      <c r="P755" s="50"/>
      <c r="Q755" s="50"/>
      <c r="R755" s="50"/>
      <c r="S755" s="50"/>
      <c r="T755" s="50"/>
      <c r="U755" s="50"/>
      <c r="V755" s="50"/>
      <c r="W755" s="50"/>
      <c r="X755" s="50"/>
      <c r="Y755" s="50"/>
      <c r="Z755" s="50"/>
      <c r="AA755" s="50"/>
      <c r="AB755" s="50"/>
    </row>
    <row r="756" customFormat="false" ht="15.75" hidden="false" customHeight="false" outlineLevel="0" collapsed="false">
      <c r="A756" s="50"/>
      <c r="B756" s="50"/>
      <c r="C756" s="5"/>
      <c r="D756" s="48"/>
      <c r="E756" s="50"/>
      <c r="F756" s="5"/>
      <c r="G756" s="5"/>
      <c r="H756" s="5"/>
      <c r="I756" s="5"/>
      <c r="J756" s="5"/>
      <c r="K756" s="50"/>
      <c r="L756" s="50"/>
      <c r="M756" s="50"/>
      <c r="N756" s="50"/>
      <c r="O756" s="50"/>
      <c r="P756" s="50"/>
      <c r="Q756" s="50"/>
      <c r="R756" s="50"/>
      <c r="S756" s="50"/>
      <c r="T756" s="50"/>
      <c r="U756" s="50"/>
      <c r="V756" s="50"/>
      <c r="W756" s="50"/>
      <c r="X756" s="50"/>
      <c r="Y756" s="50"/>
      <c r="Z756" s="50"/>
      <c r="AA756" s="50"/>
      <c r="AB756" s="50"/>
    </row>
    <row r="757" customFormat="false" ht="15.75" hidden="false" customHeight="false" outlineLevel="0" collapsed="false">
      <c r="A757" s="50"/>
      <c r="B757" s="50"/>
      <c r="C757" s="5"/>
      <c r="D757" s="48"/>
      <c r="E757" s="50"/>
      <c r="F757" s="5"/>
      <c r="G757" s="5"/>
      <c r="H757" s="5"/>
      <c r="I757" s="5"/>
      <c r="J757" s="5"/>
      <c r="K757" s="50"/>
      <c r="L757" s="50"/>
      <c r="M757" s="50"/>
      <c r="N757" s="50"/>
      <c r="O757" s="50"/>
      <c r="P757" s="50"/>
      <c r="Q757" s="50"/>
      <c r="R757" s="50"/>
      <c r="S757" s="50"/>
      <c r="T757" s="50"/>
      <c r="U757" s="50"/>
      <c r="V757" s="50"/>
      <c r="W757" s="50"/>
      <c r="X757" s="50"/>
      <c r="Y757" s="50"/>
      <c r="Z757" s="50"/>
      <c r="AA757" s="50"/>
      <c r="AB757" s="50"/>
    </row>
    <row r="758" customFormat="false" ht="15.75" hidden="false" customHeight="false" outlineLevel="0" collapsed="false">
      <c r="A758" s="50"/>
      <c r="B758" s="50"/>
      <c r="C758" s="5"/>
      <c r="D758" s="48"/>
      <c r="E758" s="50"/>
      <c r="F758" s="5"/>
      <c r="G758" s="5"/>
      <c r="H758" s="5"/>
      <c r="I758" s="5"/>
      <c r="J758" s="5"/>
      <c r="K758" s="50"/>
      <c r="L758" s="50"/>
      <c r="M758" s="50"/>
      <c r="N758" s="50"/>
      <c r="O758" s="50"/>
      <c r="P758" s="50"/>
      <c r="Q758" s="50"/>
      <c r="R758" s="50"/>
      <c r="S758" s="50"/>
      <c r="T758" s="50"/>
      <c r="U758" s="50"/>
      <c r="V758" s="50"/>
      <c r="W758" s="50"/>
      <c r="X758" s="50"/>
      <c r="Y758" s="50"/>
      <c r="Z758" s="50"/>
      <c r="AA758" s="50"/>
      <c r="AB758" s="50"/>
    </row>
    <row r="759" customFormat="false" ht="15.75" hidden="false" customHeight="false" outlineLevel="0" collapsed="false">
      <c r="A759" s="50"/>
      <c r="B759" s="50"/>
      <c r="C759" s="5"/>
      <c r="D759" s="48"/>
      <c r="E759" s="50"/>
      <c r="F759" s="5"/>
      <c r="G759" s="5"/>
      <c r="H759" s="5"/>
      <c r="I759" s="5"/>
      <c r="J759" s="5"/>
      <c r="K759" s="50"/>
      <c r="L759" s="50"/>
      <c r="M759" s="50"/>
      <c r="N759" s="50"/>
      <c r="O759" s="50"/>
      <c r="P759" s="50"/>
      <c r="Q759" s="50"/>
      <c r="R759" s="50"/>
      <c r="S759" s="50"/>
      <c r="T759" s="50"/>
      <c r="U759" s="50"/>
      <c r="V759" s="50"/>
      <c r="W759" s="50"/>
      <c r="X759" s="50"/>
      <c r="Y759" s="50"/>
      <c r="Z759" s="50"/>
      <c r="AA759" s="50"/>
      <c r="AB759" s="50"/>
    </row>
    <row r="760" customFormat="false" ht="15.75" hidden="false" customHeight="false" outlineLevel="0" collapsed="false">
      <c r="A760" s="50"/>
      <c r="B760" s="50"/>
      <c r="C760" s="5"/>
      <c r="D760" s="48"/>
      <c r="E760" s="50"/>
      <c r="F760" s="5"/>
      <c r="G760" s="5"/>
      <c r="H760" s="5"/>
      <c r="I760" s="5"/>
      <c r="J760" s="5"/>
      <c r="K760" s="50"/>
      <c r="L760" s="50"/>
      <c r="M760" s="50"/>
      <c r="N760" s="50"/>
      <c r="O760" s="50"/>
      <c r="P760" s="50"/>
      <c r="Q760" s="50"/>
      <c r="R760" s="50"/>
      <c r="S760" s="50"/>
      <c r="T760" s="50"/>
      <c r="U760" s="50"/>
      <c r="V760" s="50"/>
      <c r="W760" s="50"/>
      <c r="X760" s="50"/>
      <c r="Y760" s="50"/>
      <c r="Z760" s="50"/>
      <c r="AA760" s="50"/>
      <c r="AB760" s="50"/>
    </row>
    <row r="761" customFormat="false" ht="15.75" hidden="false" customHeight="false" outlineLevel="0" collapsed="false">
      <c r="A761" s="50"/>
      <c r="B761" s="50"/>
      <c r="C761" s="5"/>
      <c r="D761" s="48"/>
      <c r="E761" s="50"/>
      <c r="F761" s="5"/>
      <c r="G761" s="5"/>
      <c r="H761" s="5"/>
      <c r="I761" s="5"/>
      <c r="J761" s="5"/>
      <c r="K761" s="50"/>
      <c r="L761" s="50"/>
      <c r="M761" s="50"/>
      <c r="N761" s="50"/>
      <c r="O761" s="50"/>
      <c r="P761" s="50"/>
      <c r="Q761" s="50"/>
      <c r="R761" s="50"/>
      <c r="S761" s="50"/>
      <c r="T761" s="50"/>
      <c r="U761" s="50"/>
      <c r="V761" s="50"/>
      <c r="W761" s="50"/>
      <c r="X761" s="50"/>
      <c r="Y761" s="50"/>
      <c r="Z761" s="50"/>
      <c r="AA761" s="50"/>
      <c r="AB761" s="50"/>
    </row>
    <row r="762" customFormat="false" ht="15.75" hidden="false" customHeight="false" outlineLevel="0" collapsed="false">
      <c r="A762" s="50"/>
      <c r="B762" s="50"/>
      <c r="C762" s="5"/>
      <c r="D762" s="48"/>
      <c r="E762" s="50"/>
      <c r="F762" s="5"/>
      <c r="G762" s="5"/>
      <c r="H762" s="5"/>
      <c r="I762" s="5"/>
      <c r="J762" s="5"/>
      <c r="K762" s="50"/>
      <c r="L762" s="50"/>
      <c r="M762" s="50"/>
      <c r="N762" s="50"/>
      <c r="O762" s="50"/>
      <c r="P762" s="50"/>
      <c r="Q762" s="50"/>
      <c r="R762" s="50"/>
      <c r="S762" s="50"/>
      <c r="T762" s="50"/>
      <c r="U762" s="50"/>
      <c r="V762" s="50"/>
      <c r="W762" s="50"/>
      <c r="X762" s="50"/>
      <c r="Y762" s="50"/>
      <c r="Z762" s="50"/>
      <c r="AA762" s="50"/>
      <c r="AB762" s="50"/>
    </row>
    <row r="763" customFormat="false" ht="15.75" hidden="false" customHeight="false" outlineLevel="0" collapsed="false">
      <c r="A763" s="50"/>
      <c r="B763" s="50"/>
      <c r="C763" s="5"/>
      <c r="D763" s="48"/>
      <c r="E763" s="50"/>
      <c r="F763" s="5"/>
      <c r="G763" s="5"/>
      <c r="H763" s="5"/>
      <c r="I763" s="5"/>
      <c r="J763" s="5"/>
      <c r="K763" s="50"/>
      <c r="L763" s="50"/>
      <c r="M763" s="50"/>
      <c r="N763" s="50"/>
      <c r="O763" s="50"/>
      <c r="P763" s="50"/>
      <c r="Q763" s="50"/>
      <c r="R763" s="50"/>
      <c r="S763" s="50"/>
      <c r="T763" s="50"/>
      <c r="U763" s="50"/>
      <c r="V763" s="50"/>
      <c r="W763" s="50"/>
      <c r="X763" s="50"/>
      <c r="Y763" s="50"/>
      <c r="Z763" s="50"/>
      <c r="AA763" s="50"/>
      <c r="AB763" s="50"/>
    </row>
    <row r="764" customFormat="false" ht="15.75" hidden="false" customHeight="false" outlineLevel="0" collapsed="false">
      <c r="A764" s="50"/>
      <c r="B764" s="50"/>
      <c r="C764" s="5"/>
      <c r="D764" s="48"/>
      <c r="E764" s="50"/>
      <c r="F764" s="5"/>
      <c r="G764" s="5"/>
      <c r="H764" s="5"/>
      <c r="I764" s="5"/>
      <c r="J764" s="5"/>
      <c r="K764" s="50"/>
      <c r="L764" s="50"/>
      <c r="M764" s="50"/>
      <c r="N764" s="50"/>
      <c r="O764" s="50"/>
      <c r="P764" s="50"/>
      <c r="Q764" s="50"/>
      <c r="R764" s="50"/>
      <c r="S764" s="50"/>
      <c r="T764" s="50"/>
      <c r="U764" s="50"/>
      <c r="V764" s="50"/>
      <c r="W764" s="50"/>
      <c r="X764" s="50"/>
      <c r="Y764" s="50"/>
      <c r="Z764" s="50"/>
      <c r="AA764" s="50"/>
      <c r="AB764" s="50"/>
    </row>
    <row r="765" customFormat="false" ht="15.75" hidden="false" customHeight="false" outlineLevel="0" collapsed="false">
      <c r="A765" s="50"/>
      <c r="B765" s="50"/>
      <c r="C765" s="5"/>
      <c r="D765" s="48"/>
      <c r="E765" s="50"/>
      <c r="F765" s="5"/>
      <c r="G765" s="5"/>
      <c r="H765" s="5"/>
      <c r="I765" s="5"/>
      <c r="J765" s="5"/>
      <c r="K765" s="50"/>
      <c r="L765" s="50"/>
      <c r="M765" s="50"/>
      <c r="N765" s="50"/>
      <c r="O765" s="50"/>
      <c r="P765" s="50"/>
      <c r="Q765" s="50"/>
      <c r="R765" s="50"/>
      <c r="S765" s="50"/>
      <c r="T765" s="50"/>
      <c r="U765" s="50"/>
      <c r="V765" s="50"/>
      <c r="W765" s="50"/>
      <c r="X765" s="50"/>
      <c r="Y765" s="50"/>
      <c r="Z765" s="50"/>
      <c r="AA765" s="50"/>
      <c r="AB765" s="50"/>
    </row>
    <row r="766" customFormat="false" ht="15.75" hidden="false" customHeight="false" outlineLevel="0" collapsed="false">
      <c r="A766" s="50"/>
      <c r="B766" s="50"/>
      <c r="C766" s="5"/>
      <c r="D766" s="48"/>
      <c r="E766" s="50"/>
      <c r="F766" s="5"/>
      <c r="G766" s="5"/>
      <c r="H766" s="5"/>
      <c r="I766" s="5"/>
      <c r="J766" s="5"/>
      <c r="K766" s="50"/>
      <c r="L766" s="50"/>
      <c r="M766" s="50"/>
      <c r="N766" s="50"/>
      <c r="O766" s="50"/>
      <c r="P766" s="50"/>
      <c r="Q766" s="50"/>
      <c r="R766" s="50"/>
      <c r="S766" s="50"/>
      <c r="T766" s="50"/>
      <c r="U766" s="50"/>
      <c r="V766" s="50"/>
      <c r="W766" s="50"/>
      <c r="X766" s="50"/>
      <c r="Y766" s="50"/>
      <c r="Z766" s="50"/>
      <c r="AA766" s="50"/>
      <c r="AB766" s="50"/>
    </row>
    <row r="767" customFormat="false" ht="15.75" hidden="false" customHeight="false" outlineLevel="0" collapsed="false">
      <c r="A767" s="50"/>
      <c r="B767" s="50"/>
      <c r="C767" s="5"/>
      <c r="D767" s="48"/>
      <c r="E767" s="50"/>
      <c r="F767" s="5"/>
      <c r="G767" s="5"/>
      <c r="H767" s="5"/>
      <c r="I767" s="5"/>
      <c r="J767" s="5"/>
      <c r="K767" s="50"/>
      <c r="L767" s="50"/>
      <c r="M767" s="50"/>
      <c r="N767" s="50"/>
      <c r="O767" s="50"/>
      <c r="P767" s="50"/>
      <c r="Q767" s="50"/>
      <c r="R767" s="50"/>
      <c r="S767" s="50"/>
      <c r="T767" s="50"/>
      <c r="U767" s="50"/>
      <c r="V767" s="50"/>
      <c r="W767" s="50"/>
      <c r="X767" s="50"/>
      <c r="Y767" s="50"/>
      <c r="Z767" s="50"/>
      <c r="AA767" s="50"/>
      <c r="AB767" s="50"/>
    </row>
    <row r="768" customFormat="false" ht="15.75" hidden="false" customHeight="false" outlineLevel="0" collapsed="false">
      <c r="A768" s="50"/>
      <c r="B768" s="50"/>
      <c r="C768" s="5"/>
      <c r="D768" s="48"/>
      <c r="E768" s="50"/>
      <c r="F768" s="5"/>
      <c r="G768" s="5"/>
      <c r="H768" s="5"/>
      <c r="I768" s="5"/>
      <c r="J768" s="5"/>
      <c r="K768" s="50"/>
      <c r="L768" s="50"/>
      <c r="M768" s="50"/>
      <c r="N768" s="50"/>
      <c r="O768" s="50"/>
      <c r="P768" s="50"/>
      <c r="Q768" s="50"/>
      <c r="R768" s="50"/>
      <c r="S768" s="50"/>
      <c r="T768" s="50"/>
      <c r="U768" s="50"/>
      <c r="V768" s="50"/>
      <c r="W768" s="50"/>
      <c r="X768" s="50"/>
      <c r="Y768" s="50"/>
      <c r="Z768" s="50"/>
      <c r="AA768" s="50"/>
      <c r="AB768" s="50"/>
    </row>
    <row r="769" customFormat="false" ht="15.75" hidden="false" customHeight="false" outlineLevel="0" collapsed="false">
      <c r="A769" s="50"/>
      <c r="B769" s="50"/>
      <c r="C769" s="5"/>
      <c r="D769" s="48"/>
      <c r="E769" s="50"/>
      <c r="F769" s="5"/>
      <c r="G769" s="5"/>
      <c r="H769" s="5"/>
      <c r="I769" s="5"/>
      <c r="J769" s="5"/>
      <c r="K769" s="50"/>
      <c r="L769" s="50"/>
      <c r="M769" s="50"/>
      <c r="N769" s="50"/>
      <c r="O769" s="50"/>
      <c r="P769" s="50"/>
      <c r="Q769" s="50"/>
      <c r="R769" s="50"/>
      <c r="S769" s="50"/>
      <c r="T769" s="50"/>
      <c r="U769" s="50"/>
      <c r="V769" s="50"/>
      <c r="W769" s="50"/>
      <c r="X769" s="50"/>
      <c r="Y769" s="50"/>
      <c r="Z769" s="50"/>
      <c r="AA769" s="50"/>
      <c r="AB769" s="50"/>
    </row>
    <row r="770" customFormat="false" ht="15.75" hidden="false" customHeight="false" outlineLevel="0" collapsed="false">
      <c r="A770" s="50"/>
      <c r="B770" s="50"/>
      <c r="C770" s="5"/>
      <c r="D770" s="48"/>
      <c r="E770" s="50"/>
      <c r="F770" s="5"/>
      <c r="G770" s="5"/>
      <c r="H770" s="5"/>
      <c r="I770" s="5"/>
      <c r="J770" s="5"/>
      <c r="K770" s="50"/>
      <c r="L770" s="50"/>
      <c r="M770" s="50"/>
      <c r="N770" s="50"/>
      <c r="O770" s="50"/>
      <c r="P770" s="50"/>
      <c r="Q770" s="50"/>
      <c r="R770" s="50"/>
      <c r="S770" s="50"/>
      <c r="T770" s="50"/>
      <c r="U770" s="50"/>
      <c r="V770" s="50"/>
      <c r="W770" s="50"/>
      <c r="X770" s="50"/>
      <c r="Y770" s="50"/>
      <c r="Z770" s="50"/>
      <c r="AA770" s="50"/>
      <c r="AB770" s="50"/>
    </row>
    <row r="771" customFormat="false" ht="15.75" hidden="false" customHeight="false" outlineLevel="0" collapsed="false">
      <c r="A771" s="50"/>
      <c r="B771" s="50"/>
      <c r="C771" s="5"/>
      <c r="D771" s="48"/>
      <c r="E771" s="50"/>
      <c r="F771" s="5"/>
      <c r="G771" s="5"/>
      <c r="H771" s="5"/>
      <c r="I771" s="5"/>
      <c r="J771" s="5"/>
      <c r="K771" s="50"/>
      <c r="L771" s="50"/>
      <c r="M771" s="50"/>
      <c r="N771" s="50"/>
      <c r="O771" s="50"/>
      <c r="P771" s="50"/>
      <c r="Q771" s="50"/>
      <c r="R771" s="50"/>
      <c r="S771" s="50"/>
      <c r="T771" s="50"/>
      <c r="U771" s="50"/>
      <c r="V771" s="50"/>
      <c r="W771" s="50"/>
      <c r="X771" s="50"/>
      <c r="Y771" s="50"/>
      <c r="Z771" s="50"/>
      <c r="AA771" s="50"/>
      <c r="AB771" s="50"/>
    </row>
    <row r="772" customFormat="false" ht="15.75" hidden="false" customHeight="false" outlineLevel="0" collapsed="false">
      <c r="A772" s="50"/>
      <c r="B772" s="50"/>
      <c r="C772" s="5"/>
      <c r="D772" s="48"/>
      <c r="E772" s="50"/>
      <c r="F772" s="5"/>
      <c r="G772" s="5"/>
      <c r="H772" s="5"/>
      <c r="I772" s="5"/>
      <c r="J772" s="5"/>
      <c r="K772" s="50"/>
      <c r="L772" s="50"/>
      <c r="M772" s="50"/>
      <c r="N772" s="50"/>
      <c r="O772" s="50"/>
      <c r="P772" s="50"/>
      <c r="Q772" s="50"/>
      <c r="R772" s="50"/>
      <c r="S772" s="50"/>
      <c r="T772" s="50"/>
      <c r="U772" s="50"/>
      <c r="V772" s="50"/>
      <c r="W772" s="50"/>
      <c r="X772" s="50"/>
      <c r="Y772" s="50"/>
      <c r="Z772" s="50"/>
      <c r="AA772" s="50"/>
      <c r="AB772" s="50"/>
    </row>
    <row r="773" customFormat="false" ht="15.75" hidden="false" customHeight="false" outlineLevel="0" collapsed="false">
      <c r="A773" s="50"/>
      <c r="B773" s="50"/>
      <c r="C773" s="5"/>
      <c r="D773" s="48"/>
      <c r="E773" s="50"/>
      <c r="F773" s="5"/>
      <c r="G773" s="5"/>
      <c r="H773" s="5"/>
      <c r="I773" s="5"/>
      <c r="J773" s="5"/>
      <c r="K773" s="50"/>
      <c r="L773" s="50"/>
      <c r="M773" s="50"/>
      <c r="N773" s="50"/>
      <c r="O773" s="50"/>
      <c r="P773" s="50"/>
      <c r="Q773" s="50"/>
      <c r="R773" s="50"/>
      <c r="S773" s="50"/>
      <c r="T773" s="50"/>
      <c r="U773" s="50"/>
      <c r="V773" s="50"/>
      <c r="W773" s="50"/>
      <c r="X773" s="50"/>
      <c r="Y773" s="50"/>
      <c r="Z773" s="50"/>
      <c r="AA773" s="50"/>
      <c r="AB773" s="50"/>
    </row>
    <row r="774" customFormat="false" ht="15.75" hidden="false" customHeight="false" outlineLevel="0" collapsed="false">
      <c r="A774" s="50"/>
      <c r="B774" s="50"/>
      <c r="C774" s="5"/>
      <c r="D774" s="48"/>
      <c r="E774" s="50"/>
      <c r="F774" s="5"/>
      <c r="G774" s="5"/>
      <c r="H774" s="5"/>
      <c r="I774" s="5"/>
      <c r="J774" s="5"/>
      <c r="K774" s="50"/>
      <c r="L774" s="50"/>
      <c r="M774" s="50"/>
      <c r="N774" s="50"/>
      <c r="O774" s="50"/>
      <c r="P774" s="50"/>
      <c r="Q774" s="50"/>
      <c r="R774" s="50"/>
      <c r="S774" s="50"/>
      <c r="T774" s="50"/>
      <c r="U774" s="50"/>
      <c r="V774" s="50"/>
      <c r="W774" s="50"/>
      <c r="X774" s="50"/>
      <c r="Y774" s="50"/>
      <c r="Z774" s="50"/>
      <c r="AA774" s="50"/>
      <c r="AB774" s="50"/>
    </row>
    <row r="775" customFormat="false" ht="15.75" hidden="false" customHeight="false" outlineLevel="0" collapsed="false">
      <c r="A775" s="50"/>
      <c r="B775" s="50"/>
      <c r="C775" s="5"/>
      <c r="D775" s="48"/>
      <c r="E775" s="50"/>
      <c r="F775" s="5"/>
      <c r="G775" s="5"/>
      <c r="H775" s="5"/>
      <c r="I775" s="5"/>
      <c r="J775" s="5"/>
      <c r="K775" s="50"/>
      <c r="L775" s="50"/>
      <c r="M775" s="50"/>
      <c r="N775" s="50"/>
      <c r="O775" s="50"/>
      <c r="P775" s="50"/>
      <c r="Q775" s="50"/>
      <c r="R775" s="50"/>
      <c r="S775" s="50"/>
      <c r="T775" s="50"/>
      <c r="U775" s="50"/>
      <c r="V775" s="50"/>
      <c r="W775" s="50"/>
      <c r="X775" s="50"/>
      <c r="Y775" s="50"/>
      <c r="Z775" s="50"/>
      <c r="AA775" s="50"/>
      <c r="AB775" s="50"/>
    </row>
    <row r="776" customFormat="false" ht="15.75" hidden="false" customHeight="false" outlineLevel="0" collapsed="false">
      <c r="A776" s="50"/>
      <c r="B776" s="50"/>
      <c r="C776" s="5"/>
      <c r="D776" s="48"/>
      <c r="E776" s="50"/>
      <c r="F776" s="5"/>
      <c r="G776" s="5"/>
      <c r="H776" s="5"/>
      <c r="I776" s="5"/>
      <c r="J776" s="5"/>
      <c r="K776" s="50"/>
      <c r="L776" s="50"/>
      <c r="M776" s="50"/>
      <c r="N776" s="50"/>
      <c r="O776" s="50"/>
      <c r="P776" s="50"/>
      <c r="Q776" s="50"/>
      <c r="R776" s="50"/>
      <c r="S776" s="50"/>
      <c r="T776" s="50"/>
      <c r="U776" s="50"/>
      <c r="V776" s="50"/>
      <c r="W776" s="50"/>
      <c r="X776" s="50"/>
      <c r="Y776" s="50"/>
      <c r="Z776" s="50"/>
      <c r="AA776" s="50"/>
      <c r="AB776" s="50"/>
    </row>
    <row r="777" customFormat="false" ht="15.75" hidden="false" customHeight="false" outlineLevel="0" collapsed="false">
      <c r="A777" s="50"/>
      <c r="B777" s="50"/>
      <c r="C777" s="5"/>
      <c r="D777" s="48"/>
      <c r="E777" s="50"/>
      <c r="F777" s="5"/>
      <c r="G777" s="5"/>
      <c r="H777" s="5"/>
      <c r="I777" s="5"/>
      <c r="J777" s="5"/>
      <c r="K777" s="50"/>
      <c r="L777" s="50"/>
      <c r="M777" s="50"/>
      <c r="N777" s="50"/>
      <c r="O777" s="50"/>
      <c r="P777" s="50"/>
      <c r="Q777" s="50"/>
      <c r="R777" s="50"/>
      <c r="S777" s="50"/>
      <c r="T777" s="50"/>
      <c r="U777" s="50"/>
      <c r="V777" s="50"/>
      <c r="W777" s="50"/>
      <c r="X777" s="50"/>
      <c r="Y777" s="50"/>
      <c r="Z777" s="50"/>
      <c r="AA777" s="50"/>
      <c r="AB777" s="50"/>
    </row>
    <row r="778" customFormat="false" ht="15.75" hidden="false" customHeight="false" outlineLevel="0" collapsed="false">
      <c r="A778" s="50"/>
      <c r="B778" s="50"/>
      <c r="C778" s="5"/>
      <c r="D778" s="48"/>
      <c r="E778" s="50"/>
      <c r="F778" s="5"/>
      <c r="G778" s="5"/>
      <c r="H778" s="5"/>
      <c r="I778" s="5"/>
      <c r="J778" s="5"/>
      <c r="K778" s="50"/>
      <c r="L778" s="50"/>
      <c r="M778" s="50"/>
      <c r="N778" s="50"/>
      <c r="O778" s="50"/>
      <c r="P778" s="50"/>
      <c r="Q778" s="50"/>
      <c r="R778" s="50"/>
      <c r="S778" s="50"/>
      <c r="T778" s="50"/>
      <c r="U778" s="50"/>
      <c r="V778" s="50"/>
      <c r="W778" s="50"/>
      <c r="X778" s="50"/>
      <c r="Y778" s="50"/>
      <c r="Z778" s="50"/>
      <c r="AA778" s="50"/>
      <c r="AB778" s="50"/>
    </row>
    <row r="779" customFormat="false" ht="15.75" hidden="false" customHeight="false" outlineLevel="0" collapsed="false">
      <c r="A779" s="50"/>
      <c r="B779" s="50"/>
      <c r="C779" s="5"/>
      <c r="D779" s="48"/>
      <c r="E779" s="50"/>
      <c r="F779" s="5"/>
      <c r="G779" s="5"/>
      <c r="H779" s="5"/>
      <c r="I779" s="5"/>
      <c r="J779" s="5"/>
      <c r="K779" s="50"/>
      <c r="L779" s="50"/>
      <c r="M779" s="50"/>
      <c r="N779" s="50"/>
      <c r="O779" s="50"/>
      <c r="P779" s="50"/>
      <c r="Q779" s="50"/>
      <c r="R779" s="50"/>
      <c r="S779" s="50"/>
      <c r="T779" s="50"/>
      <c r="U779" s="50"/>
      <c r="V779" s="50"/>
      <c r="W779" s="50"/>
      <c r="X779" s="50"/>
      <c r="Y779" s="50"/>
      <c r="Z779" s="50"/>
      <c r="AA779" s="50"/>
      <c r="AB779" s="50"/>
    </row>
    <row r="780" customFormat="false" ht="15.75" hidden="false" customHeight="false" outlineLevel="0" collapsed="false">
      <c r="A780" s="50"/>
      <c r="B780" s="50"/>
      <c r="C780" s="5"/>
      <c r="D780" s="48"/>
      <c r="E780" s="50"/>
      <c r="F780" s="5"/>
      <c r="G780" s="5"/>
      <c r="H780" s="5"/>
      <c r="I780" s="5"/>
      <c r="J780" s="5"/>
      <c r="K780" s="50"/>
      <c r="L780" s="50"/>
      <c r="M780" s="50"/>
      <c r="N780" s="50"/>
      <c r="O780" s="50"/>
      <c r="P780" s="50"/>
      <c r="Q780" s="50"/>
      <c r="R780" s="50"/>
      <c r="S780" s="50"/>
      <c r="T780" s="50"/>
      <c r="U780" s="50"/>
      <c r="V780" s="50"/>
      <c r="W780" s="50"/>
      <c r="X780" s="50"/>
      <c r="Y780" s="50"/>
      <c r="Z780" s="50"/>
      <c r="AA780" s="50"/>
      <c r="AB780" s="50"/>
    </row>
    <row r="781" customFormat="false" ht="15.75" hidden="false" customHeight="false" outlineLevel="0" collapsed="false">
      <c r="A781" s="50"/>
      <c r="B781" s="50"/>
      <c r="C781" s="5"/>
      <c r="D781" s="48"/>
      <c r="E781" s="50"/>
      <c r="F781" s="5"/>
      <c r="G781" s="5"/>
      <c r="H781" s="5"/>
      <c r="I781" s="5"/>
      <c r="J781" s="5"/>
      <c r="K781" s="50"/>
      <c r="L781" s="50"/>
      <c r="M781" s="50"/>
      <c r="N781" s="50"/>
      <c r="O781" s="50"/>
      <c r="P781" s="50"/>
      <c r="Q781" s="50"/>
      <c r="R781" s="50"/>
      <c r="S781" s="50"/>
      <c r="T781" s="50"/>
      <c r="U781" s="50"/>
      <c r="V781" s="50"/>
      <c r="W781" s="50"/>
      <c r="X781" s="50"/>
      <c r="Y781" s="50"/>
      <c r="Z781" s="50"/>
      <c r="AA781" s="50"/>
      <c r="AB781" s="50"/>
    </row>
    <row r="782" customFormat="false" ht="15.75" hidden="false" customHeight="false" outlineLevel="0" collapsed="false">
      <c r="A782" s="50"/>
      <c r="B782" s="50"/>
      <c r="C782" s="5"/>
      <c r="D782" s="48"/>
      <c r="E782" s="50"/>
      <c r="F782" s="5"/>
      <c r="G782" s="5"/>
      <c r="H782" s="5"/>
      <c r="I782" s="5"/>
      <c r="J782" s="5"/>
      <c r="K782" s="50"/>
      <c r="L782" s="50"/>
      <c r="M782" s="50"/>
      <c r="N782" s="50"/>
      <c r="O782" s="50"/>
      <c r="P782" s="50"/>
      <c r="Q782" s="50"/>
      <c r="R782" s="50"/>
      <c r="S782" s="50"/>
      <c r="T782" s="50"/>
      <c r="U782" s="50"/>
      <c r="V782" s="50"/>
      <c r="W782" s="50"/>
      <c r="X782" s="50"/>
      <c r="Y782" s="50"/>
      <c r="Z782" s="50"/>
      <c r="AA782" s="50"/>
      <c r="AB782" s="50"/>
    </row>
    <row r="783" customFormat="false" ht="15.75" hidden="false" customHeight="false" outlineLevel="0" collapsed="false">
      <c r="A783" s="50"/>
      <c r="B783" s="50"/>
      <c r="C783" s="5"/>
      <c r="D783" s="48"/>
      <c r="E783" s="50"/>
      <c r="F783" s="5"/>
      <c r="G783" s="5"/>
      <c r="H783" s="5"/>
      <c r="I783" s="5"/>
      <c r="J783" s="5"/>
      <c r="K783" s="50"/>
      <c r="L783" s="50"/>
      <c r="M783" s="50"/>
      <c r="N783" s="50"/>
      <c r="O783" s="50"/>
      <c r="P783" s="50"/>
      <c r="Q783" s="50"/>
      <c r="R783" s="50"/>
      <c r="S783" s="50"/>
      <c r="T783" s="50"/>
      <c r="U783" s="50"/>
      <c r="V783" s="50"/>
      <c r="W783" s="50"/>
      <c r="X783" s="50"/>
      <c r="Y783" s="50"/>
      <c r="Z783" s="50"/>
      <c r="AA783" s="50"/>
      <c r="AB783" s="50"/>
    </row>
    <row r="784" customFormat="false" ht="15.75" hidden="false" customHeight="false" outlineLevel="0" collapsed="false">
      <c r="A784" s="50"/>
      <c r="B784" s="50"/>
      <c r="C784" s="5"/>
      <c r="D784" s="48"/>
      <c r="E784" s="50"/>
      <c r="F784" s="5"/>
      <c r="G784" s="5"/>
      <c r="H784" s="5"/>
      <c r="I784" s="5"/>
      <c r="J784" s="5"/>
      <c r="K784" s="50"/>
      <c r="L784" s="50"/>
      <c r="M784" s="50"/>
      <c r="N784" s="50"/>
      <c r="O784" s="50"/>
      <c r="P784" s="50"/>
      <c r="Q784" s="50"/>
      <c r="R784" s="50"/>
      <c r="S784" s="50"/>
      <c r="T784" s="50"/>
      <c r="U784" s="50"/>
      <c r="V784" s="50"/>
      <c r="W784" s="50"/>
      <c r="X784" s="50"/>
      <c r="Y784" s="50"/>
      <c r="Z784" s="50"/>
      <c r="AA784" s="50"/>
      <c r="AB784" s="50"/>
    </row>
    <row r="785" customFormat="false" ht="15.75" hidden="false" customHeight="false" outlineLevel="0" collapsed="false">
      <c r="A785" s="50"/>
      <c r="B785" s="50"/>
      <c r="C785" s="5"/>
      <c r="D785" s="48"/>
      <c r="E785" s="50"/>
      <c r="F785" s="5"/>
      <c r="G785" s="5"/>
      <c r="H785" s="5"/>
      <c r="I785" s="5"/>
      <c r="J785" s="5"/>
      <c r="K785" s="50"/>
      <c r="L785" s="50"/>
      <c r="M785" s="50"/>
      <c r="N785" s="50"/>
      <c r="O785" s="50"/>
      <c r="P785" s="50"/>
      <c r="Q785" s="50"/>
      <c r="R785" s="50"/>
      <c r="S785" s="50"/>
      <c r="T785" s="50"/>
      <c r="U785" s="50"/>
      <c r="V785" s="50"/>
      <c r="W785" s="50"/>
      <c r="X785" s="50"/>
      <c r="Y785" s="50"/>
      <c r="Z785" s="50"/>
      <c r="AA785" s="50"/>
      <c r="AB785" s="50"/>
    </row>
    <row r="786" customFormat="false" ht="15.75" hidden="false" customHeight="false" outlineLevel="0" collapsed="false">
      <c r="A786" s="50"/>
      <c r="B786" s="50"/>
      <c r="C786" s="5"/>
      <c r="D786" s="48"/>
      <c r="E786" s="50"/>
      <c r="F786" s="5"/>
      <c r="G786" s="5"/>
      <c r="H786" s="5"/>
      <c r="I786" s="5"/>
      <c r="J786" s="5"/>
      <c r="K786" s="50"/>
      <c r="L786" s="50"/>
      <c r="M786" s="50"/>
      <c r="N786" s="50"/>
      <c r="O786" s="50"/>
      <c r="P786" s="50"/>
      <c r="Q786" s="50"/>
      <c r="R786" s="50"/>
      <c r="S786" s="50"/>
      <c r="T786" s="50"/>
      <c r="U786" s="50"/>
      <c r="V786" s="50"/>
      <c r="W786" s="50"/>
      <c r="X786" s="50"/>
      <c r="Y786" s="50"/>
      <c r="Z786" s="50"/>
      <c r="AA786" s="50"/>
      <c r="AB786" s="50"/>
    </row>
    <row r="787" customFormat="false" ht="15.75" hidden="false" customHeight="false" outlineLevel="0" collapsed="false">
      <c r="A787" s="50"/>
      <c r="B787" s="50"/>
      <c r="C787" s="5"/>
      <c r="D787" s="48"/>
      <c r="E787" s="50"/>
      <c r="F787" s="5"/>
      <c r="G787" s="5"/>
      <c r="H787" s="5"/>
      <c r="I787" s="5"/>
      <c r="J787" s="5"/>
      <c r="K787" s="50"/>
      <c r="L787" s="50"/>
      <c r="M787" s="50"/>
      <c r="N787" s="50"/>
      <c r="O787" s="50"/>
      <c r="P787" s="50"/>
      <c r="Q787" s="50"/>
      <c r="R787" s="50"/>
      <c r="S787" s="50"/>
      <c r="T787" s="50"/>
      <c r="U787" s="50"/>
      <c r="V787" s="50"/>
      <c r="W787" s="50"/>
      <c r="X787" s="50"/>
      <c r="Y787" s="50"/>
      <c r="Z787" s="50"/>
      <c r="AA787" s="50"/>
      <c r="AB787" s="50"/>
    </row>
    <row r="788" customFormat="false" ht="15.75" hidden="false" customHeight="false" outlineLevel="0" collapsed="false">
      <c r="A788" s="50"/>
      <c r="B788" s="50"/>
      <c r="C788" s="5"/>
      <c r="D788" s="48"/>
      <c r="E788" s="50"/>
      <c r="F788" s="5"/>
      <c r="G788" s="5"/>
      <c r="H788" s="5"/>
      <c r="I788" s="5"/>
      <c r="J788" s="5"/>
      <c r="K788" s="50"/>
      <c r="L788" s="50"/>
      <c r="M788" s="50"/>
      <c r="N788" s="50"/>
      <c r="O788" s="50"/>
      <c r="P788" s="50"/>
      <c r="Q788" s="50"/>
      <c r="R788" s="50"/>
      <c r="S788" s="50"/>
      <c r="T788" s="50"/>
      <c r="U788" s="50"/>
      <c r="V788" s="50"/>
      <c r="W788" s="50"/>
      <c r="X788" s="50"/>
      <c r="Y788" s="50"/>
      <c r="Z788" s="50"/>
      <c r="AA788" s="50"/>
      <c r="AB788" s="50"/>
    </row>
    <row r="789" customFormat="false" ht="15.75" hidden="false" customHeight="false" outlineLevel="0" collapsed="false">
      <c r="A789" s="50"/>
      <c r="B789" s="50"/>
      <c r="C789" s="5"/>
      <c r="D789" s="48"/>
      <c r="E789" s="50"/>
      <c r="F789" s="5"/>
      <c r="G789" s="5"/>
      <c r="H789" s="5"/>
      <c r="I789" s="5"/>
      <c r="J789" s="5"/>
      <c r="K789" s="50"/>
      <c r="L789" s="50"/>
      <c r="M789" s="50"/>
      <c r="N789" s="50"/>
      <c r="O789" s="50"/>
      <c r="P789" s="50"/>
      <c r="Q789" s="50"/>
      <c r="R789" s="50"/>
      <c r="S789" s="50"/>
      <c r="T789" s="50"/>
      <c r="U789" s="50"/>
      <c r="V789" s="50"/>
      <c r="W789" s="50"/>
      <c r="X789" s="50"/>
      <c r="Y789" s="50"/>
      <c r="Z789" s="50"/>
      <c r="AA789" s="50"/>
      <c r="AB789" s="50"/>
    </row>
    <row r="790" customFormat="false" ht="15.75" hidden="false" customHeight="false" outlineLevel="0" collapsed="false">
      <c r="A790" s="50"/>
      <c r="B790" s="50"/>
      <c r="C790" s="5"/>
      <c r="D790" s="48"/>
      <c r="E790" s="50"/>
      <c r="F790" s="5"/>
      <c r="G790" s="5"/>
      <c r="H790" s="5"/>
      <c r="I790" s="5"/>
      <c r="J790" s="5"/>
      <c r="K790" s="50"/>
      <c r="L790" s="50"/>
      <c r="M790" s="50"/>
      <c r="N790" s="50"/>
      <c r="O790" s="50"/>
      <c r="P790" s="50"/>
      <c r="Q790" s="50"/>
      <c r="R790" s="50"/>
      <c r="S790" s="50"/>
      <c r="T790" s="50"/>
      <c r="U790" s="50"/>
      <c r="V790" s="50"/>
      <c r="W790" s="50"/>
      <c r="X790" s="50"/>
      <c r="Y790" s="50"/>
      <c r="Z790" s="50"/>
      <c r="AA790" s="50"/>
      <c r="AB790" s="50"/>
    </row>
    <row r="791" customFormat="false" ht="15.75" hidden="false" customHeight="false" outlineLevel="0" collapsed="false">
      <c r="A791" s="50"/>
      <c r="B791" s="50"/>
      <c r="C791" s="5"/>
      <c r="D791" s="48"/>
      <c r="E791" s="50"/>
      <c r="F791" s="5"/>
      <c r="G791" s="5"/>
      <c r="H791" s="5"/>
      <c r="I791" s="5"/>
      <c r="J791" s="5"/>
      <c r="K791" s="50"/>
      <c r="L791" s="50"/>
      <c r="M791" s="50"/>
      <c r="N791" s="50"/>
      <c r="O791" s="50"/>
      <c r="P791" s="50"/>
      <c r="Q791" s="50"/>
      <c r="R791" s="50"/>
      <c r="S791" s="50"/>
      <c r="T791" s="50"/>
      <c r="U791" s="50"/>
      <c r="V791" s="50"/>
      <c r="W791" s="50"/>
      <c r="X791" s="50"/>
      <c r="Y791" s="50"/>
      <c r="Z791" s="50"/>
      <c r="AA791" s="50"/>
      <c r="AB791" s="50"/>
    </row>
    <row r="792" customFormat="false" ht="15.75" hidden="false" customHeight="false" outlineLevel="0" collapsed="false">
      <c r="A792" s="50"/>
      <c r="B792" s="50"/>
      <c r="C792" s="5"/>
      <c r="D792" s="48"/>
      <c r="E792" s="50"/>
      <c r="F792" s="5"/>
      <c r="G792" s="5"/>
      <c r="H792" s="5"/>
      <c r="I792" s="5"/>
      <c r="J792" s="5"/>
      <c r="K792" s="50"/>
      <c r="L792" s="50"/>
      <c r="M792" s="50"/>
      <c r="N792" s="50"/>
      <c r="O792" s="50"/>
      <c r="P792" s="50"/>
      <c r="Q792" s="50"/>
      <c r="R792" s="50"/>
      <c r="S792" s="50"/>
      <c r="T792" s="50"/>
      <c r="U792" s="50"/>
      <c r="V792" s="50"/>
      <c r="W792" s="50"/>
      <c r="X792" s="50"/>
      <c r="Y792" s="50"/>
      <c r="Z792" s="50"/>
      <c r="AA792" s="50"/>
      <c r="AB792" s="50"/>
    </row>
    <row r="793" customFormat="false" ht="15.75" hidden="false" customHeight="false" outlineLevel="0" collapsed="false">
      <c r="A793" s="50"/>
      <c r="B793" s="50"/>
      <c r="C793" s="5"/>
      <c r="D793" s="48"/>
      <c r="E793" s="50"/>
      <c r="F793" s="5"/>
      <c r="G793" s="5"/>
      <c r="H793" s="5"/>
      <c r="I793" s="5"/>
      <c r="J793" s="5"/>
      <c r="K793" s="50"/>
      <c r="L793" s="50"/>
      <c r="M793" s="50"/>
      <c r="N793" s="50"/>
      <c r="O793" s="50"/>
      <c r="P793" s="50"/>
      <c r="Q793" s="50"/>
      <c r="R793" s="50"/>
      <c r="S793" s="50"/>
      <c r="T793" s="50"/>
      <c r="U793" s="50"/>
      <c r="V793" s="50"/>
      <c r="W793" s="50"/>
      <c r="X793" s="50"/>
      <c r="Y793" s="50"/>
      <c r="Z793" s="50"/>
      <c r="AA793" s="50"/>
      <c r="AB793" s="50"/>
    </row>
    <row r="794" customFormat="false" ht="15.75" hidden="false" customHeight="false" outlineLevel="0" collapsed="false">
      <c r="A794" s="50"/>
      <c r="B794" s="50"/>
      <c r="C794" s="5"/>
      <c r="D794" s="48"/>
      <c r="E794" s="50"/>
      <c r="F794" s="5"/>
      <c r="G794" s="5"/>
      <c r="H794" s="5"/>
      <c r="I794" s="5"/>
      <c r="J794" s="5"/>
      <c r="K794" s="50"/>
      <c r="L794" s="50"/>
      <c r="M794" s="50"/>
      <c r="N794" s="50"/>
      <c r="O794" s="50"/>
      <c r="P794" s="50"/>
      <c r="Q794" s="50"/>
      <c r="R794" s="50"/>
      <c r="S794" s="50"/>
      <c r="T794" s="50"/>
      <c r="U794" s="50"/>
      <c r="V794" s="50"/>
      <c r="W794" s="50"/>
      <c r="X794" s="50"/>
      <c r="Y794" s="50"/>
      <c r="Z794" s="50"/>
      <c r="AA794" s="50"/>
      <c r="AB794" s="50"/>
    </row>
    <row r="795" customFormat="false" ht="15.75" hidden="false" customHeight="false" outlineLevel="0" collapsed="false">
      <c r="A795" s="50"/>
      <c r="B795" s="50"/>
      <c r="C795" s="5"/>
      <c r="D795" s="48"/>
      <c r="E795" s="50"/>
      <c r="F795" s="5"/>
      <c r="G795" s="5"/>
      <c r="H795" s="5"/>
      <c r="I795" s="5"/>
      <c r="J795" s="5"/>
      <c r="K795" s="50"/>
      <c r="L795" s="50"/>
      <c r="M795" s="50"/>
      <c r="N795" s="50"/>
      <c r="O795" s="50"/>
      <c r="P795" s="50"/>
      <c r="Q795" s="50"/>
      <c r="R795" s="50"/>
      <c r="S795" s="50"/>
      <c r="T795" s="50"/>
      <c r="U795" s="50"/>
      <c r="V795" s="50"/>
      <c r="W795" s="50"/>
      <c r="X795" s="50"/>
      <c r="Y795" s="50"/>
      <c r="Z795" s="50"/>
      <c r="AA795" s="50"/>
      <c r="AB795" s="50"/>
    </row>
    <row r="796" customFormat="false" ht="15.75" hidden="false" customHeight="false" outlineLevel="0" collapsed="false">
      <c r="A796" s="50"/>
      <c r="B796" s="50"/>
      <c r="C796" s="5"/>
      <c r="D796" s="48"/>
      <c r="E796" s="50"/>
      <c r="F796" s="5"/>
      <c r="G796" s="5"/>
      <c r="H796" s="5"/>
      <c r="I796" s="5"/>
      <c r="J796" s="5"/>
      <c r="K796" s="50"/>
      <c r="L796" s="50"/>
      <c r="M796" s="50"/>
      <c r="N796" s="50"/>
      <c r="O796" s="50"/>
      <c r="P796" s="50"/>
      <c r="Q796" s="50"/>
      <c r="R796" s="50"/>
      <c r="S796" s="50"/>
      <c r="T796" s="50"/>
      <c r="U796" s="50"/>
      <c r="V796" s="50"/>
      <c r="W796" s="50"/>
      <c r="X796" s="50"/>
      <c r="Y796" s="50"/>
      <c r="Z796" s="50"/>
      <c r="AA796" s="50"/>
      <c r="AB796" s="50"/>
    </row>
    <row r="797" customFormat="false" ht="15.75" hidden="false" customHeight="false" outlineLevel="0" collapsed="false">
      <c r="A797" s="50"/>
      <c r="B797" s="50"/>
      <c r="C797" s="5"/>
      <c r="D797" s="48"/>
      <c r="E797" s="50"/>
      <c r="F797" s="5"/>
      <c r="G797" s="5"/>
      <c r="H797" s="5"/>
      <c r="I797" s="5"/>
      <c r="J797" s="5"/>
      <c r="K797" s="50"/>
      <c r="L797" s="50"/>
      <c r="M797" s="50"/>
      <c r="N797" s="50"/>
      <c r="O797" s="50"/>
      <c r="P797" s="50"/>
      <c r="Q797" s="50"/>
      <c r="R797" s="50"/>
      <c r="S797" s="50"/>
      <c r="T797" s="50"/>
      <c r="U797" s="50"/>
      <c r="V797" s="50"/>
      <c r="W797" s="50"/>
      <c r="X797" s="50"/>
      <c r="Y797" s="50"/>
      <c r="Z797" s="50"/>
      <c r="AA797" s="50"/>
      <c r="AB797" s="50"/>
    </row>
    <row r="798" customFormat="false" ht="15.75" hidden="false" customHeight="false" outlineLevel="0" collapsed="false">
      <c r="A798" s="50"/>
      <c r="B798" s="50"/>
      <c r="C798" s="5"/>
      <c r="D798" s="48"/>
      <c r="E798" s="50"/>
      <c r="F798" s="5"/>
      <c r="G798" s="5"/>
      <c r="H798" s="5"/>
      <c r="I798" s="5"/>
      <c r="J798" s="5"/>
      <c r="K798" s="50"/>
      <c r="L798" s="50"/>
      <c r="M798" s="50"/>
      <c r="N798" s="50"/>
      <c r="O798" s="50"/>
      <c r="P798" s="50"/>
      <c r="Q798" s="50"/>
      <c r="R798" s="50"/>
      <c r="S798" s="50"/>
      <c r="T798" s="50"/>
      <c r="U798" s="50"/>
      <c r="V798" s="50"/>
      <c r="W798" s="50"/>
      <c r="X798" s="50"/>
      <c r="Y798" s="50"/>
      <c r="Z798" s="50"/>
      <c r="AA798" s="50"/>
      <c r="AB798" s="50"/>
    </row>
    <row r="799" customFormat="false" ht="15.75" hidden="false" customHeight="false" outlineLevel="0" collapsed="false">
      <c r="A799" s="50"/>
      <c r="B799" s="50"/>
      <c r="C799" s="5"/>
      <c r="D799" s="48"/>
      <c r="E799" s="50"/>
      <c r="F799" s="5"/>
      <c r="G799" s="5"/>
      <c r="H799" s="5"/>
      <c r="I799" s="5"/>
      <c r="J799" s="5"/>
      <c r="K799" s="50"/>
      <c r="L799" s="50"/>
      <c r="M799" s="50"/>
      <c r="N799" s="50"/>
      <c r="O799" s="50"/>
      <c r="P799" s="50"/>
      <c r="Q799" s="50"/>
      <c r="R799" s="50"/>
      <c r="S799" s="50"/>
      <c r="T799" s="50"/>
      <c r="U799" s="50"/>
      <c r="V799" s="50"/>
      <c r="W799" s="50"/>
      <c r="X799" s="50"/>
      <c r="Y799" s="50"/>
      <c r="Z799" s="50"/>
      <c r="AA799" s="50"/>
      <c r="AB799" s="50"/>
    </row>
    <row r="800" customFormat="false" ht="15.75" hidden="false" customHeight="false" outlineLevel="0" collapsed="false">
      <c r="A800" s="50"/>
      <c r="B800" s="50"/>
      <c r="C800" s="5"/>
      <c r="D800" s="48"/>
      <c r="E800" s="50"/>
      <c r="F800" s="5"/>
      <c r="G800" s="5"/>
      <c r="H800" s="5"/>
      <c r="I800" s="5"/>
      <c r="J800" s="5"/>
      <c r="K800" s="50"/>
      <c r="L800" s="50"/>
      <c r="M800" s="50"/>
      <c r="N800" s="50"/>
      <c r="O800" s="50"/>
      <c r="P800" s="50"/>
      <c r="Q800" s="50"/>
      <c r="R800" s="50"/>
      <c r="S800" s="50"/>
      <c r="T800" s="50"/>
      <c r="U800" s="50"/>
      <c r="V800" s="50"/>
      <c r="W800" s="50"/>
      <c r="X800" s="50"/>
      <c r="Y800" s="50"/>
      <c r="Z800" s="50"/>
      <c r="AA800" s="50"/>
      <c r="AB800" s="50"/>
    </row>
    <row r="801" customFormat="false" ht="15.75" hidden="false" customHeight="false" outlineLevel="0" collapsed="false">
      <c r="A801" s="50"/>
      <c r="B801" s="50"/>
      <c r="C801" s="5"/>
      <c r="D801" s="48"/>
      <c r="E801" s="50"/>
      <c r="F801" s="5"/>
      <c r="G801" s="5"/>
      <c r="H801" s="5"/>
      <c r="I801" s="5"/>
      <c r="J801" s="5"/>
      <c r="K801" s="50"/>
      <c r="L801" s="50"/>
      <c r="M801" s="50"/>
      <c r="N801" s="50"/>
      <c r="O801" s="50"/>
      <c r="P801" s="50"/>
      <c r="Q801" s="50"/>
      <c r="R801" s="50"/>
      <c r="S801" s="50"/>
      <c r="T801" s="50"/>
      <c r="U801" s="50"/>
      <c r="V801" s="50"/>
      <c r="W801" s="50"/>
      <c r="X801" s="50"/>
      <c r="Y801" s="50"/>
      <c r="Z801" s="50"/>
      <c r="AA801" s="50"/>
      <c r="AB801" s="50"/>
    </row>
    <row r="802" customFormat="false" ht="15.75" hidden="false" customHeight="false" outlineLevel="0" collapsed="false">
      <c r="A802" s="50"/>
      <c r="B802" s="50"/>
      <c r="C802" s="5"/>
      <c r="D802" s="48"/>
      <c r="E802" s="50"/>
      <c r="F802" s="5"/>
      <c r="G802" s="5"/>
      <c r="H802" s="5"/>
      <c r="I802" s="5"/>
      <c r="J802" s="5"/>
      <c r="K802" s="50"/>
      <c r="L802" s="50"/>
      <c r="M802" s="50"/>
      <c r="N802" s="50"/>
      <c r="O802" s="50"/>
      <c r="P802" s="50"/>
      <c r="Q802" s="50"/>
      <c r="R802" s="50"/>
      <c r="S802" s="50"/>
      <c r="T802" s="50"/>
      <c r="U802" s="50"/>
      <c r="V802" s="50"/>
      <c r="W802" s="50"/>
      <c r="X802" s="50"/>
      <c r="Y802" s="50"/>
      <c r="Z802" s="50"/>
      <c r="AA802" s="50"/>
      <c r="AB802" s="50"/>
    </row>
    <row r="803" customFormat="false" ht="15.75" hidden="false" customHeight="false" outlineLevel="0" collapsed="false">
      <c r="A803" s="50"/>
      <c r="B803" s="50"/>
      <c r="C803" s="5"/>
      <c r="D803" s="48"/>
      <c r="E803" s="50"/>
      <c r="F803" s="5"/>
      <c r="G803" s="5"/>
      <c r="H803" s="5"/>
      <c r="I803" s="5"/>
      <c r="J803" s="5"/>
      <c r="K803" s="50"/>
      <c r="L803" s="50"/>
      <c r="M803" s="50"/>
      <c r="N803" s="50"/>
      <c r="O803" s="50"/>
      <c r="P803" s="50"/>
      <c r="Q803" s="50"/>
      <c r="R803" s="50"/>
      <c r="S803" s="50"/>
      <c r="T803" s="50"/>
      <c r="U803" s="50"/>
      <c r="V803" s="50"/>
      <c r="W803" s="50"/>
      <c r="X803" s="50"/>
      <c r="Y803" s="50"/>
      <c r="Z803" s="50"/>
      <c r="AA803" s="50"/>
      <c r="AB803" s="50"/>
    </row>
    <row r="804" customFormat="false" ht="15.75" hidden="false" customHeight="false" outlineLevel="0" collapsed="false">
      <c r="A804" s="50"/>
      <c r="B804" s="50"/>
      <c r="C804" s="5"/>
      <c r="D804" s="48"/>
      <c r="E804" s="50"/>
      <c r="F804" s="5"/>
      <c r="G804" s="5"/>
      <c r="H804" s="5"/>
      <c r="I804" s="5"/>
      <c r="J804" s="5"/>
      <c r="K804" s="50"/>
      <c r="L804" s="50"/>
      <c r="M804" s="50"/>
      <c r="N804" s="50"/>
      <c r="O804" s="50"/>
      <c r="P804" s="50"/>
      <c r="Q804" s="50"/>
      <c r="R804" s="50"/>
      <c r="S804" s="50"/>
      <c r="T804" s="50"/>
      <c r="U804" s="50"/>
      <c r="V804" s="50"/>
      <c r="W804" s="50"/>
      <c r="X804" s="50"/>
      <c r="Y804" s="50"/>
      <c r="Z804" s="50"/>
      <c r="AA804" s="50"/>
      <c r="AB804" s="50"/>
    </row>
    <row r="805" customFormat="false" ht="15.75" hidden="false" customHeight="false" outlineLevel="0" collapsed="false">
      <c r="A805" s="50"/>
      <c r="B805" s="50"/>
      <c r="C805" s="5"/>
      <c r="D805" s="48"/>
      <c r="E805" s="50"/>
      <c r="F805" s="5"/>
      <c r="G805" s="5"/>
      <c r="H805" s="5"/>
      <c r="I805" s="5"/>
      <c r="J805" s="5"/>
      <c r="K805" s="50"/>
      <c r="L805" s="50"/>
      <c r="M805" s="50"/>
      <c r="N805" s="50"/>
      <c r="O805" s="50"/>
      <c r="P805" s="50"/>
      <c r="Q805" s="50"/>
      <c r="R805" s="50"/>
      <c r="S805" s="50"/>
      <c r="T805" s="50"/>
      <c r="U805" s="50"/>
      <c r="V805" s="50"/>
      <c r="W805" s="50"/>
      <c r="X805" s="50"/>
      <c r="Y805" s="50"/>
      <c r="Z805" s="50"/>
      <c r="AA805" s="50"/>
      <c r="AB805" s="50"/>
    </row>
    <row r="806" customFormat="false" ht="15.75" hidden="false" customHeight="false" outlineLevel="0" collapsed="false">
      <c r="A806" s="50"/>
      <c r="B806" s="50"/>
      <c r="C806" s="5"/>
      <c r="D806" s="48"/>
      <c r="E806" s="50"/>
      <c r="F806" s="5"/>
      <c r="G806" s="5"/>
      <c r="H806" s="5"/>
      <c r="I806" s="5"/>
      <c r="J806" s="5"/>
      <c r="K806" s="50"/>
      <c r="L806" s="50"/>
      <c r="M806" s="50"/>
      <c r="N806" s="50"/>
      <c r="O806" s="50"/>
      <c r="P806" s="50"/>
      <c r="Q806" s="50"/>
      <c r="R806" s="50"/>
      <c r="S806" s="50"/>
      <c r="T806" s="50"/>
      <c r="U806" s="50"/>
      <c r="V806" s="50"/>
      <c r="W806" s="50"/>
      <c r="X806" s="50"/>
      <c r="Y806" s="50"/>
      <c r="Z806" s="50"/>
      <c r="AA806" s="50"/>
      <c r="AB806" s="50"/>
    </row>
    <row r="807" customFormat="false" ht="15.75" hidden="false" customHeight="false" outlineLevel="0" collapsed="false">
      <c r="A807" s="50"/>
      <c r="B807" s="50"/>
      <c r="C807" s="5"/>
      <c r="D807" s="48"/>
      <c r="E807" s="50"/>
      <c r="F807" s="5"/>
      <c r="G807" s="5"/>
      <c r="H807" s="5"/>
      <c r="I807" s="5"/>
      <c r="J807" s="5"/>
      <c r="K807" s="50"/>
      <c r="L807" s="50"/>
      <c r="M807" s="50"/>
      <c r="N807" s="50"/>
      <c r="O807" s="50"/>
      <c r="P807" s="50"/>
      <c r="Q807" s="50"/>
      <c r="R807" s="50"/>
      <c r="S807" s="50"/>
      <c r="T807" s="50"/>
      <c r="U807" s="50"/>
      <c r="V807" s="50"/>
      <c r="W807" s="50"/>
      <c r="X807" s="50"/>
      <c r="Y807" s="50"/>
      <c r="Z807" s="50"/>
      <c r="AA807" s="50"/>
      <c r="AB807" s="50"/>
    </row>
    <row r="808" customFormat="false" ht="15.75" hidden="false" customHeight="false" outlineLevel="0" collapsed="false">
      <c r="A808" s="50"/>
      <c r="B808" s="50"/>
      <c r="C808" s="5"/>
      <c r="D808" s="48"/>
      <c r="E808" s="50"/>
      <c r="F808" s="5"/>
      <c r="G808" s="5"/>
      <c r="H808" s="5"/>
      <c r="I808" s="5"/>
      <c r="J808" s="5"/>
      <c r="K808" s="50"/>
      <c r="L808" s="50"/>
      <c r="M808" s="50"/>
      <c r="N808" s="50"/>
      <c r="O808" s="50"/>
      <c r="P808" s="50"/>
      <c r="Q808" s="50"/>
      <c r="R808" s="50"/>
      <c r="S808" s="50"/>
      <c r="T808" s="50"/>
      <c r="U808" s="50"/>
      <c r="V808" s="50"/>
      <c r="W808" s="50"/>
      <c r="X808" s="50"/>
      <c r="Y808" s="50"/>
      <c r="Z808" s="50"/>
      <c r="AA808" s="50"/>
      <c r="AB808" s="50"/>
    </row>
    <row r="809" customFormat="false" ht="15.75" hidden="false" customHeight="false" outlineLevel="0" collapsed="false">
      <c r="A809" s="50"/>
      <c r="B809" s="50"/>
      <c r="C809" s="5"/>
      <c r="D809" s="48"/>
      <c r="E809" s="50"/>
      <c r="F809" s="5"/>
      <c r="G809" s="5"/>
      <c r="H809" s="5"/>
      <c r="I809" s="5"/>
      <c r="J809" s="5"/>
      <c r="K809" s="50"/>
      <c r="L809" s="50"/>
      <c r="M809" s="50"/>
      <c r="N809" s="50"/>
      <c r="O809" s="50"/>
      <c r="P809" s="50"/>
      <c r="Q809" s="50"/>
      <c r="R809" s="50"/>
      <c r="S809" s="50"/>
      <c r="T809" s="50"/>
      <c r="U809" s="50"/>
      <c r="V809" s="50"/>
      <c r="W809" s="50"/>
      <c r="X809" s="50"/>
      <c r="Y809" s="50"/>
      <c r="Z809" s="50"/>
      <c r="AA809" s="50"/>
      <c r="AB809" s="50"/>
    </row>
    <row r="810" customFormat="false" ht="15.75" hidden="false" customHeight="false" outlineLevel="0" collapsed="false">
      <c r="A810" s="50"/>
      <c r="B810" s="50"/>
      <c r="C810" s="5"/>
      <c r="D810" s="48"/>
      <c r="E810" s="50"/>
      <c r="F810" s="5"/>
      <c r="G810" s="5"/>
      <c r="H810" s="5"/>
      <c r="I810" s="5"/>
      <c r="J810" s="5"/>
      <c r="K810" s="50"/>
      <c r="L810" s="50"/>
      <c r="M810" s="50"/>
      <c r="N810" s="50"/>
      <c r="O810" s="50"/>
      <c r="P810" s="50"/>
      <c r="Q810" s="50"/>
      <c r="R810" s="50"/>
      <c r="S810" s="50"/>
      <c r="T810" s="50"/>
      <c r="U810" s="50"/>
      <c r="V810" s="50"/>
      <c r="W810" s="50"/>
      <c r="X810" s="50"/>
      <c r="Y810" s="50"/>
      <c r="Z810" s="50"/>
      <c r="AA810" s="50"/>
      <c r="AB810" s="50"/>
    </row>
    <row r="811" customFormat="false" ht="15.75" hidden="false" customHeight="false" outlineLevel="0" collapsed="false">
      <c r="A811" s="50"/>
      <c r="B811" s="50"/>
      <c r="C811" s="5"/>
      <c r="D811" s="48"/>
      <c r="E811" s="50"/>
      <c r="F811" s="5"/>
      <c r="G811" s="5"/>
      <c r="H811" s="5"/>
      <c r="I811" s="5"/>
      <c r="J811" s="5"/>
      <c r="K811" s="50"/>
      <c r="L811" s="50"/>
      <c r="M811" s="50"/>
      <c r="N811" s="50"/>
      <c r="O811" s="50"/>
      <c r="P811" s="50"/>
      <c r="Q811" s="50"/>
      <c r="R811" s="50"/>
      <c r="S811" s="50"/>
      <c r="T811" s="50"/>
      <c r="U811" s="50"/>
      <c r="V811" s="50"/>
      <c r="W811" s="50"/>
      <c r="X811" s="50"/>
      <c r="Y811" s="50"/>
      <c r="Z811" s="50"/>
      <c r="AA811" s="50"/>
      <c r="AB811" s="50"/>
    </row>
    <row r="812" customFormat="false" ht="15.75" hidden="false" customHeight="false" outlineLevel="0" collapsed="false">
      <c r="A812" s="50"/>
      <c r="B812" s="50"/>
      <c r="C812" s="5"/>
      <c r="D812" s="48"/>
      <c r="E812" s="50"/>
      <c r="F812" s="5"/>
      <c r="G812" s="5"/>
      <c r="H812" s="5"/>
      <c r="I812" s="5"/>
      <c r="J812" s="5"/>
      <c r="K812" s="50"/>
      <c r="L812" s="50"/>
      <c r="M812" s="50"/>
      <c r="N812" s="50"/>
      <c r="O812" s="50"/>
      <c r="P812" s="50"/>
      <c r="Q812" s="50"/>
      <c r="R812" s="50"/>
      <c r="S812" s="50"/>
      <c r="T812" s="50"/>
      <c r="U812" s="50"/>
      <c r="V812" s="50"/>
      <c r="W812" s="50"/>
      <c r="X812" s="50"/>
      <c r="Y812" s="50"/>
      <c r="Z812" s="50"/>
      <c r="AA812" s="50"/>
      <c r="AB812" s="50"/>
    </row>
    <row r="813" customFormat="false" ht="15.75" hidden="false" customHeight="false" outlineLevel="0" collapsed="false">
      <c r="A813" s="50"/>
      <c r="B813" s="50"/>
      <c r="C813" s="5"/>
      <c r="D813" s="48"/>
      <c r="E813" s="50"/>
      <c r="F813" s="5"/>
      <c r="G813" s="5"/>
      <c r="H813" s="5"/>
      <c r="I813" s="5"/>
      <c r="J813" s="5"/>
      <c r="K813" s="50"/>
      <c r="L813" s="50"/>
      <c r="M813" s="50"/>
      <c r="N813" s="50"/>
      <c r="O813" s="50"/>
      <c r="P813" s="50"/>
      <c r="Q813" s="50"/>
      <c r="R813" s="50"/>
      <c r="S813" s="50"/>
      <c r="T813" s="50"/>
      <c r="U813" s="50"/>
      <c r="V813" s="50"/>
      <c r="W813" s="50"/>
      <c r="X813" s="50"/>
      <c r="Y813" s="50"/>
      <c r="Z813" s="50"/>
      <c r="AA813" s="50"/>
      <c r="AB813" s="50"/>
    </row>
    <row r="814" customFormat="false" ht="15.75" hidden="false" customHeight="false" outlineLevel="0" collapsed="false">
      <c r="A814" s="50"/>
      <c r="B814" s="50"/>
      <c r="C814" s="5"/>
      <c r="D814" s="48"/>
      <c r="E814" s="50"/>
      <c r="F814" s="5"/>
      <c r="G814" s="5"/>
      <c r="H814" s="5"/>
      <c r="I814" s="5"/>
      <c r="J814" s="5"/>
      <c r="K814" s="50"/>
      <c r="L814" s="50"/>
      <c r="M814" s="50"/>
      <c r="N814" s="50"/>
      <c r="O814" s="50"/>
      <c r="P814" s="50"/>
      <c r="Q814" s="50"/>
      <c r="R814" s="50"/>
      <c r="S814" s="50"/>
      <c r="T814" s="50"/>
      <c r="U814" s="50"/>
      <c r="V814" s="50"/>
      <c r="W814" s="50"/>
      <c r="X814" s="50"/>
      <c r="Y814" s="50"/>
      <c r="Z814" s="50"/>
      <c r="AA814" s="50"/>
      <c r="AB814" s="50"/>
    </row>
    <row r="815" customFormat="false" ht="15.75" hidden="false" customHeight="false" outlineLevel="0" collapsed="false">
      <c r="A815" s="50"/>
      <c r="B815" s="50"/>
      <c r="C815" s="5"/>
      <c r="D815" s="48"/>
      <c r="E815" s="50"/>
      <c r="F815" s="5"/>
      <c r="G815" s="5"/>
      <c r="H815" s="5"/>
      <c r="I815" s="5"/>
      <c r="J815" s="5"/>
      <c r="K815" s="50"/>
      <c r="L815" s="50"/>
      <c r="M815" s="50"/>
      <c r="N815" s="50"/>
      <c r="O815" s="50"/>
      <c r="P815" s="50"/>
      <c r="Q815" s="50"/>
      <c r="R815" s="50"/>
      <c r="S815" s="50"/>
      <c r="T815" s="50"/>
      <c r="U815" s="50"/>
      <c r="V815" s="50"/>
      <c r="W815" s="50"/>
      <c r="X815" s="50"/>
      <c r="Y815" s="50"/>
      <c r="Z815" s="50"/>
      <c r="AA815" s="50"/>
      <c r="AB815" s="50"/>
    </row>
    <row r="816" customFormat="false" ht="15.75" hidden="false" customHeight="false" outlineLevel="0" collapsed="false">
      <c r="A816" s="50"/>
      <c r="B816" s="50"/>
      <c r="C816" s="5"/>
      <c r="D816" s="48"/>
      <c r="E816" s="50"/>
      <c r="F816" s="5"/>
      <c r="G816" s="5"/>
      <c r="H816" s="5"/>
      <c r="I816" s="5"/>
      <c r="J816" s="5"/>
      <c r="K816" s="50"/>
      <c r="L816" s="50"/>
      <c r="M816" s="50"/>
      <c r="N816" s="50"/>
      <c r="O816" s="50"/>
      <c r="P816" s="50"/>
      <c r="Q816" s="50"/>
      <c r="R816" s="50"/>
      <c r="S816" s="50"/>
      <c r="T816" s="50"/>
      <c r="U816" s="50"/>
      <c r="V816" s="50"/>
      <c r="W816" s="50"/>
      <c r="X816" s="50"/>
      <c r="Y816" s="50"/>
      <c r="Z816" s="50"/>
      <c r="AA816" s="50"/>
      <c r="AB816" s="50"/>
    </row>
    <row r="817" customFormat="false" ht="15.75" hidden="false" customHeight="false" outlineLevel="0" collapsed="false">
      <c r="A817" s="50"/>
      <c r="B817" s="50"/>
      <c r="C817" s="5"/>
      <c r="D817" s="48"/>
      <c r="E817" s="50"/>
      <c r="F817" s="5"/>
      <c r="G817" s="5"/>
      <c r="H817" s="5"/>
      <c r="I817" s="5"/>
      <c r="J817" s="5"/>
      <c r="K817" s="50"/>
      <c r="L817" s="50"/>
      <c r="M817" s="50"/>
      <c r="N817" s="50"/>
      <c r="O817" s="50"/>
      <c r="P817" s="50"/>
      <c r="Q817" s="50"/>
      <c r="R817" s="50"/>
      <c r="S817" s="50"/>
      <c r="T817" s="50"/>
      <c r="U817" s="50"/>
      <c r="V817" s="50"/>
      <c r="W817" s="50"/>
      <c r="X817" s="50"/>
      <c r="Y817" s="50"/>
      <c r="Z817" s="50"/>
      <c r="AA817" s="50"/>
      <c r="AB817" s="50"/>
    </row>
    <row r="818" customFormat="false" ht="15.75" hidden="false" customHeight="false" outlineLevel="0" collapsed="false">
      <c r="A818" s="50"/>
      <c r="B818" s="50"/>
      <c r="C818" s="5"/>
      <c r="D818" s="48"/>
      <c r="E818" s="50"/>
      <c r="F818" s="5"/>
      <c r="G818" s="5"/>
      <c r="H818" s="5"/>
      <c r="I818" s="5"/>
      <c r="J818" s="5"/>
      <c r="K818" s="50"/>
      <c r="L818" s="50"/>
      <c r="M818" s="50"/>
      <c r="N818" s="50"/>
      <c r="O818" s="50"/>
      <c r="P818" s="50"/>
      <c r="Q818" s="50"/>
      <c r="R818" s="50"/>
      <c r="S818" s="50"/>
      <c r="T818" s="50"/>
      <c r="U818" s="50"/>
      <c r="V818" s="50"/>
      <c r="W818" s="50"/>
      <c r="X818" s="50"/>
      <c r="Y818" s="50"/>
      <c r="Z818" s="50"/>
      <c r="AA818" s="50"/>
      <c r="AB818" s="50"/>
    </row>
    <row r="819" customFormat="false" ht="15.75" hidden="false" customHeight="false" outlineLevel="0" collapsed="false">
      <c r="A819" s="50"/>
      <c r="B819" s="50"/>
      <c r="C819" s="5"/>
      <c r="D819" s="48"/>
      <c r="E819" s="50"/>
      <c r="F819" s="5"/>
      <c r="G819" s="5"/>
      <c r="H819" s="5"/>
      <c r="I819" s="5"/>
      <c r="J819" s="5"/>
      <c r="K819" s="50"/>
      <c r="L819" s="50"/>
      <c r="M819" s="50"/>
      <c r="N819" s="50"/>
      <c r="O819" s="50"/>
      <c r="P819" s="50"/>
      <c r="Q819" s="50"/>
      <c r="R819" s="50"/>
      <c r="S819" s="50"/>
      <c r="T819" s="50"/>
      <c r="U819" s="50"/>
      <c r="V819" s="50"/>
      <c r="W819" s="50"/>
      <c r="X819" s="50"/>
      <c r="Y819" s="50"/>
      <c r="Z819" s="50"/>
      <c r="AA819" s="50"/>
      <c r="AB819" s="50"/>
    </row>
    <row r="820" customFormat="false" ht="15.75" hidden="false" customHeight="false" outlineLevel="0" collapsed="false">
      <c r="A820" s="50"/>
      <c r="B820" s="50"/>
      <c r="C820" s="5"/>
      <c r="D820" s="48"/>
      <c r="E820" s="50"/>
      <c r="F820" s="5"/>
      <c r="G820" s="5"/>
      <c r="H820" s="5"/>
      <c r="I820" s="5"/>
      <c r="J820" s="5"/>
      <c r="K820" s="50"/>
      <c r="L820" s="50"/>
      <c r="M820" s="50"/>
      <c r="N820" s="50"/>
      <c r="O820" s="50"/>
      <c r="P820" s="50"/>
      <c r="Q820" s="50"/>
      <c r="R820" s="50"/>
      <c r="S820" s="50"/>
      <c r="T820" s="50"/>
      <c r="U820" s="50"/>
      <c r="V820" s="50"/>
      <c r="W820" s="50"/>
      <c r="X820" s="50"/>
      <c r="Y820" s="50"/>
      <c r="Z820" s="50"/>
      <c r="AA820" s="50"/>
      <c r="AB820" s="50"/>
    </row>
    <row r="821" customFormat="false" ht="15.75" hidden="false" customHeight="false" outlineLevel="0" collapsed="false">
      <c r="A821" s="50"/>
      <c r="B821" s="50"/>
      <c r="C821" s="5"/>
      <c r="D821" s="48"/>
      <c r="E821" s="50"/>
      <c r="F821" s="5"/>
      <c r="G821" s="5"/>
      <c r="H821" s="5"/>
      <c r="I821" s="5"/>
      <c r="J821" s="5"/>
      <c r="K821" s="50"/>
      <c r="L821" s="50"/>
      <c r="M821" s="50"/>
      <c r="N821" s="50"/>
      <c r="O821" s="50"/>
      <c r="P821" s="50"/>
      <c r="Q821" s="50"/>
      <c r="R821" s="50"/>
      <c r="S821" s="50"/>
      <c r="T821" s="50"/>
      <c r="U821" s="50"/>
      <c r="V821" s="50"/>
      <c r="W821" s="50"/>
      <c r="X821" s="50"/>
      <c r="Y821" s="50"/>
      <c r="Z821" s="50"/>
      <c r="AA821" s="50"/>
      <c r="AB821" s="50"/>
    </row>
    <row r="822" customFormat="false" ht="15.75" hidden="false" customHeight="false" outlineLevel="0" collapsed="false">
      <c r="A822" s="50"/>
      <c r="B822" s="50"/>
      <c r="C822" s="5"/>
      <c r="D822" s="48"/>
      <c r="E822" s="50"/>
      <c r="F822" s="5"/>
      <c r="G822" s="5"/>
      <c r="H822" s="5"/>
      <c r="I822" s="5"/>
      <c r="J822" s="5"/>
      <c r="K822" s="50"/>
      <c r="L822" s="50"/>
      <c r="M822" s="50"/>
      <c r="N822" s="50"/>
      <c r="O822" s="50"/>
      <c r="P822" s="50"/>
      <c r="Q822" s="50"/>
      <c r="R822" s="50"/>
      <c r="S822" s="50"/>
      <c r="T822" s="50"/>
      <c r="U822" s="50"/>
      <c r="V822" s="50"/>
      <c r="W822" s="50"/>
      <c r="X822" s="50"/>
      <c r="Y822" s="50"/>
      <c r="Z822" s="50"/>
      <c r="AA822" s="50"/>
      <c r="AB822" s="50"/>
    </row>
    <row r="823" customFormat="false" ht="15.75" hidden="false" customHeight="false" outlineLevel="0" collapsed="false">
      <c r="A823" s="50"/>
      <c r="B823" s="50"/>
      <c r="C823" s="5"/>
      <c r="D823" s="48"/>
      <c r="E823" s="50"/>
      <c r="F823" s="5"/>
      <c r="G823" s="5"/>
      <c r="H823" s="5"/>
      <c r="I823" s="5"/>
      <c r="J823" s="5"/>
      <c r="K823" s="50"/>
      <c r="L823" s="50"/>
      <c r="M823" s="50"/>
      <c r="N823" s="50"/>
      <c r="O823" s="50"/>
      <c r="P823" s="50"/>
      <c r="Q823" s="50"/>
      <c r="R823" s="50"/>
      <c r="S823" s="50"/>
      <c r="T823" s="50"/>
      <c r="U823" s="50"/>
      <c r="V823" s="50"/>
      <c r="W823" s="50"/>
      <c r="X823" s="50"/>
      <c r="Y823" s="50"/>
      <c r="Z823" s="50"/>
      <c r="AA823" s="50"/>
      <c r="AB823" s="50"/>
    </row>
    <row r="824" customFormat="false" ht="15.75" hidden="false" customHeight="false" outlineLevel="0" collapsed="false">
      <c r="A824" s="50"/>
      <c r="B824" s="50"/>
      <c r="C824" s="5"/>
      <c r="D824" s="48"/>
      <c r="E824" s="50"/>
      <c r="F824" s="5"/>
      <c r="G824" s="5"/>
      <c r="H824" s="5"/>
      <c r="I824" s="5"/>
      <c r="J824" s="5"/>
      <c r="K824" s="50"/>
      <c r="L824" s="50"/>
      <c r="M824" s="50"/>
      <c r="N824" s="50"/>
      <c r="O824" s="50"/>
      <c r="P824" s="50"/>
      <c r="Q824" s="50"/>
      <c r="R824" s="50"/>
      <c r="S824" s="50"/>
      <c r="T824" s="50"/>
      <c r="U824" s="50"/>
      <c r="V824" s="50"/>
      <c r="W824" s="50"/>
      <c r="X824" s="50"/>
      <c r="Y824" s="50"/>
      <c r="Z824" s="50"/>
      <c r="AA824" s="50"/>
      <c r="AB824" s="50"/>
    </row>
    <row r="825" customFormat="false" ht="15.75" hidden="false" customHeight="false" outlineLevel="0" collapsed="false">
      <c r="A825" s="50"/>
      <c r="B825" s="50"/>
      <c r="C825" s="5"/>
      <c r="D825" s="48"/>
      <c r="E825" s="50"/>
      <c r="F825" s="5"/>
      <c r="G825" s="5"/>
      <c r="H825" s="5"/>
      <c r="I825" s="5"/>
      <c r="J825" s="5"/>
      <c r="K825" s="50"/>
      <c r="L825" s="50"/>
      <c r="M825" s="50"/>
      <c r="N825" s="50"/>
      <c r="O825" s="50"/>
      <c r="P825" s="50"/>
      <c r="Q825" s="50"/>
      <c r="R825" s="50"/>
      <c r="S825" s="50"/>
      <c r="T825" s="50"/>
      <c r="U825" s="50"/>
      <c r="V825" s="50"/>
      <c r="W825" s="50"/>
      <c r="X825" s="50"/>
      <c r="Y825" s="50"/>
      <c r="Z825" s="50"/>
      <c r="AA825" s="50"/>
      <c r="AB825" s="50"/>
    </row>
    <row r="826" customFormat="false" ht="15.75" hidden="false" customHeight="false" outlineLevel="0" collapsed="false">
      <c r="A826" s="50"/>
      <c r="B826" s="50"/>
      <c r="C826" s="5"/>
      <c r="D826" s="48"/>
      <c r="E826" s="50"/>
      <c r="F826" s="5"/>
      <c r="G826" s="5"/>
      <c r="H826" s="5"/>
      <c r="I826" s="5"/>
      <c r="J826" s="5"/>
      <c r="K826" s="50"/>
      <c r="L826" s="50"/>
      <c r="M826" s="50"/>
      <c r="N826" s="50"/>
      <c r="O826" s="50"/>
      <c r="P826" s="50"/>
      <c r="Q826" s="50"/>
      <c r="R826" s="50"/>
      <c r="S826" s="50"/>
      <c r="T826" s="50"/>
      <c r="U826" s="50"/>
      <c r="V826" s="50"/>
      <c r="W826" s="50"/>
      <c r="X826" s="50"/>
      <c r="Y826" s="50"/>
      <c r="Z826" s="50"/>
      <c r="AA826" s="50"/>
      <c r="AB826" s="50"/>
    </row>
    <row r="827" customFormat="false" ht="15.75" hidden="false" customHeight="false" outlineLevel="0" collapsed="false">
      <c r="A827" s="50"/>
      <c r="B827" s="50"/>
      <c r="C827" s="5"/>
      <c r="D827" s="48"/>
      <c r="E827" s="50"/>
      <c r="F827" s="5"/>
      <c r="G827" s="5"/>
      <c r="H827" s="5"/>
      <c r="I827" s="5"/>
      <c r="J827" s="5"/>
      <c r="K827" s="50"/>
      <c r="L827" s="50"/>
      <c r="M827" s="50"/>
      <c r="N827" s="50"/>
      <c r="O827" s="50"/>
      <c r="P827" s="50"/>
      <c r="Q827" s="50"/>
      <c r="R827" s="50"/>
      <c r="S827" s="50"/>
      <c r="T827" s="50"/>
      <c r="U827" s="50"/>
      <c r="V827" s="50"/>
      <c r="W827" s="50"/>
      <c r="X827" s="50"/>
      <c r="Y827" s="50"/>
      <c r="Z827" s="50"/>
      <c r="AA827" s="50"/>
      <c r="AB827" s="50"/>
    </row>
    <row r="828" customFormat="false" ht="15.75" hidden="false" customHeight="false" outlineLevel="0" collapsed="false">
      <c r="A828" s="50"/>
      <c r="B828" s="50"/>
      <c r="C828" s="5"/>
      <c r="D828" s="48"/>
      <c r="E828" s="50"/>
      <c r="F828" s="5"/>
      <c r="G828" s="5"/>
      <c r="H828" s="5"/>
      <c r="I828" s="5"/>
      <c r="J828" s="5"/>
      <c r="K828" s="50"/>
      <c r="L828" s="50"/>
      <c r="M828" s="50"/>
      <c r="N828" s="50"/>
      <c r="O828" s="50"/>
      <c r="P828" s="50"/>
      <c r="Q828" s="50"/>
      <c r="R828" s="50"/>
      <c r="S828" s="50"/>
      <c r="T828" s="50"/>
      <c r="U828" s="50"/>
      <c r="V828" s="50"/>
      <c r="W828" s="50"/>
      <c r="X828" s="50"/>
      <c r="Y828" s="50"/>
      <c r="Z828" s="50"/>
      <c r="AA828" s="50"/>
      <c r="AB828" s="50"/>
    </row>
    <row r="829" customFormat="false" ht="15.75" hidden="false" customHeight="false" outlineLevel="0" collapsed="false">
      <c r="A829" s="50"/>
      <c r="B829" s="50"/>
      <c r="C829" s="5"/>
      <c r="D829" s="48"/>
      <c r="E829" s="50"/>
      <c r="F829" s="5"/>
      <c r="G829" s="5"/>
      <c r="H829" s="5"/>
      <c r="I829" s="5"/>
      <c r="J829" s="5"/>
      <c r="K829" s="50"/>
      <c r="L829" s="50"/>
      <c r="M829" s="50"/>
      <c r="N829" s="50"/>
      <c r="O829" s="50"/>
      <c r="P829" s="50"/>
      <c r="Q829" s="50"/>
      <c r="R829" s="50"/>
      <c r="S829" s="50"/>
      <c r="T829" s="50"/>
      <c r="U829" s="50"/>
      <c r="V829" s="50"/>
      <c r="W829" s="50"/>
      <c r="X829" s="50"/>
      <c r="Y829" s="50"/>
      <c r="Z829" s="50"/>
      <c r="AA829" s="50"/>
      <c r="AB829" s="50"/>
    </row>
    <row r="830" customFormat="false" ht="15.75" hidden="false" customHeight="false" outlineLevel="0" collapsed="false">
      <c r="A830" s="50"/>
      <c r="B830" s="50"/>
      <c r="C830" s="5"/>
      <c r="D830" s="48"/>
      <c r="E830" s="50"/>
      <c r="F830" s="5"/>
      <c r="G830" s="5"/>
      <c r="H830" s="5"/>
      <c r="I830" s="5"/>
      <c r="J830" s="5"/>
      <c r="K830" s="50"/>
      <c r="L830" s="50"/>
      <c r="M830" s="50"/>
      <c r="N830" s="50"/>
      <c r="O830" s="50"/>
      <c r="P830" s="50"/>
      <c r="Q830" s="50"/>
      <c r="R830" s="50"/>
      <c r="S830" s="50"/>
      <c r="T830" s="50"/>
      <c r="U830" s="50"/>
      <c r="V830" s="50"/>
      <c r="W830" s="50"/>
      <c r="X830" s="50"/>
      <c r="Y830" s="50"/>
      <c r="Z830" s="50"/>
      <c r="AA830" s="50"/>
      <c r="AB830" s="50"/>
    </row>
    <row r="831" customFormat="false" ht="15.75" hidden="false" customHeight="false" outlineLevel="0" collapsed="false">
      <c r="A831" s="50"/>
      <c r="B831" s="50"/>
      <c r="C831" s="5"/>
      <c r="D831" s="48"/>
      <c r="E831" s="50"/>
      <c r="F831" s="5"/>
      <c r="G831" s="5"/>
      <c r="H831" s="5"/>
      <c r="I831" s="5"/>
      <c r="J831" s="5"/>
      <c r="K831" s="50"/>
      <c r="L831" s="50"/>
      <c r="M831" s="50"/>
      <c r="N831" s="50"/>
      <c r="O831" s="50"/>
      <c r="P831" s="50"/>
      <c r="Q831" s="50"/>
      <c r="R831" s="50"/>
      <c r="S831" s="50"/>
      <c r="T831" s="50"/>
      <c r="U831" s="50"/>
      <c r="V831" s="50"/>
      <c r="W831" s="50"/>
      <c r="X831" s="50"/>
      <c r="Y831" s="50"/>
      <c r="Z831" s="50"/>
      <c r="AA831" s="50"/>
      <c r="AB831" s="50"/>
    </row>
    <row r="832" customFormat="false" ht="15.75" hidden="false" customHeight="false" outlineLevel="0" collapsed="false">
      <c r="A832" s="50"/>
      <c r="B832" s="50"/>
      <c r="C832" s="5"/>
      <c r="D832" s="48"/>
      <c r="E832" s="50"/>
      <c r="F832" s="5"/>
      <c r="G832" s="5"/>
      <c r="H832" s="5"/>
      <c r="I832" s="5"/>
      <c r="J832" s="5"/>
      <c r="K832" s="50"/>
      <c r="L832" s="50"/>
      <c r="M832" s="50"/>
      <c r="N832" s="50"/>
      <c r="O832" s="50"/>
      <c r="P832" s="50"/>
      <c r="Q832" s="50"/>
      <c r="R832" s="50"/>
      <c r="S832" s="50"/>
      <c r="T832" s="50"/>
      <c r="U832" s="50"/>
      <c r="V832" s="50"/>
      <c r="W832" s="50"/>
      <c r="X832" s="50"/>
      <c r="Y832" s="50"/>
      <c r="Z832" s="50"/>
      <c r="AA832" s="50"/>
      <c r="AB832" s="50"/>
    </row>
    <row r="833" customFormat="false" ht="15.75" hidden="false" customHeight="false" outlineLevel="0" collapsed="false">
      <c r="A833" s="50"/>
      <c r="B833" s="50"/>
      <c r="C833" s="5"/>
      <c r="D833" s="48"/>
      <c r="E833" s="50"/>
      <c r="F833" s="5"/>
      <c r="G833" s="5"/>
      <c r="H833" s="5"/>
      <c r="I833" s="5"/>
      <c r="J833" s="5"/>
      <c r="K833" s="50"/>
      <c r="L833" s="50"/>
      <c r="M833" s="50"/>
      <c r="N833" s="50"/>
      <c r="O833" s="50"/>
      <c r="P833" s="50"/>
      <c r="Q833" s="50"/>
      <c r="R833" s="50"/>
      <c r="S833" s="50"/>
      <c r="T833" s="50"/>
      <c r="U833" s="50"/>
      <c r="V833" s="50"/>
      <c r="W833" s="50"/>
      <c r="X833" s="50"/>
      <c r="Y833" s="50"/>
      <c r="Z833" s="50"/>
      <c r="AA833" s="50"/>
      <c r="AB833" s="50"/>
    </row>
    <row r="834" customFormat="false" ht="15.75" hidden="false" customHeight="false" outlineLevel="0" collapsed="false">
      <c r="A834" s="50"/>
      <c r="B834" s="50"/>
      <c r="C834" s="5"/>
      <c r="D834" s="48"/>
      <c r="E834" s="50"/>
      <c r="F834" s="5"/>
      <c r="G834" s="5"/>
      <c r="H834" s="5"/>
      <c r="I834" s="5"/>
      <c r="J834" s="5"/>
      <c r="K834" s="50"/>
      <c r="L834" s="50"/>
      <c r="M834" s="50"/>
      <c r="N834" s="50"/>
      <c r="O834" s="50"/>
      <c r="P834" s="50"/>
      <c r="Q834" s="50"/>
      <c r="R834" s="50"/>
      <c r="S834" s="50"/>
      <c r="T834" s="50"/>
      <c r="U834" s="50"/>
      <c r="V834" s="50"/>
      <c r="W834" s="50"/>
      <c r="X834" s="50"/>
      <c r="Y834" s="50"/>
      <c r="Z834" s="50"/>
      <c r="AA834" s="50"/>
      <c r="AB834" s="50"/>
    </row>
    <row r="835" customFormat="false" ht="15.75" hidden="false" customHeight="false" outlineLevel="0" collapsed="false">
      <c r="A835" s="50"/>
      <c r="B835" s="50"/>
      <c r="C835" s="5"/>
      <c r="D835" s="48"/>
      <c r="E835" s="50"/>
      <c r="F835" s="5"/>
      <c r="G835" s="5"/>
      <c r="H835" s="5"/>
      <c r="I835" s="5"/>
      <c r="J835" s="5"/>
      <c r="K835" s="50"/>
      <c r="L835" s="50"/>
      <c r="M835" s="50"/>
      <c r="N835" s="50"/>
      <c r="O835" s="50"/>
      <c r="P835" s="50"/>
      <c r="Q835" s="50"/>
      <c r="R835" s="50"/>
      <c r="S835" s="50"/>
      <c r="T835" s="50"/>
      <c r="U835" s="50"/>
      <c r="V835" s="50"/>
      <c r="W835" s="50"/>
      <c r="X835" s="50"/>
      <c r="Y835" s="50"/>
      <c r="Z835" s="50"/>
      <c r="AA835" s="50"/>
      <c r="AB835" s="50"/>
    </row>
    <row r="836" customFormat="false" ht="15.75" hidden="false" customHeight="false" outlineLevel="0" collapsed="false">
      <c r="A836" s="50"/>
      <c r="B836" s="50"/>
      <c r="C836" s="5"/>
      <c r="D836" s="48"/>
      <c r="E836" s="50"/>
      <c r="F836" s="5"/>
      <c r="G836" s="5"/>
      <c r="H836" s="5"/>
      <c r="I836" s="5"/>
      <c r="J836" s="5"/>
      <c r="K836" s="50"/>
      <c r="L836" s="50"/>
      <c r="M836" s="50"/>
      <c r="N836" s="50"/>
      <c r="O836" s="50"/>
      <c r="P836" s="50"/>
      <c r="Q836" s="50"/>
      <c r="R836" s="50"/>
      <c r="S836" s="50"/>
      <c r="T836" s="50"/>
      <c r="U836" s="50"/>
      <c r="V836" s="50"/>
      <c r="W836" s="50"/>
      <c r="X836" s="50"/>
      <c r="Y836" s="50"/>
      <c r="Z836" s="50"/>
      <c r="AA836" s="50"/>
      <c r="AB836" s="50"/>
    </row>
    <row r="837" customFormat="false" ht="15.75" hidden="false" customHeight="false" outlineLevel="0" collapsed="false">
      <c r="A837" s="50"/>
      <c r="B837" s="50"/>
      <c r="C837" s="5"/>
      <c r="D837" s="48"/>
      <c r="E837" s="50"/>
      <c r="F837" s="5"/>
      <c r="G837" s="5"/>
      <c r="H837" s="5"/>
      <c r="I837" s="5"/>
      <c r="J837" s="5"/>
      <c r="K837" s="50"/>
      <c r="L837" s="50"/>
      <c r="M837" s="50"/>
      <c r="N837" s="50"/>
      <c r="O837" s="50"/>
      <c r="P837" s="50"/>
      <c r="Q837" s="50"/>
      <c r="R837" s="50"/>
      <c r="S837" s="50"/>
      <c r="T837" s="50"/>
      <c r="U837" s="50"/>
      <c r="V837" s="50"/>
      <c r="W837" s="50"/>
      <c r="X837" s="50"/>
      <c r="Y837" s="50"/>
      <c r="Z837" s="50"/>
      <c r="AA837" s="50"/>
      <c r="AB837" s="50"/>
    </row>
    <row r="838" customFormat="false" ht="15.75" hidden="false" customHeight="false" outlineLevel="0" collapsed="false">
      <c r="A838" s="50"/>
      <c r="B838" s="50"/>
      <c r="C838" s="5"/>
      <c r="D838" s="48"/>
      <c r="E838" s="50"/>
      <c r="F838" s="5"/>
      <c r="G838" s="5"/>
      <c r="H838" s="5"/>
      <c r="I838" s="5"/>
      <c r="J838" s="5"/>
      <c r="K838" s="50"/>
      <c r="L838" s="50"/>
      <c r="M838" s="50"/>
      <c r="N838" s="50"/>
      <c r="O838" s="50"/>
      <c r="P838" s="50"/>
      <c r="Q838" s="50"/>
      <c r="R838" s="50"/>
      <c r="S838" s="50"/>
      <c r="T838" s="50"/>
      <c r="U838" s="50"/>
      <c r="V838" s="50"/>
      <c r="W838" s="50"/>
      <c r="X838" s="50"/>
      <c r="Y838" s="50"/>
      <c r="Z838" s="50"/>
      <c r="AA838" s="50"/>
      <c r="AB838" s="50"/>
    </row>
    <row r="839" customFormat="false" ht="15.75" hidden="false" customHeight="false" outlineLevel="0" collapsed="false">
      <c r="A839" s="50"/>
      <c r="B839" s="50"/>
      <c r="C839" s="5"/>
      <c r="D839" s="48"/>
      <c r="E839" s="50"/>
      <c r="F839" s="5"/>
      <c r="G839" s="5"/>
      <c r="H839" s="5"/>
      <c r="I839" s="5"/>
      <c r="J839" s="5"/>
      <c r="K839" s="50"/>
      <c r="L839" s="50"/>
      <c r="M839" s="50"/>
      <c r="N839" s="50"/>
      <c r="O839" s="50"/>
      <c r="P839" s="50"/>
      <c r="Q839" s="50"/>
      <c r="R839" s="50"/>
      <c r="S839" s="50"/>
      <c r="T839" s="50"/>
      <c r="U839" s="50"/>
      <c r="V839" s="50"/>
      <c r="W839" s="50"/>
      <c r="X839" s="50"/>
      <c r="Y839" s="50"/>
      <c r="Z839" s="50"/>
      <c r="AA839" s="50"/>
      <c r="AB839" s="50"/>
    </row>
    <row r="840" customFormat="false" ht="15.75" hidden="false" customHeight="false" outlineLevel="0" collapsed="false">
      <c r="A840" s="50"/>
      <c r="B840" s="50"/>
      <c r="C840" s="5"/>
      <c r="D840" s="48"/>
      <c r="E840" s="50"/>
      <c r="F840" s="5"/>
      <c r="G840" s="5"/>
      <c r="H840" s="5"/>
      <c r="I840" s="5"/>
      <c r="J840" s="5"/>
      <c r="K840" s="50"/>
      <c r="L840" s="50"/>
      <c r="M840" s="50"/>
      <c r="N840" s="50"/>
      <c r="O840" s="50"/>
      <c r="P840" s="50"/>
      <c r="Q840" s="50"/>
      <c r="R840" s="50"/>
      <c r="S840" s="50"/>
      <c r="T840" s="50"/>
      <c r="U840" s="50"/>
      <c r="V840" s="50"/>
      <c r="W840" s="50"/>
      <c r="X840" s="50"/>
      <c r="Y840" s="50"/>
      <c r="Z840" s="50"/>
      <c r="AA840" s="50"/>
      <c r="AB840" s="50"/>
    </row>
    <row r="841" customFormat="false" ht="15.75" hidden="false" customHeight="false" outlineLevel="0" collapsed="false">
      <c r="A841" s="50"/>
      <c r="B841" s="50"/>
      <c r="C841" s="5"/>
      <c r="D841" s="48"/>
      <c r="E841" s="50"/>
      <c r="F841" s="5"/>
      <c r="G841" s="5"/>
      <c r="H841" s="5"/>
      <c r="I841" s="5"/>
      <c r="J841" s="5"/>
      <c r="K841" s="50"/>
      <c r="L841" s="50"/>
      <c r="M841" s="50"/>
      <c r="N841" s="50"/>
      <c r="O841" s="50"/>
      <c r="P841" s="50"/>
      <c r="Q841" s="50"/>
      <c r="R841" s="50"/>
      <c r="S841" s="50"/>
      <c r="T841" s="50"/>
      <c r="U841" s="50"/>
      <c r="V841" s="50"/>
      <c r="W841" s="50"/>
      <c r="X841" s="50"/>
      <c r="Y841" s="50"/>
      <c r="Z841" s="50"/>
      <c r="AA841" s="50"/>
      <c r="AB841" s="50"/>
    </row>
    <row r="842" customFormat="false" ht="15.75" hidden="false" customHeight="false" outlineLevel="0" collapsed="false">
      <c r="A842" s="50"/>
      <c r="B842" s="50"/>
      <c r="C842" s="5"/>
      <c r="D842" s="48"/>
      <c r="E842" s="50"/>
      <c r="F842" s="5"/>
      <c r="G842" s="5"/>
      <c r="H842" s="5"/>
      <c r="I842" s="5"/>
      <c r="J842" s="5"/>
      <c r="K842" s="50"/>
      <c r="L842" s="50"/>
      <c r="M842" s="50"/>
      <c r="N842" s="50"/>
      <c r="O842" s="50"/>
      <c r="P842" s="50"/>
      <c r="Q842" s="50"/>
      <c r="R842" s="50"/>
      <c r="S842" s="50"/>
      <c r="T842" s="50"/>
      <c r="U842" s="50"/>
      <c r="V842" s="50"/>
      <c r="W842" s="50"/>
      <c r="X842" s="50"/>
      <c r="Y842" s="50"/>
      <c r="Z842" s="50"/>
      <c r="AA842" s="50"/>
      <c r="AB842" s="50"/>
    </row>
    <row r="843" customFormat="false" ht="15.75" hidden="false" customHeight="false" outlineLevel="0" collapsed="false">
      <c r="A843" s="50"/>
      <c r="B843" s="50"/>
      <c r="C843" s="5"/>
      <c r="D843" s="48"/>
      <c r="E843" s="50"/>
      <c r="F843" s="5"/>
      <c r="G843" s="5"/>
      <c r="H843" s="5"/>
      <c r="I843" s="5"/>
      <c r="J843" s="5"/>
      <c r="K843" s="50"/>
      <c r="L843" s="50"/>
      <c r="M843" s="50"/>
      <c r="N843" s="50"/>
      <c r="O843" s="50"/>
      <c r="P843" s="50"/>
      <c r="Q843" s="50"/>
      <c r="R843" s="50"/>
      <c r="S843" s="50"/>
      <c r="T843" s="50"/>
      <c r="U843" s="50"/>
      <c r="V843" s="50"/>
      <c r="W843" s="50"/>
      <c r="X843" s="50"/>
      <c r="Y843" s="50"/>
      <c r="Z843" s="50"/>
      <c r="AA843" s="50"/>
      <c r="AB843" s="50"/>
    </row>
    <row r="844" customFormat="false" ht="15.75" hidden="false" customHeight="false" outlineLevel="0" collapsed="false">
      <c r="A844" s="50"/>
      <c r="B844" s="50"/>
      <c r="C844" s="5"/>
      <c r="D844" s="48"/>
      <c r="E844" s="50"/>
      <c r="F844" s="5"/>
      <c r="G844" s="5"/>
      <c r="H844" s="5"/>
      <c r="I844" s="5"/>
      <c r="J844" s="5"/>
      <c r="K844" s="50"/>
      <c r="L844" s="50"/>
      <c r="M844" s="50"/>
      <c r="N844" s="50"/>
      <c r="O844" s="50"/>
      <c r="P844" s="50"/>
      <c r="Q844" s="50"/>
      <c r="R844" s="50"/>
      <c r="S844" s="50"/>
      <c r="T844" s="50"/>
      <c r="U844" s="50"/>
      <c r="V844" s="50"/>
      <c r="W844" s="50"/>
      <c r="X844" s="50"/>
      <c r="Y844" s="50"/>
      <c r="Z844" s="50"/>
      <c r="AA844" s="50"/>
      <c r="AB844" s="50"/>
    </row>
    <row r="845" customFormat="false" ht="15.75" hidden="false" customHeight="false" outlineLevel="0" collapsed="false">
      <c r="A845" s="50"/>
      <c r="B845" s="50"/>
      <c r="C845" s="5"/>
      <c r="D845" s="48"/>
      <c r="E845" s="50"/>
      <c r="F845" s="5"/>
      <c r="G845" s="5"/>
      <c r="H845" s="5"/>
      <c r="I845" s="5"/>
      <c r="J845" s="5"/>
      <c r="K845" s="50"/>
      <c r="L845" s="50"/>
      <c r="M845" s="50"/>
      <c r="N845" s="50"/>
      <c r="O845" s="50"/>
      <c r="P845" s="50"/>
      <c r="Q845" s="50"/>
      <c r="R845" s="50"/>
      <c r="S845" s="50"/>
      <c r="T845" s="50"/>
      <c r="U845" s="50"/>
      <c r="V845" s="50"/>
      <c r="W845" s="50"/>
      <c r="X845" s="50"/>
      <c r="Y845" s="50"/>
      <c r="Z845" s="50"/>
      <c r="AA845" s="50"/>
      <c r="AB845" s="50"/>
    </row>
    <row r="846" customFormat="false" ht="15.75" hidden="false" customHeight="false" outlineLevel="0" collapsed="false">
      <c r="A846" s="50"/>
      <c r="B846" s="50"/>
      <c r="C846" s="5"/>
      <c r="D846" s="48"/>
      <c r="E846" s="50"/>
      <c r="F846" s="5"/>
      <c r="G846" s="5"/>
      <c r="H846" s="5"/>
      <c r="I846" s="5"/>
      <c r="J846" s="5"/>
      <c r="K846" s="50"/>
      <c r="L846" s="50"/>
      <c r="M846" s="50"/>
      <c r="N846" s="50"/>
      <c r="O846" s="50"/>
      <c r="P846" s="50"/>
      <c r="Q846" s="50"/>
      <c r="R846" s="50"/>
      <c r="S846" s="50"/>
      <c r="T846" s="50"/>
      <c r="U846" s="50"/>
      <c r="V846" s="50"/>
      <c r="W846" s="50"/>
      <c r="X846" s="50"/>
      <c r="Y846" s="50"/>
      <c r="Z846" s="50"/>
      <c r="AA846" s="50"/>
      <c r="AB846" s="50"/>
    </row>
    <row r="847" customFormat="false" ht="15.75" hidden="false" customHeight="false" outlineLevel="0" collapsed="false">
      <c r="A847" s="50"/>
      <c r="B847" s="50"/>
      <c r="C847" s="5"/>
      <c r="D847" s="48"/>
      <c r="E847" s="50"/>
      <c r="F847" s="5"/>
      <c r="G847" s="5"/>
      <c r="H847" s="5"/>
      <c r="I847" s="5"/>
      <c r="J847" s="5"/>
      <c r="K847" s="50"/>
      <c r="L847" s="50"/>
      <c r="M847" s="50"/>
      <c r="N847" s="50"/>
      <c r="O847" s="50"/>
      <c r="P847" s="50"/>
      <c r="Q847" s="50"/>
      <c r="R847" s="50"/>
      <c r="S847" s="50"/>
      <c r="T847" s="50"/>
      <c r="U847" s="50"/>
      <c r="V847" s="50"/>
      <c r="W847" s="50"/>
      <c r="X847" s="50"/>
      <c r="Y847" s="50"/>
      <c r="Z847" s="50"/>
      <c r="AA847" s="50"/>
      <c r="AB847" s="50"/>
    </row>
    <row r="848" customFormat="false" ht="15.75" hidden="false" customHeight="false" outlineLevel="0" collapsed="false">
      <c r="A848" s="50"/>
      <c r="B848" s="50"/>
      <c r="C848" s="5"/>
      <c r="D848" s="48"/>
      <c r="E848" s="50"/>
      <c r="F848" s="5"/>
      <c r="G848" s="5"/>
      <c r="H848" s="5"/>
      <c r="I848" s="5"/>
      <c r="J848" s="5"/>
      <c r="K848" s="50"/>
      <c r="L848" s="50"/>
      <c r="M848" s="50"/>
      <c r="N848" s="50"/>
      <c r="O848" s="50"/>
      <c r="P848" s="50"/>
      <c r="Q848" s="50"/>
      <c r="R848" s="50"/>
      <c r="S848" s="50"/>
      <c r="T848" s="50"/>
      <c r="U848" s="50"/>
      <c r="V848" s="50"/>
      <c r="W848" s="50"/>
      <c r="X848" s="50"/>
      <c r="Y848" s="50"/>
      <c r="Z848" s="50"/>
      <c r="AA848" s="50"/>
      <c r="AB848" s="50"/>
    </row>
    <row r="849" customFormat="false" ht="15.75" hidden="false" customHeight="false" outlineLevel="0" collapsed="false">
      <c r="A849" s="50"/>
      <c r="B849" s="50"/>
      <c r="C849" s="5"/>
      <c r="D849" s="48"/>
      <c r="E849" s="50"/>
      <c r="F849" s="5"/>
      <c r="G849" s="5"/>
      <c r="H849" s="5"/>
      <c r="I849" s="5"/>
      <c r="J849" s="5"/>
      <c r="K849" s="50"/>
      <c r="L849" s="50"/>
      <c r="M849" s="50"/>
      <c r="N849" s="50"/>
      <c r="O849" s="50"/>
      <c r="P849" s="50"/>
      <c r="Q849" s="50"/>
      <c r="R849" s="50"/>
      <c r="S849" s="50"/>
      <c r="T849" s="50"/>
      <c r="U849" s="50"/>
      <c r="V849" s="50"/>
      <c r="W849" s="50"/>
      <c r="X849" s="50"/>
      <c r="Y849" s="50"/>
      <c r="Z849" s="50"/>
      <c r="AA849" s="50"/>
      <c r="AB849" s="50"/>
    </row>
    <row r="850" customFormat="false" ht="15.75" hidden="false" customHeight="false" outlineLevel="0" collapsed="false">
      <c r="A850" s="50"/>
      <c r="B850" s="50"/>
      <c r="C850" s="5"/>
      <c r="D850" s="48"/>
      <c r="E850" s="50"/>
      <c r="F850" s="5"/>
      <c r="G850" s="5"/>
      <c r="H850" s="5"/>
      <c r="I850" s="5"/>
      <c r="J850" s="5"/>
      <c r="K850" s="50"/>
      <c r="L850" s="50"/>
      <c r="M850" s="50"/>
      <c r="N850" s="50"/>
      <c r="O850" s="50"/>
      <c r="P850" s="50"/>
      <c r="Q850" s="50"/>
      <c r="R850" s="50"/>
      <c r="S850" s="50"/>
      <c r="T850" s="50"/>
      <c r="U850" s="50"/>
      <c r="V850" s="50"/>
      <c r="W850" s="50"/>
      <c r="X850" s="50"/>
      <c r="Y850" s="50"/>
      <c r="Z850" s="50"/>
      <c r="AA850" s="50"/>
      <c r="AB850" s="50"/>
    </row>
    <row r="851" customFormat="false" ht="15.75" hidden="false" customHeight="false" outlineLevel="0" collapsed="false">
      <c r="A851" s="50"/>
      <c r="B851" s="50"/>
      <c r="C851" s="5"/>
      <c r="D851" s="48"/>
      <c r="E851" s="50"/>
      <c r="F851" s="5"/>
      <c r="G851" s="5"/>
      <c r="H851" s="5"/>
      <c r="I851" s="5"/>
      <c r="J851" s="5"/>
      <c r="K851" s="50"/>
      <c r="L851" s="50"/>
      <c r="M851" s="50"/>
      <c r="N851" s="50"/>
      <c r="O851" s="50"/>
      <c r="P851" s="50"/>
      <c r="Q851" s="50"/>
      <c r="R851" s="50"/>
      <c r="S851" s="50"/>
      <c r="T851" s="50"/>
      <c r="U851" s="50"/>
      <c r="V851" s="50"/>
      <c r="W851" s="50"/>
      <c r="X851" s="50"/>
      <c r="Y851" s="50"/>
      <c r="Z851" s="50"/>
      <c r="AA851" s="50"/>
      <c r="AB851" s="50"/>
    </row>
    <row r="852" customFormat="false" ht="15.75" hidden="false" customHeight="false" outlineLevel="0" collapsed="false">
      <c r="A852" s="50"/>
      <c r="B852" s="50"/>
      <c r="C852" s="5"/>
      <c r="D852" s="48"/>
      <c r="E852" s="50"/>
      <c r="F852" s="5"/>
      <c r="G852" s="5"/>
      <c r="H852" s="5"/>
      <c r="I852" s="5"/>
      <c r="J852" s="5"/>
      <c r="K852" s="50"/>
      <c r="L852" s="50"/>
      <c r="M852" s="50"/>
      <c r="N852" s="50"/>
      <c r="O852" s="50"/>
      <c r="P852" s="50"/>
      <c r="Q852" s="50"/>
      <c r="R852" s="50"/>
      <c r="S852" s="50"/>
      <c r="T852" s="50"/>
      <c r="U852" s="50"/>
      <c r="V852" s="50"/>
      <c r="W852" s="50"/>
      <c r="X852" s="50"/>
      <c r="Y852" s="50"/>
      <c r="Z852" s="50"/>
      <c r="AA852" s="50"/>
      <c r="AB852" s="50"/>
    </row>
    <row r="853" customFormat="false" ht="15.75" hidden="false" customHeight="false" outlineLevel="0" collapsed="false">
      <c r="A853" s="50"/>
      <c r="B853" s="50"/>
      <c r="C853" s="5"/>
      <c r="D853" s="48"/>
      <c r="E853" s="50"/>
      <c r="F853" s="5"/>
      <c r="G853" s="5"/>
      <c r="H853" s="5"/>
      <c r="I853" s="5"/>
      <c r="J853" s="5"/>
      <c r="K853" s="50"/>
      <c r="L853" s="50"/>
      <c r="M853" s="50"/>
      <c r="N853" s="50"/>
      <c r="O853" s="50"/>
      <c r="P853" s="50"/>
      <c r="Q853" s="50"/>
      <c r="R853" s="50"/>
      <c r="S853" s="50"/>
      <c r="T853" s="50"/>
      <c r="U853" s="50"/>
      <c r="V853" s="50"/>
      <c r="W853" s="50"/>
      <c r="X853" s="50"/>
      <c r="Y853" s="50"/>
      <c r="Z853" s="50"/>
      <c r="AA853" s="50"/>
      <c r="AB853" s="50"/>
    </row>
    <row r="854" customFormat="false" ht="15.75" hidden="false" customHeight="false" outlineLevel="0" collapsed="false">
      <c r="A854" s="50"/>
      <c r="B854" s="50"/>
      <c r="C854" s="5"/>
      <c r="D854" s="48"/>
      <c r="E854" s="50"/>
      <c r="F854" s="5"/>
      <c r="G854" s="5"/>
      <c r="H854" s="5"/>
      <c r="I854" s="5"/>
      <c r="J854" s="5"/>
      <c r="K854" s="50"/>
      <c r="L854" s="50"/>
      <c r="M854" s="50"/>
      <c r="N854" s="50"/>
      <c r="O854" s="50"/>
      <c r="P854" s="50"/>
      <c r="Q854" s="50"/>
      <c r="R854" s="50"/>
      <c r="S854" s="50"/>
      <c r="T854" s="50"/>
      <c r="U854" s="50"/>
      <c r="V854" s="50"/>
      <c r="W854" s="50"/>
      <c r="X854" s="50"/>
      <c r="Y854" s="50"/>
      <c r="Z854" s="50"/>
      <c r="AA854" s="50"/>
      <c r="AB854" s="50"/>
    </row>
    <row r="855" customFormat="false" ht="15.75" hidden="false" customHeight="false" outlineLevel="0" collapsed="false">
      <c r="A855" s="50"/>
      <c r="B855" s="50"/>
      <c r="C855" s="5"/>
      <c r="D855" s="48"/>
      <c r="E855" s="50"/>
      <c r="F855" s="5"/>
      <c r="G855" s="5"/>
      <c r="H855" s="5"/>
      <c r="I855" s="5"/>
      <c r="J855" s="5"/>
      <c r="K855" s="50"/>
      <c r="L855" s="50"/>
      <c r="M855" s="50"/>
      <c r="N855" s="50"/>
      <c r="O855" s="50"/>
      <c r="P855" s="50"/>
      <c r="Q855" s="50"/>
      <c r="R855" s="50"/>
      <c r="S855" s="50"/>
      <c r="T855" s="50"/>
      <c r="U855" s="50"/>
      <c r="V855" s="50"/>
      <c r="W855" s="50"/>
      <c r="X855" s="50"/>
      <c r="Y855" s="50"/>
      <c r="Z855" s="50"/>
      <c r="AA855" s="50"/>
      <c r="AB855" s="50"/>
    </row>
    <row r="856" customFormat="false" ht="15.75" hidden="false" customHeight="false" outlineLevel="0" collapsed="false">
      <c r="A856" s="50"/>
      <c r="B856" s="50"/>
      <c r="C856" s="5"/>
      <c r="D856" s="48"/>
      <c r="E856" s="50"/>
      <c r="F856" s="5"/>
      <c r="G856" s="5"/>
      <c r="H856" s="5"/>
      <c r="I856" s="5"/>
      <c r="J856" s="5"/>
      <c r="K856" s="50"/>
      <c r="L856" s="50"/>
      <c r="M856" s="50"/>
      <c r="N856" s="50"/>
      <c r="O856" s="50"/>
      <c r="P856" s="50"/>
      <c r="Q856" s="50"/>
      <c r="R856" s="50"/>
      <c r="S856" s="50"/>
      <c r="T856" s="50"/>
      <c r="U856" s="50"/>
      <c r="V856" s="50"/>
      <c r="W856" s="50"/>
      <c r="X856" s="50"/>
      <c r="Y856" s="50"/>
      <c r="Z856" s="50"/>
      <c r="AA856" s="50"/>
      <c r="AB856" s="50"/>
    </row>
    <row r="857" customFormat="false" ht="15.75" hidden="false" customHeight="false" outlineLevel="0" collapsed="false">
      <c r="A857" s="50"/>
      <c r="B857" s="50"/>
      <c r="C857" s="5"/>
      <c r="D857" s="48"/>
      <c r="E857" s="50"/>
      <c r="F857" s="5"/>
      <c r="G857" s="5"/>
      <c r="H857" s="5"/>
      <c r="I857" s="5"/>
      <c r="J857" s="5"/>
      <c r="K857" s="50"/>
      <c r="L857" s="50"/>
      <c r="M857" s="50"/>
      <c r="N857" s="50"/>
      <c r="O857" s="50"/>
      <c r="P857" s="50"/>
      <c r="Q857" s="50"/>
      <c r="R857" s="50"/>
      <c r="S857" s="50"/>
      <c r="T857" s="50"/>
      <c r="U857" s="50"/>
      <c r="V857" s="50"/>
      <c r="W857" s="50"/>
      <c r="X857" s="50"/>
      <c r="Y857" s="50"/>
      <c r="Z857" s="50"/>
      <c r="AA857" s="50"/>
      <c r="AB857" s="50"/>
    </row>
    <row r="858" customFormat="false" ht="15.75" hidden="false" customHeight="false" outlineLevel="0" collapsed="false">
      <c r="A858" s="50"/>
      <c r="B858" s="50"/>
      <c r="C858" s="5"/>
      <c r="D858" s="48"/>
      <c r="E858" s="50"/>
      <c r="F858" s="5"/>
      <c r="G858" s="5"/>
      <c r="H858" s="5"/>
      <c r="I858" s="5"/>
      <c r="J858" s="5"/>
      <c r="K858" s="50"/>
      <c r="L858" s="50"/>
      <c r="M858" s="50"/>
      <c r="N858" s="50"/>
      <c r="O858" s="50"/>
      <c r="P858" s="50"/>
      <c r="Q858" s="50"/>
      <c r="R858" s="50"/>
      <c r="S858" s="50"/>
      <c r="T858" s="50"/>
      <c r="U858" s="50"/>
      <c r="V858" s="50"/>
      <c r="W858" s="50"/>
      <c r="X858" s="50"/>
      <c r="Y858" s="50"/>
      <c r="Z858" s="50"/>
      <c r="AA858" s="50"/>
      <c r="AB858" s="50"/>
    </row>
    <row r="859" customFormat="false" ht="15.75" hidden="false" customHeight="false" outlineLevel="0" collapsed="false">
      <c r="A859" s="50"/>
      <c r="B859" s="50"/>
      <c r="C859" s="5"/>
      <c r="D859" s="48"/>
      <c r="E859" s="50"/>
      <c r="F859" s="5"/>
      <c r="G859" s="5"/>
      <c r="H859" s="5"/>
      <c r="I859" s="5"/>
      <c r="J859" s="5"/>
      <c r="K859" s="50"/>
      <c r="L859" s="50"/>
      <c r="M859" s="50"/>
      <c r="N859" s="50"/>
      <c r="O859" s="50"/>
      <c r="P859" s="50"/>
      <c r="Q859" s="50"/>
      <c r="R859" s="50"/>
      <c r="S859" s="50"/>
      <c r="T859" s="50"/>
      <c r="U859" s="50"/>
      <c r="V859" s="50"/>
      <c r="W859" s="50"/>
      <c r="X859" s="50"/>
      <c r="Y859" s="50"/>
      <c r="Z859" s="50"/>
      <c r="AA859" s="50"/>
      <c r="AB859" s="50"/>
    </row>
    <row r="860" customFormat="false" ht="15.75" hidden="false" customHeight="false" outlineLevel="0" collapsed="false">
      <c r="A860" s="50"/>
      <c r="B860" s="50"/>
      <c r="C860" s="5"/>
      <c r="D860" s="48"/>
      <c r="E860" s="50"/>
      <c r="F860" s="5"/>
      <c r="G860" s="5"/>
      <c r="H860" s="5"/>
      <c r="I860" s="5"/>
      <c r="J860" s="5"/>
      <c r="K860" s="50"/>
      <c r="L860" s="50"/>
      <c r="M860" s="50"/>
      <c r="N860" s="50"/>
      <c r="O860" s="50"/>
      <c r="P860" s="50"/>
      <c r="Q860" s="50"/>
      <c r="R860" s="50"/>
      <c r="S860" s="50"/>
      <c r="T860" s="50"/>
      <c r="U860" s="50"/>
      <c r="V860" s="50"/>
      <c r="W860" s="50"/>
      <c r="X860" s="50"/>
      <c r="Y860" s="50"/>
      <c r="Z860" s="50"/>
      <c r="AA860" s="50"/>
      <c r="AB860" s="50"/>
    </row>
    <row r="861" customFormat="false" ht="15.75" hidden="false" customHeight="false" outlineLevel="0" collapsed="false">
      <c r="A861" s="50"/>
      <c r="B861" s="50"/>
      <c r="C861" s="5"/>
      <c r="D861" s="48"/>
      <c r="E861" s="50"/>
      <c r="F861" s="5"/>
      <c r="G861" s="5"/>
      <c r="H861" s="5"/>
      <c r="I861" s="5"/>
      <c r="J861" s="5"/>
      <c r="K861" s="50"/>
      <c r="L861" s="50"/>
      <c r="M861" s="50"/>
      <c r="N861" s="50"/>
      <c r="O861" s="50"/>
      <c r="P861" s="50"/>
      <c r="Q861" s="50"/>
      <c r="R861" s="50"/>
      <c r="S861" s="50"/>
      <c r="T861" s="50"/>
      <c r="U861" s="50"/>
      <c r="V861" s="50"/>
      <c r="W861" s="50"/>
      <c r="X861" s="50"/>
      <c r="Y861" s="50"/>
      <c r="Z861" s="50"/>
      <c r="AA861" s="50"/>
      <c r="AB861" s="50"/>
    </row>
    <row r="862" customFormat="false" ht="15.75" hidden="false" customHeight="false" outlineLevel="0" collapsed="false">
      <c r="A862" s="50"/>
      <c r="B862" s="50"/>
      <c r="C862" s="5"/>
      <c r="D862" s="48"/>
      <c r="E862" s="50"/>
      <c r="F862" s="5"/>
      <c r="G862" s="5"/>
      <c r="H862" s="5"/>
      <c r="I862" s="5"/>
      <c r="J862" s="5"/>
      <c r="K862" s="50"/>
      <c r="L862" s="50"/>
      <c r="M862" s="50"/>
      <c r="N862" s="50"/>
      <c r="O862" s="50"/>
      <c r="P862" s="50"/>
      <c r="Q862" s="50"/>
      <c r="R862" s="50"/>
      <c r="S862" s="50"/>
      <c r="T862" s="50"/>
      <c r="U862" s="50"/>
      <c r="V862" s="50"/>
      <c r="W862" s="50"/>
      <c r="X862" s="50"/>
      <c r="Y862" s="50"/>
      <c r="Z862" s="50"/>
      <c r="AA862" s="50"/>
      <c r="AB862" s="50"/>
    </row>
    <row r="863" customFormat="false" ht="15.75" hidden="false" customHeight="false" outlineLevel="0" collapsed="false">
      <c r="A863" s="50"/>
      <c r="B863" s="50"/>
      <c r="C863" s="5"/>
      <c r="D863" s="48"/>
      <c r="E863" s="50"/>
      <c r="F863" s="5"/>
      <c r="G863" s="5"/>
      <c r="H863" s="5"/>
      <c r="I863" s="5"/>
      <c r="J863" s="5"/>
      <c r="K863" s="50"/>
      <c r="L863" s="50"/>
      <c r="M863" s="50"/>
      <c r="N863" s="50"/>
      <c r="O863" s="50"/>
      <c r="P863" s="50"/>
      <c r="Q863" s="50"/>
      <c r="R863" s="50"/>
      <c r="S863" s="50"/>
      <c r="T863" s="50"/>
      <c r="U863" s="50"/>
      <c r="V863" s="50"/>
      <c r="W863" s="50"/>
      <c r="X863" s="50"/>
      <c r="Y863" s="50"/>
      <c r="Z863" s="50"/>
      <c r="AA863" s="50"/>
      <c r="AB863" s="50"/>
    </row>
    <row r="864" customFormat="false" ht="15.75" hidden="false" customHeight="false" outlineLevel="0" collapsed="false">
      <c r="A864" s="50"/>
      <c r="B864" s="50"/>
      <c r="C864" s="5"/>
      <c r="D864" s="48"/>
      <c r="E864" s="50"/>
      <c r="F864" s="5"/>
      <c r="G864" s="5"/>
      <c r="H864" s="5"/>
      <c r="I864" s="5"/>
      <c r="J864" s="5"/>
      <c r="K864" s="50"/>
      <c r="L864" s="50"/>
      <c r="M864" s="50"/>
      <c r="N864" s="50"/>
      <c r="O864" s="50"/>
      <c r="P864" s="50"/>
      <c r="Q864" s="50"/>
      <c r="R864" s="50"/>
      <c r="S864" s="50"/>
      <c r="T864" s="50"/>
      <c r="U864" s="50"/>
      <c r="V864" s="50"/>
      <c r="W864" s="50"/>
      <c r="X864" s="50"/>
      <c r="Y864" s="50"/>
      <c r="Z864" s="50"/>
      <c r="AA864" s="50"/>
      <c r="AB864" s="50"/>
    </row>
    <row r="865" customFormat="false" ht="15.75" hidden="false" customHeight="false" outlineLevel="0" collapsed="false">
      <c r="A865" s="50"/>
      <c r="B865" s="50"/>
      <c r="C865" s="5"/>
      <c r="D865" s="48"/>
      <c r="E865" s="50"/>
      <c r="F865" s="5"/>
      <c r="G865" s="5"/>
      <c r="H865" s="5"/>
      <c r="I865" s="5"/>
      <c r="J865" s="5"/>
      <c r="K865" s="50"/>
      <c r="L865" s="50"/>
      <c r="M865" s="50"/>
      <c r="N865" s="50"/>
      <c r="O865" s="50"/>
      <c r="P865" s="50"/>
      <c r="Q865" s="50"/>
      <c r="R865" s="50"/>
      <c r="S865" s="50"/>
      <c r="T865" s="50"/>
      <c r="U865" s="50"/>
      <c r="V865" s="50"/>
      <c r="W865" s="50"/>
      <c r="X865" s="50"/>
      <c r="Y865" s="50"/>
      <c r="Z865" s="50"/>
      <c r="AA865" s="50"/>
      <c r="AB865" s="50"/>
    </row>
    <row r="866" customFormat="false" ht="15.75" hidden="false" customHeight="false" outlineLevel="0" collapsed="false">
      <c r="A866" s="50"/>
      <c r="B866" s="50"/>
      <c r="C866" s="5"/>
      <c r="D866" s="48"/>
      <c r="E866" s="50"/>
      <c r="F866" s="5"/>
      <c r="G866" s="5"/>
      <c r="H866" s="5"/>
      <c r="I866" s="5"/>
      <c r="J866" s="5"/>
      <c r="K866" s="50"/>
      <c r="L866" s="50"/>
      <c r="M866" s="50"/>
      <c r="N866" s="50"/>
      <c r="O866" s="50"/>
      <c r="P866" s="50"/>
      <c r="Q866" s="50"/>
      <c r="R866" s="50"/>
      <c r="S866" s="50"/>
      <c r="T866" s="50"/>
      <c r="U866" s="50"/>
      <c r="V866" s="50"/>
      <c r="W866" s="50"/>
      <c r="X866" s="50"/>
      <c r="Y866" s="50"/>
      <c r="Z866" s="50"/>
      <c r="AA866" s="50"/>
      <c r="AB866" s="50"/>
    </row>
    <row r="867" customFormat="false" ht="15.75" hidden="false" customHeight="false" outlineLevel="0" collapsed="false">
      <c r="A867" s="50"/>
      <c r="B867" s="50"/>
      <c r="C867" s="5"/>
      <c r="D867" s="48"/>
      <c r="E867" s="50"/>
      <c r="F867" s="5"/>
      <c r="G867" s="5"/>
      <c r="H867" s="5"/>
      <c r="I867" s="5"/>
      <c r="J867" s="5"/>
      <c r="K867" s="50"/>
      <c r="L867" s="50"/>
      <c r="M867" s="50"/>
      <c r="N867" s="50"/>
      <c r="O867" s="50"/>
      <c r="P867" s="50"/>
      <c r="Q867" s="50"/>
      <c r="R867" s="50"/>
      <c r="S867" s="50"/>
      <c r="T867" s="50"/>
      <c r="U867" s="50"/>
      <c r="V867" s="50"/>
      <c r="W867" s="50"/>
      <c r="X867" s="50"/>
      <c r="Y867" s="50"/>
      <c r="Z867" s="50"/>
      <c r="AA867" s="50"/>
      <c r="AB867" s="50"/>
    </row>
    <row r="868" customFormat="false" ht="15.75" hidden="false" customHeight="false" outlineLevel="0" collapsed="false">
      <c r="A868" s="50"/>
      <c r="B868" s="50"/>
      <c r="C868" s="5"/>
      <c r="D868" s="48"/>
      <c r="E868" s="50"/>
      <c r="F868" s="5"/>
      <c r="G868" s="5"/>
      <c r="H868" s="5"/>
      <c r="I868" s="5"/>
      <c r="J868" s="5"/>
      <c r="K868" s="50"/>
      <c r="L868" s="50"/>
      <c r="M868" s="50"/>
      <c r="N868" s="50"/>
      <c r="O868" s="50"/>
      <c r="P868" s="50"/>
      <c r="Q868" s="50"/>
      <c r="R868" s="50"/>
      <c r="S868" s="50"/>
      <c r="T868" s="50"/>
      <c r="U868" s="50"/>
      <c r="V868" s="50"/>
      <c r="W868" s="50"/>
      <c r="X868" s="50"/>
      <c r="Y868" s="50"/>
      <c r="Z868" s="50"/>
      <c r="AA868" s="50"/>
      <c r="AB868" s="50"/>
    </row>
    <row r="869" customFormat="false" ht="15.75" hidden="false" customHeight="false" outlineLevel="0" collapsed="false">
      <c r="A869" s="50"/>
      <c r="B869" s="50"/>
      <c r="C869" s="5"/>
      <c r="D869" s="48"/>
      <c r="E869" s="50"/>
      <c r="F869" s="5"/>
      <c r="G869" s="5"/>
      <c r="H869" s="5"/>
      <c r="I869" s="5"/>
      <c r="J869" s="5"/>
      <c r="K869" s="50"/>
      <c r="L869" s="50"/>
      <c r="M869" s="50"/>
      <c r="N869" s="50"/>
      <c r="O869" s="50"/>
      <c r="P869" s="50"/>
      <c r="Q869" s="50"/>
      <c r="R869" s="50"/>
      <c r="S869" s="50"/>
      <c r="T869" s="50"/>
      <c r="U869" s="50"/>
      <c r="V869" s="50"/>
      <c r="W869" s="50"/>
      <c r="X869" s="50"/>
      <c r="Y869" s="50"/>
      <c r="Z869" s="50"/>
      <c r="AA869" s="50"/>
      <c r="AB869" s="50"/>
    </row>
    <row r="870" customFormat="false" ht="15.75" hidden="false" customHeight="false" outlineLevel="0" collapsed="false">
      <c r="A870" s="50"/>
      <c r="B870" s="50"/>
      <c r="C870" s="5"/>
      <c r="D870" s="48"/>
      <c r="E870" s="50"/>
      <c r="F870" s="5"/>
      <c r="G870" s="5"/>
      <c r="H870" s="5"/>
      <c r="I870" s="5"/>
      <c r="J870" s="5"/>
      <c r="K870" s="50"/>
      <c r="L870" s="50"/>
      <c r="M870" s="50"/>
      <c r="N870" s="50"/>
      <c r="O870" s="50"/>
      <c r="P870" s="50"/>
      <c r="Q870" s="50"/>
      <c r="R870" s="50"/>
      <c r="S870" s="50"/>
      <c r="T870" s="50"/>
      <c r="U870" s="50"/>
      <c r="V870" s="50"/>
      <c r="W870" s="50"/>
      <c r="X870" s="50"/>
      <c r="Y870" s="50"/>
      <c r="Z870" s="50"/>
      <c r="AA870" s="50"/>
      <c r="AB870" s="50"/>
    </row>
    <row r="871" customFormat="false" ht="15.75" hidden="false" customHeight="false" outlineLevel="0" collapsed="false">
      <c r="A871" s="50"/>
      <c r="B871" s="50"/>
      <c r="C871" s="5"/>
      <c r="D871" s="48"/>
      <c r="E871" s="50"/>
      <c r="F871" s="5"/>
      <c r="G871" s="5"/>
      <c r="H871" s="5"/>
      <c r="I871" s="5"/>
      <c r="J871" s="5"/>
      <c r="K871" s="50"/>
      <c r="L871" s="50"/>
      <c r="M871" s="50"/>
      <c r="N871" s="50"/>
      <c r="O871" s="50"/>
      <c r="P871" s="50"/>
      <c r="Q871" s="50"/>
      <c r="R871" s="50"/>
      <c r="S871" s="50"/>
      <c r="T871" s="50"/>
      <c r="U871" s="50"/>
      <c r="V871" s="50"/>
      <c r="W871" s="50"/>
      <c r="X871" s="50"/>
      <c r="Y871" s="50"/>
      <c r="Z871" s="50"/>
      <c r="AA871" s="50"/>
      <c r="AB871" s="50"/>
    </row>
    <row r="872" customFormat="false" ht="15.75" hidden="false" customHeight="false" outlineLevel="0" collapsed="false">
      <c r="A872" s="50"/>
      <c r="B872" s="50"/>
      <c r="C872" s="5"/>
      <c r="D872" s="48"/>
      <c r="E872" s="50"/>
      <c r="F872" s="5"/>
      <c r="G872" s="5"/>
      <c r="H872" s="5"/>
      <c r="I872" s="5"/>
      <c r="J872" s="5"/>
      <c r="K872" s="50"/>
      <c r="L872" s="50"/>
      <c r="M872" s="50"/>
      <c r="N872" s="50"/>
      <c r="O872" s="50"/>
      <c r="P872" s="50"/>
      <c r="Q872" s="50"/>
      <c r="R872" s="50"/>
      <c r="S872" s="50"/>
      <c r="T872" s="50"/>
      <c r="U872" s="50"/>
      <c r="V872" s="50"/>
      <c r="W872" s="50"/>
      <c r="X872" s="50"/>
      <c r="Y872" s="50"/>
      <c r="Z872" s="50"/>
      <c r="AA872" s="50"/>
      <c r="AB872" s="50"/>
    </row>
    <row r="873" customFormat="false" ht="15.75" hidden="false" customHeight="false" outlineLevel="0" collapsed="false">
      <c r="A873" s="50"/>
      <c r="B873" s="50"/>
      <c r="C873" s="5"/>
      <c r="D873" s="48"/>
      <c r="E873" s="50"/>
      <c r="F873" s="5"/>
      <c r="G873" s="5"/>
      <c r="H873" s="5"/>
      <c r="I873" s="5"/>
      <c r="J873" s="5"/>
      <c r="K873" s="50"/>
      <c r="L873" s="50"/>
      <c r="M873" s="50"/>
      <c r="N873" s="50"/>
      <c r="O873" s="50"/>
      <c r="P873" s="50"/>
      <c r="Q873" s="50"/>
      <c r="R873" s="50"/>
      <c r="S873" s="50"/>
      <c r="T873" s="50"/>
      <c r="U873" s="50"/>
      <c r="V873" s="50"/>
      <c r="W873" s="50"/>
      <c r="X873" s="50"/>
      <c r="Y873" s="50"/>
      <c r="Z873" s="50"/>
      <c r="AA873" s="50"/>
      <c r="AB873" s="50"/>
    </row>
    <row r="874" customFormat="false" ht="15.75" hidden="false" customHeight="false" outlineLevel="0" collapsed="false">
      <c r="A874" s="50"/>
      <c r="B874" s="50"/>
      <c r="C874" s="5"/>
      <c r="D874" s="48"/>
      <c r="E874" s="50"/>
      <c r="F874" s="5"/>
      <c r="G874" s="5"/>
      <c r="H874" s="5"/>
      <c r="I874" s="5"/>
      <c r="J874" s="5"/>
      <c r="K874" s="50"/>
      <c r="L874" s="50"/>
      <c r="M874" s="50"/>
      <c r="N874" s="50"/>
      <c r="O874" s="50"/>
      <c r="P874" s="50"/>
      <c r="Q874" s="50"/>
      <c r="R874" s="50"/>
      <c r="S874" s="50"/>
      <c r="T874" s="50"/>
      <c r="U874" s="50"/>
      <c r="V874" s="50"/>
      <c r="W874" s="50"/>
      <c r="X874" s="50"/>
      <c r="Y874" s="50"/>
      <c r="Z874" s="50"/>
      <c r="AA874" s="50"/>
      <c r="AB874" s="50"/>
    </row>
    <row r="875" customFormat="false" ht="15.75" hidden="false" customHeight="false" outlineLevel="0" collapsed="false">
      <c r="A875" s="50"/>
      <c r="B875" s="50"/>
      <c r="C875" s="5"/>
      <c r="D875" s="48"/>
      <c r="E875" s="50"/>
      <c r="F875" s="5"/>
      <c r="G875" s="5"/>
      <c r="H875" s="5"/>
      <c r="I875" s="5"/>
      <c r="J875" s="5"/>
      <c r="K875" s="50"/>
      <c r="L875" s="50"/>
      <c r="M875" s="50"/>
      <c r="N875" s="50"/>
      <c r="O875" s="50"/>
      <c r="P875" s="50"/>
      <c r="Q875" s="50"/>
      <c r="R875" s="50"/>
      <c r="S875" s="50"/>
      <c r="T875" s="50"/>
      <c r="U875" s="50"/>
      <c r="V875" s="50"/>
      <c r="W875" s="50"/>
      <c r="X875" s="50"/>
      <c r="Y875" s="50"/>
      <c r="Z875" s="50"/>
      <c r="AA875" s="50"/>
      <c r="AB875" s="50"/>
    </row>
    <row r="876" customFormat="false" ht="15.75" hidden="false" customHeight="false" outlineLevel="0" collapsed="false">
      <c r="A876" s="50"/>
      <c r="B876" s="50"/>
      <c r="C876" s="5"/>
      <c r="D876" s="48"/>
      <c r="E876" s="50"/>
      <c r="F876" s="5"/>
      <c r="G876" s="5"/>
      <c r="H876" s="5"/>
      <c r="I876" s="5"/>
      <c r="J876" s="5"/>
      <c r="K876" s="50"/>
      <c r="L876" s="50"/>
      <c r="M876" s="50"/>
      <c r="N876" s="50"/>
      <c r="O876" s="50"/>
      <c r="P876" s="50"/>
      <c r="Q876" s="50"/>
      <c r="R876" s="50"/>
      <c r="S876" s="50"/>
      <c r="T876" s="50"/>
      <c r="U876" s="50"/>
      <c r="V876" s="50"/>
      <c r="W876" s="50"/>
      <c r="X876" s="50"/>
      <c r="Y876" s="50"/>
      <c r="Z876" s="50"/>
      <c r="AA876" s="50"/>
      <c r="AB876" s="50"/>
    </row>
    <row r="877" customFormat="false" ht="15.75" hidden="false" customHeight="false" outlineLevel="0" collapsed="false">
      <c r="A877" s="50"/>
      <c r="B877" s="50"/>
      <c r="C877" s="5"/>
      <c r="D877" s="48"/>
      <c r="E877" s="50"/>
      <c r="F877" s="5"/>
      <c r="G877" s="5"/>
      <c r="H877" s="5"/>
      <c r="I877" s="5"/>
      <c r="J877" s="5"/>
      <c r="K877" s="50"/>
      <c r="L877" s="50"/>
      <c r="M877" s="50"/>
      <c r="N877" s="50"/>
      <c r="O877" s="50"/>
      <c r="P877" s="50"/>
      <c r="Q877" s="50"/>
      <c r="R877" s="50"/>
      <c r="S877" s="50"/>
      <c r="T877" s="50"/>
      <c r="U877" s="50"/>
      <c r="V877" s="50"/>
      <c r="W877" s="50"/>
      <c r="X877" s="50"/>
      <c r="Y877" s="50"/>
      <c r="Z877" s="50"/>
      <c r="AA877" s="50"/>
      <c r="AB877" s="50"/>
    </row>
    <row r="878" customFormat="false" ht="15.75" hidden="false" customHeight="false" outlineLevel="0" collapsed="false">
      <c r="A878" s="50"/>
      <c r="B878" s="50"/>
      <c r="C878" s="5"/>
      <c r="D878" s="48"/>
      <c r="E878" s="50"/>
      <c r="F878" s="5"/>
      <c r="G878" s="5"/>
      <c r="H878" s="5"/>
      <c r="I878" s="5"/>
      <c r="J878" s="5"/>
      <c r="K878" s="50"/>
      <c r="L878" s="50"/>
      <c r="M878" s="50"/>
      <c r="N878" s="50"/>
      <c r="O878" s="50"/>
      <c r="P878" s="50"/>
      <c r="Q878" s="50"/>
      <c r="R878" s="50"/>
      <c r="S878" s="50"/>
      <c r="T878" s="50"/>
      <c r="U878" s="50"/>
      <c r="V878" s="50"/>
      <c r="W878" s="50"/>
      <c r="X878" s="50"/>
      <c r="Y878" s="50"/>
      <c r="Z878" s="50"/>
      <c r="AA878" s="50"/>
      <c r="AB878" s="50"/>
    </row>
    <row r="879" customFormat="false" ht="15.75" hidden="false" customHeight="false" outlineLevel="0" collapsed="false">
      <c r="A879" s="50"/>
      <c r="B879" s="50"/>
      <c r="C879" s="5"/>
      <c r="D879" s="48"/>
      <c r="E879" s="50"/>
      <c r="F879" s="5"/>
      <c r="G879" s="5"/>
      <c r="H879" s="5"/>
      <c r="I879" s="5"/>
      <c r="J879" s="5"/>
      <c r="K879" s="50"/>
      <c r="L879" s="50"/>
      <c r="M879" s="50"/>
      <c r="N879" s="50"/>
      <c r="O879" s="50"/>
      <c r="P879" s="50"/>
      <c r="Q879" s="50"/>
      <c r="R879" s="50"/>
      <c r="S879" s="50"/>
      <c r="T879" s="50"/>
      <c r="U879" s="50"/>
      <c r="V879" s="50"/>
      <c r="W879" s="50"/>
      <c r="X879" s="50"/>
      <c r="Y879" s="50"/>
      <c r="Z879" s="50"/>
      <c r="AA879" s="50"/>
      <c r="AB879" s="50"/>
    </row>
    <row r="880" customFormat="false" ht="15.75" hidden="false" customHeight="false" outlineLevel="0" collapsed="false">
      <c r="A880" s="50"/>
      <c r="B880" s="50"/>
      <c r="C880" s="5"/>
      <c r="D880" s="48"/>
      <c r="E880" s="50"/>
      <c r="F880" s="5"/>
      <c r="G880" s="5"/>
      <c r="H880" s="5"/>
      <c r="I880" s="5"/>
      <c r="J880" s="5"/>
      <c r="K880" s="50"/>
      <c r="L880" s="50"/>
      <c r="M880" s="50"/>
      <c r="N880" s="50"/>
      <c r="O880" s="50"/>
      <c r="P880" s="50"/>
      <c r="Q880" s="50"/>
      <c r="R880" s="50"/>
      <c r="S880" s="50"/>
      <c r="T880" s="50"/>
      <c r="U880" s="50"/>
      <c r="V880" s="50"/>
      <c r="W880" s="50"/>
      <c r="X880" s="50"/>
      <c r="Y880" s="50"/>
      <c r="Z880" s="50"/>
      <c r="AA880" s="50"/>
      <c r="AB880" s="50"/>
    </row>
    <row r="881" customFormat="false" ht="15.75" hidden="false" customHeight="false" outlineLevel="0" collapsed="false">
      <c r="A881" s="50"/>
      <c r="B881" s="50"/>
      <c r="C881" s="5"/>
      <c r="D881" s="48"/>
      <c r="E881" s="50"/>
      <c r="F881" s="5"/>
      <c r="G881" s="5"/>
      <c r="H881" s="5"/>
      <c r="I881" s="5"/>
      <c r="J881" s="5"/>
      <c r="K881" s="50"/>
      <c r="L881" s="50"/>
      <c r="M881" s="50"/>
      <c r="N881" s="50"/>
      <c r="O881" s="50"/>
      <c r="P881" s="50"/>
      <c r="Q881" s="50"/>
      <c r="R881" s="50"/>
      <c r="S881" s="50"/>
      <c r="T881" s="50"/>
      <c r="U881" s="50"/>
      <c r="V881" s="50"/>
      <c r="W881" s="50"/>
      <c r="X881" s="50"/>
      <c r="Y881" s="50"/>
      <c r="Z881" s="50"/>
      <c r="AA881" s="50"/>
      <c r="AB881" s="50"/>
    </row>
    <row r="882" customFormat="false" ht="15.75" hidden="false" customHeight="false" outlineLevel="0" collapsed="false">
      <c r="A882" s="50"/>
      <c r="B882" s="50"/>
      <c r="C882" s="5"/>
      <c r="D882" s="48"/>
      <c r="E882" s="50"/>
      <c r="F882" s="5"/>
      <c r="G882" s="5"/>
      <c r="H882" s="5"/>
      <c r="I882" s="5"/>
      <c r="J882" s="5"/>
      <c r="K882" s="50"/>
      <c r="L882" s="50"/>
      <c r="M882" s="50"/>
      <c r="N882" s="50"/>
      <c r="O882" s="50"/>
      <c r="P882" s="50"/>
      <c r="Q882" s="50"/>
      <c r="R882" s="50"/>
      <c r="S882" s="50"/>
      <c r="T882" s="50"/>
      <c r="U882" s="50"/>
      <c r="V882" s="50"/>
      <c r="W882" s="50"/>
      <c r="X882" s="50"/>
      <c r="Y882" s="50"/>
      <c r="Z882" s="50"/>
      <c r="AA882" s="50"/>
      <c r="AB882" s="50"/>
    </row>
    <row r="883" customFormat="false" ht="15.75" hidden="false" customHeight="false" outlineLevel="0" collapsed="false">
      <c r="A883" s="50"/>
      <c r="B883" s="50"/>
      <c r="C883" s="5"/>
      <c r="D883" s="48"/>
      <c r="E883" s="50"/>
      <c r="F883" s="5"/>
      <c r="G883" s="5"/>
      <c r="H883" s="5"/>
      <c r="I883" s="5"/>
      <c r="J883" s="5"/>
      <c r="K883" s="50"/>
      <c r="L883" s="50"/>
      <c r="M883" s="50"/>
      <c r="N883" s="50"/>
      <c r="O883" s="50"/>
      <c r="P883" s="50"/>
      <c r="Q883" s="50"/>
      <c r="R883" s="50"/>
      <c r="S883" s="50"/>
      <c r="T883" s="50"/>
      <c r="U883" s="50"/>
      <c r="V883" s="50"/>
      <c r="W883" s="50"/>
      <c r="X883" s="50"/>
      <c r="Y883" s="50"/>
      <c r="Z883" s="50"/>
      <c r="AA883" s="50"/>
      <c r="AB883" s="50"/>
    </row>
    <row r="884" customFormat="false" ht="15.75" hidden="false" customHeight="false" outlineLevel="0" collapsed="false">
      <c r="A884" s="50"/>
      <c r="B884" s="50"/>
      <c r="C884" s="5"/>
      <c r="D884" s="48"/>
      <c r="E884" s="50"/>
      <c r="F884" s="5"/>
      <c r="G884" s="5"/>
      <c r="H884" s="5"/>
      <c r="I884" s="5"/>
      <c r="J884" s="5"/>
      <c r="K884" s="50"/>
      <c r="L884" s="50"/>
      <c r="M884" s="50"/>
      <c r="N884" s="50"/>
      <c r="O884" s="50"/>
      <c r="P884" s="50"/>
      <c r="Q884" s="50"/>
      <c r="R884" s="50"/>
      <c r="S884" s="50"/>
      <c r="T884" s="50"/>
      <c r="U884" s="50"/>
      <c r="V884" s="50"/>
      <c r="W884" s="50"/>
      <c r="X884" s="50"/>
      <c r="Y884" s="50"/>
      <c r="Z884" s="50"/>
      <c r="AA884" s="50"/>
      <c r="AB884" s="50"/>
    </row>
    <row r="885" customFormat="false" ht="15.75" hidden="false" customHeight="false" outlineLevel="0" collapsed="false">
      <c r="A885" s="50"/>
      <c r="B885" s="50"/>
      <c r="C885" s="5"/>
      <c r="D885" s="48"/>
      <c r="E885" s="50"/>
      <c r="F885" s="5"/>
      <c r="G885" s="5"/>
      <c r="H885" s="5"/>
      <c r="I885" s="5"/>
      <c r="J885" s="5"/>
      <c r="K885" s="50"/>
      <c r="L885" s="50"/>
      <c r="M885" s="50"/>
      <c r="N885" s="50"/>
      <c r="O885" s="50"/>
      <c r="P885" s="50"/>
      <c r="Q885" s="50"/>
      <c r="R885" s="50"/>
      <c r="S885" s="50"/>
      <c r="T885" s="50"/>
      <c r="U885" s="50"/>
      <c r="V885" s="50"/>
      <c r="W885" s="50"/>
      <c r="X885" s="50"/>
      <c r="Y885" s="50"/>
      <c r="Z885" s="50"/>
      <c r="AA885" s="50"/>
      <c r="AB885" s="50"/>
    </row>
    <row r="886" customFormat="false" ht="15.75" hidden="false" customHeight="false" outlineLevel="0" collapsed="false">
      <c r="A886" s="50"/>
      <c r="B886" s="50"/>
      <c r="C886" s="5"/>
      <c r="D886" s="48"/>
      <c r="E886" s="50"/>
      <c r="F886" s="5"/>
      <c r="G886" s="5"/>
      <c r="H886" s="5"/>
      <c r="I886" s="5"/>
      <c r="J886" s="5"/>
      <c r="K886" s="50"/>
      <c r="L886" s="50"/>
      <c r="M886" s="50"/>
      <c r="N886" s="50"/>
      <c r="O886" s="50"/>
      <c r="P886" s="50"/>
      <c r="Q886" s="50"/>
      <c r="R886" s="50"/>
      <c r="S886" s="50"/>
      <c r="T886" s="50"/>
      <c r="U886" s="50"/>
      <c r="V886" s="50"/>
      <c r="W886" s="50"/>
      <c r="X886" s="50"/>
      <c r="Y886" s="50"/>
      <c r="Z886" s="50"/>
      <c r="AA886" s="50"/>
      <c r="AB886" s="50"/>
    </row>
    <row r="887" customFormat="false" ht="15.75" hidden="false" customHeight="false" outlineLevel="0" collapsed="false">
      <c r="A887" s="50"/>
      <c r="B887" s="50"/>
      <c r="C887" s="5"/>
      <c r="D887" s="48"/>
      <c r="E887" s="50"/>
      <c r="F887" s="5"/>
      <c r="G887" s="5"/>
      <c r="H887" s="5"/>
      <c r="I887" s="5"/>
      <c r="J887" s="5"/>
      <c r="K887" s="50"/>
      <c r="L887" s="50"/>
      <c r="M887" s="50"/>
      <c r="N887" s="50"/>
      <c r="O887" s="50"/>
      <c r="P887" s="50"/>
      <c r="Q887" s="50"/>
      <c r="R887" s="50"/>
      <c r="S887" s="50"/>
      <c r="T887" s="50"/>
      <c r="U887" s="50"/>
      <c r="V887" s="50"/>
      <c r="W887" s="50"/>
      <c r="X887" s="50"/>
      <c r="Y887" s="50"/>
      <c r="Z887" s="50"/>
      <c r="AA887" s="50"/>
      <c r="AB887" s="50"/>
    </row>
    <row r="888" customFormat="false" ht="15.75" hidden="false" customHeight="false" outlineLevel="0" collapsed="false">
      <c r="A888" s="50"/>
      <c r="B888" s="50"/>
      <c r="C888" s="5"/>
      <c r="D888" s="48"/>
      <c r="E888" s="50"/>
      <c r="F888" s="5"/>
      <c r="G888" s="5"/>
      <c r="H888" s="5"/>
      <c r="I888" s="5"/>
      <c r="J888" s="5"/>
      <c r="K888" s="50"/>
      <c r="L888" s="50"/>
      <c r="M888" s="50"/>
      <c r="N888" s="50"/>
      <c r="O888" s="50"/>
      <c r="P888" s="50"/>
      <c r="Q888" s="50"/>
      <c r="R888" s="50"/>
      <c r="S888" s="50"/>
      <c r="T888" s="50"/>
      <c r="U888" s="50"/>
      <c r="V888" s="50"/>
      <c r="W888" s="50"/>
      <c r="X888" s="50"/>
      <c r="Y888" s="50"/>
      <c r="Z888" s="50"/>
      <c r="AA888" s="50"/>
      <c r="AB888" s="50"/>
    </row>
    <row r="889" customFormat="false" ht="15.75" hidden="false" customHeight="false" outlineLevel="0" collapsed="false">
      <c r="A889" s="50"/>
      <c r="B889" s="50"/>
      <c r="C889" s="5"/>
      <c r="D889" s="48"/>
      <c r="E889" s="50"/>
      <c r="F889" s="5"/>
      <c r="G889" s="5"/>
      <c r="H889" s="5"/>
      <c r="I889" s="5"/>
      <c r="J889" s="5"/>
      <c r="K889" s="50"/>
      <c r="L889" s="50"/>
      <c r="M889" s="50"/>
      <c r="N889" s="50"/>
      <c r="O889" s="50"/>
      <c r="P889" s="50"/>
      <c r="Q889" s="50"/>
      <c r="R889" s="50"/>
      <c r="S889" s="50"/>
      <c r="T889" s="50"/>
      <c r="U889" s="50"/>
      <c r="V889" s="50"/>
      <c r="W889" s="50"/>
      <c r="X889" s="50"/>
      <c r="Y889" s="50"/>
      <c r="Z889" s="50"/>
      <c r="AA889" s="50"/>
      <c r="AB889" s="50"/>
    </row>
    <row r="890" customFormat="false" ht="15.75" hidden="false" customHeight="false" outlineLevel="0" collapsed="false">
      <c r="A890" s="50"/>
      <c r="B890" s="50"/>
      <c r="C890" s="5"/>
      <c r="D890" s="48"/>
      <c r="E890" s="50"/>
      <c r="F890" s="5"/>
      <c r="G890" s="5"/>
      <c r="H890" s="5"/>
      <c r="I890" s="5"/>
      <c r="J890" s="5"/>
      <c r="K890" s="50"/>
      <c r="L890" s="50"/>
      <c r="M890" s="50"/>
      <c r="N890" s="50"/>
      <c r="O890" s="50"/>
      <c r="P890" s="50"/>
      <c r="Q890" s="50"/>
      <c r="R890" s="50"/>
      <c r="S890" s="50"/>
      <c r="T890" s="50"/>
      <c r="U890" s="50"/>
      <c r="V890" s="50"/>
      <c r="W890" s="50"/>
      <c r="X890" s="50"/>
      <c r="Y890" s="50"/>
      <c r="Z890" s="50"/>
      <c r="AA890" s="50"/>
      <c r="AB890" s="50"/>
    </row>
    <row r="891" customFormat="false" ht="15.75" hidden="false" customHeight="false" outlineLevel="0" collapsed="false">
      <c r="A891" s="50"/>
      <c r="B891" s="50"/>
      <c r="C891" s="5"/>
      <c r="D891" s="48"/>
      <c r="E891" s="50"/>
      <c r="F891" s="5"/>
      <c r="G891" s="5"/>
      <c r="H891" s="5"/>
      <c r="I891" s="5"/>
      <c r="J891" s="5"/>
      <c r="K891" s="50"/>
      <c r="L891" s="50"/>
      <c r="M891" s="50"/>
      <c r="N891" s="50"/>
      <c r="O891" s="50"/>
      <c r="P891" s="50"/>
      <c r="Q891" s="50"/>
      <c r="R891" s="50"/>
      <c r="S891" s="50"/>
      <c r="T891" s="50"/>
      <c r="U891" s="50"/>
      <c r="V891" s="50"/>
      <c r="W891" s="50"/>
      <c r="X891" s="50"/>
      <c r="Y891" s="50"/>
      <c r="Z891" s="50"/>
      <c r="AA891" s="50"/>
      <c r="AB891" s="50"/>
    </row>
    <row r="892" customFormat="false" ht="15.75" hidden="false" customHeight="false" outlineLevel="0" collapsed="false">
      <c r="A892" s="50"/>
      <c r="B892" s="50"/>
      <c r="C892" s="5"/>
      <c r="D892" s="48"/>
      <c r="E892" s="50"/>
      <c r="F892" s="5"/>
      <c r="G892" s="5"/>
      <c r="H892" s="5"/>
      <c r="I892" s="5"/>
      <c r="J892" s="5"/>
      <c r="K892" s="50"/>
      <c r="L892" s="50"/>
      <c r="M892" s="50"/>
      <c r="N892" s="50"/>
      <c r="O892" s="50"/>
      <c r="P892" s="50"/>
      <c r="Q892" s="50"/>
      <c r="R892" s="50"/>
      <c r="S892" s="50"/>
      <c r="T892" s="50"/>
      <c r="U892" s="50"/>
      <c r="V892" s="50"/>
      <c r="W892" s="50"/>
      <c r="X892" s="50"/>
      <c r="Y892" s="50"/>
      <c r="Z892" s="50"/>
      <c r="AA892" s="50"/>
      <c r="AB892" s="50"/>
    </row>
    <row r="893" customFormat="false" ht="15.75" hidden="false" customHeight="false" outlineLevel="0" collapsed="false">
      <c r="A893" s="50"/>
      <c r="B893" s="50"/>
      <c r="C893" s="5"/>
      <c r="D893" s="48"/>
      <c r="E893" s="50"/>
      <c r="F893" s="5"/>
      <c r="G893" s="5"/>
      <c r="H893" s="5"/>
      <c r="I893" s="5"/>
      <c r="J893" s="5"/>
      <c r="K893" s="50"/>
      <c r="L893" s="50"/>
      <c r="M893" s="50"/>
      <c r="N893" s="50"/>
      <c r="O893" s="50"/>
      <c r="P893" s="50"/>
      <c r="Q893" s="50"/>
      <c r="R893" s="50"/>
      <c r="S893" s="50"/>
      <c r="T893" s="50"/>
      <c r="U893" s="50"/>
      <c r="V893" s="50"/>
      <c r="W893" s="50"/>
      <c r="X893" s="50"/>
      <c r="Y893" s="50"/>
      <c r="Z893" s="50"/>
      <c r="AA893" s="50"/>
      <c r="AB893" s="50"/>
    </row>
    <row r="894" customFormat="false" ht="15.75" hidden="false" customHeight="false" outlineLevel="0" collapsed="false">
      <c r="A894" s="50"/>
      <c r="B894" s="50"/>
      <c r="C894" s="5"/>
      <c r="D894" s="48"/>
      <c r="E894" s="50"/>
      <c r="F894" s="5"/>
      <c r="G894" s="5"/>
      <c r="H894" s="5"/>
      <c r="I894" s="5"/>
      <c r="J894" s="5"/>
      <c r="K894" s="50"/>
      <c r="L894" s="50"/>
      <c r="M894" s="50"/>
      <c r="N894" s="50"/>
      <c r="O894" s="50"/>
      <c r="P894" s="50"/>
      <c r="Q894" s="50"/>
      <c r="R894" s="50"/>
      <c r="S894" s="50"/>
      <c r="T894" s="50"/>
      <c r="U894" s="50"/>
      <c r="V894" s="50"/>
      <c r="W894" s="50"/>
      <c r="X894" s="50"/>
      <c r="Y894" s="50"/>
      <c r="Z894" s="50"/>
      <c r="AA894" s="50"/>
      <c r="AB894" s="50"/>
    </row>
    <row r="895" customFormat="false" ht="15.75" hidden="false" customHeight="false" outlineLevel="0" collapsed="false">
      <c r="A895" s="50"/>
      <c r="B895" s="50"/>
      <c r="C895" s="5"/>
      <c r="D895" s="48"/>
      <c r="E895" s="50"/>
      <c r="F895" s="5"/>
      <c r="G895" s="5"/>
      <c r="H895" s="5"/>
      <c r="I895" s="5"/>
      <c r="J895" s="5"/>
      <c r="K895" s="50"/>
      <c r="L895" s="50"/>
      <c r="M895" s="50"/>
      <c r="N895" s="50"/>
      <c r="O895" s="50"/>
      <c r="P895" s="50"/>
      <c r="Q895" s="50"/>
      <c r="R895" s="50"/>
      <c r="S895" s="50"/>
      <c r="T895" s="50"/>
      <c r="U895" s="50"/>
      <c r="V895" s="50"/>
      <c r="W895" s="50"/>
      <c r="X895" s="50"/>
      <c r="Y895" s="50"/>
      <c r="Z895" s="50"/>
      <c r="AA895" s="50"/>
      <c r="AB895" s="50"/>
    </row>
    <row r="896" customFormat="false" ht="15.75" hidden="false" customHeight="false" outlineLevel="0" collapsed="false">
      <c r="A896" s="50"/>
      <c r="B896" s="50"/>
      <c r="C896" s="5"/>
      <c r="D896" s="48"/>
      <c r="E896" s="50"/>
      <c r="F896" s="5"/>
      <c r="G896" s="5"/>
      <c r="H896" s="5"/>
      <c r="I896" s="5"/>
      <c r="J896" s="5"/>
      <c r="K896" s="50"/>
      <c r="L896" s="50"/>
      <c r="M896" s="50"/>
      <c r="N896" s="50"/>
      <c r="O896" s="50"/>
      <c r="P896" s="50"/>
      <c r="Q896" s="50"/>
      <c r="R896" s="50"/>
      <c r="S896" s="50"/>
      <c r="T896" s="50"/>
      <c r="U896" s="50"/>
      <c r="V896" s="50"/>
      <c r="W896" s="50"/>
      <c r="X896" s="50"/>
      <c r="Y896" s="50"/>
      <c r="Z896" s="50"/>
      <c r="AA896" s="50"/>
      <c r="AB896" s="50"/>
    </row>
    <row r="897" customFormat="false" ht="15.75" hidden="false" customHeight="false" outlineLevel="0" collapsed="false">
      <c r="A897" s="50"/>
      <c r="B897" s="50"/>
      <c r="C897" s="5"/>
      <c r="D897" s="48"/>
      <c r="E897" s="50"/>
      <c r="F897" s="5"/>
      <c r="G897" s="5"/>
      <c r="H897" s="5"/>
      <c r="I897" s="5"/>
      <c r="J897" s="5"/>
      <c r="K897" s="50"/>
      <c r="L897" s="50"/>
      <c r="M897" s="50"/>
      <c r="N897" s="50"/>
      <c r="O897" s="50"/>
      <c r="P897" s="50"/>
      <c r="Q897" s="50"/>
      <c r="R897" s="50"/>
      <c r="S897" s="50"/>
      <c r="T897" s="50"/>
      <c r="U897" s="50"/>
      <c r="V897" s="50"/>
      <c r="W897" s="50"/>
      <c r="X897" s="50"/>
      <c r="Y897" s="50"/>
      <c r="Z897" s="50"/>
      <c r="AA897" s="50"/>
      <c r="AB897" s="50"/>
    </row>
    <row r="898" customFormat="false" ht="15.75" hidden="false" customHeight="false" outlineLevel="0" collapsed="false">
      <c r="A898" s="50"/>
      <c r="B898" s="50"/>
      <c r="C898" s="5"/>
      <c r="D898" s="48"/>
      <c r="E898" s="50"/>
      <c r="F898" s="5"/>
      <c r="G898" s="5"/>
      <c r="H898" s="5"/>
      <c r="I898" s="5"/>
      <c r="J898" s="5"/>
      <c r="K898" s="50"/>
      <c r="L898" s="50"/>
      <c r="M898" s="50"/>
      <c r="N898" s="50"/>
      <c r="O898" s="50"/>
      <c r="P898" s="50"/>
      <c r="Q898" s="50"/>
      <c r="R898" s="50"/>
      <c r="S898" s="50"/>
      <c r="T898" s="50"/>
      <c r="U898" s="50"/>
      <c r="V898" s="50"/>
      <c r="W898" s="50"/>
      <c r="X898" s="50"/>
      <c r="Y898" s="50"/>
      <c r="Z898" s="50"/>
      <c r="AA898" s="50"/>
      <c r="AB898" s="50"/>
    </row>
    <row r="899" customFormat="false" ht="15.75" hidden="false" customHeight="false" outlineLevel="0" collapsed="false">
      <c r="A899" s="50"/>
      <c r="B899" s="50"/>
      <c r="C899" s="5"/>
      <c r="D899" s="48"/>
      <c r="E899" s="50"/>
      <c r="F899" s="5"/>
      <c r="G899" s="5"/>
      <c r="H899" s="5"/>
      <c r="I899" s="5"/>
      <c r="J899" s="5"/>
      <c r="K899" s="50"/>
      <c r="L899" s="50"/>
      <c r="M899" s="50"/>
      <c r="N899" s="50"/>
      <c r="O899" s="50"/>
      <c r="P899" s="50"/>
      <c r="Q899" s="50"/>
      <c r="R899" s="50"/>
      <c r="S899" s="50"/>
      <c r="T899" s="50"/>
      <c r="U899" s="50"/>
      <c r="V899" s="50"/>
      <c r="W899" s="50"/>
      <c r="X899" s="50"/>
      <c r="Y899" s="50"/>
      <c r="Z899" s="50"/>
      <c r="AA899" s="50"/>
      <c r="AB899" s="50"/>
    </row>
    <row r="900" customFormat="false" ht="15.75" hidden="false" customHeight="false" outlineLevel="0" collapsed="false">
      <c r="A900" s="50"/>
      <c r="B900" s="50"/>
      <c r="C900" s="5"/>
      <c r="D900" s="48"/>
      <c r="E900" s="50"/>
      <c r="F900" s="5"/>
      <c r="G900" s="5"/>
      <c r="H900" s="5"/>
      <c r="I900" s="5"/>
      <c r="J900" s="5"/>
      <c r="K900" s="50"/>
      <c r="L900" s="50"/>
      <c r="M900" s="50"/>
      <c r="N900" s="50"/>
      <c r="O900" s="50"/>
      <c r="P900" s="50"/>
      <c r="Q900" s="50"/>
      <c r="R900" s="50"/>
      <c r="S900" s="50"/>
      <c r="T900" s="50"/>
      <c r="U900" s="50"/>
      <c r="V900" s="50"/>
      <c r="W900" s="50"/>
      <c r="X900" s="50"/>
      <c r="Y900" s="50"/>
      <c r="Z900" s="50"/>
      <c r="AA900" s="50"/>
      <c r="AB900" s="50"/>
    </row>
    <row r="901" customFormat="false" ht="15.75" hidden="false" customHeight="false" outlineLevel="0" collapsed="false">
      <c r="A901" s="50"/>
      <c r="B901" s="50"/>
      <c r="C901" s="5"/>
      <c r="D901" s="48"/>
      <c r="E901" s="50"/>
      <c r="F901" s="5"/>
      <c r="G901" s="5"/>
      <c r="H901" s="5"/>
      <c r="I901" s="5"/>
      <c r="J901" s="5"/>
      <c r="K901" s="50"/>
      <c r="L901" s="50"/>
      <c r="M901" s="50"/>
      <c r="N901" s="50"/>
      <c r="O901" s="50"/>
      <c r="P901" s="50"/>
      <c r="Q901" s="50"/>
      <c r="R901" s="50"/>
      <c r="S901" s="50"/>
      <c r="T901" s="50"/>
      <c r="U901" s="50"/>
      <c r="V901" s="50"/>
      <c r="W901" s="50"/>
      <c r="X901" s="50"/>
      <c r="Y901" s="50"/>
      <c r="Z901" s="50"/>
      <c r="AA901" s="50"/>
      <c r="AB901" s="50"/>
    </row>
    <row r="902" customFormat="false" ht="15.75" hidden="false" customHeight="false" outlineLevel="0" collapsed="false">
      <c r="A902" s="50"/>
      <c r="B902" s="50"/>
      <c r="C902" s="5"/>
      <c r="D902" s="48"/>
      <c r="E902" s="50"/>
      <c r="F902" s="5"/>
      <c r="G902" s="5"/>
      <c r="H902" s="5"/>
      <c r="I902" s="5"/>
      <c r="J902" s="5"/>
      <c r="K902" s="50"/>
      <c r="L902" s="50"/>
      <c r="M902" s="50"/>
      <c r="N902" s="50"/>
      <c r="O902" s="50"/>
      <c r="P902" s="50"/>
      <c r="Q902" s="50"/>
      <c r="R902" s="50"/>
      <c r="S902" s="50"/>
      <c r="T902" s="50"/>
      <c r="U902" s="50"/>
      <c r="V902" s="50"/>
      <c r="W902" s="50"/>
      <c r="X902" s="50"/>
      <c r="Y902" s="50"/>
      <c r="Z902" s="50"/>
      <c r="AA902" s="50"/>
      <c r="AB902" s="50"/>
    </row>
    <row r="903" customFormat="false" ht="15.75" hidden="false" customHeight="false" outlineLevel="0" collapsed="false">
      <c r="A903" s="50"/>
      <c r="B903" s="50"/>
      <c r="C903" s="5"/>
      <c r="D903" s="48"/>
      <c r="E903" s="50"/>
      <c r="F903" s="5"/>
      <c r="G903" s="5"/>
      <c r="H903" s="5"/>
      <c r="I903" s="5"/>
      <c r="J903" s="5"/>
      <c r="K903" s="50"/>
      <c r="L903" s="50"/>
      <c r="M903" s="50"/>
      <c r="N903" s="50"/>
      <c r="O903" s="50"/>
      <c r="P903" s="50"/>
      <c r="Q903" s="50"/>
      <c r="R903" s="50"/>
      <c r="S903" s="50"/>
      <c r="T903" s="50"/>
      <c r="U903" s="50"/>
      <c r="V903" s="50"/>
      <c r="W903" s="50"/>
      <c r="X903" s="50"/>
      <c r="Y903" s="50"/>
      <c r="Z903" s="50"/>
      <c r="AA903" s="50"/>
      <c r="AB903" s="50"/>
    </row>
    <row r="904" customFormat="false" ht="15.75" hidden="false" customHeight="false" outlineLevel="0" collapsed="false">
      <c r="A904" s="50"/>
      <c r="B904" s="50"/>
      <c r="C904" s="5"/>
      <c r="D904" s="48"/>
      <c r="E904" s="50"/>
      <c r="F904" s="5"/>
      <c r="G904" s="5"/>
      <c r="H904" s="5"/>
      <c r="I904" s="5"/>
      <c r="J904" s="5"/>
      <c r="K904" s="50"/>
      <c r="L904" s="50"/>
      <c r="M904" s="50"/>
      <c r="N904" s="50"/>
      <c r="O904" s="50"/>
      <c r="P904" s="50"/>
      <c r="Q904" s="50"/>
      <c r="R904" s="50"/>
      <c r="S904" s="50"/>
      <c r="T904" s="50"/>
      <c r="U904" s="50"/>
      <c r="V904" s="50"/>
      <c r="W904" s="50"/>
      <c r="X904" s="50"/>
      <c r="Y904" s="50"/>
      <c r="Z904" s="50"/>
      <c r="AA904" s="50"/>
      <c r="AB904" s="50"/>
    </row>
    <row r="905" customFormat="false" ht="15.75" hidden="false" customHeight="false" outlineLevel="0" collapsed="false">
      <c r="A905" s="50"/>
      <c r="B905" s="50"/>
      <c r="C905" s="5"/>
      <c r="D905" s="48"/>
      <c r="E905" s="50"/>
      <c r="F905" s="5"/>
      <c r="G905" s="5"/>
      <c r="H905" s="5"/>
      <c r="I905" s="5"/>
      <c r="J905" s="5"/>
      <c r="K905" s="50"/>
      <c r="L905" s="50"/>
      <c r="M905" s="50"/>
      <c r="N905" s="50"/>
      <c r="O905" s="50"/>
      <c r="P905" s="50"/>
      <c r="Q905" s="50"/>
      <c r="R905" s="50"/>
      <c r="S905" s="50"/>
      <c r="T905" s="50"/>
      <c r="U905" s="50"/>
      <c r="V905" s="50"/>
      <c r="W905" s="50"/>
      <c r="X905" s="50"/>
      <c r="Y905" s="50"/>
      <c r="Z905" s="50"/>
      <c r="AA905" s="50"/>
      <c r="AB905" s="50"/>
    </row>
    <row r="906" customFormat="false" ht="15.75" hidden="false" customHeight="false" outlineLevel="0" collapsed="false">
      <c r="A906" s="50"/>
      <c r="B906" s="50"/>
      <c r="C906" s="5"/>
      <c r="D906" s="48"/>
      <c r="E906" s="50"/>
      <c r="F906" s="5"/>
      <c r="G906" s="5"/>
      <c r="H906" s="5"/>
      <c r="I906" s="5"/>
      <c r="J906" s="5"/>
      <c r="K906" s="50"/>
      <c r="L906" s="50"/>
      <c r="M906" s="50"/>
      <c r="N906" s="50"/>
      <c r="O906" s="50"/>
      <c r="P906" s="50"/>
      <c r="Q906" s="50"/>
      <c r="R906" s="50"/>
      <c r="S906" s="50"/>
      <c r="T906" s="50"/>
      <c r="U906" s="50"/>
      <c r="V906" s="50"/>
      <c r="W906" s="50"/>
      <c r="X906" s="50"/>
      <c r="Y906" s="50"/>
      <c r="Z906" s="50"/>
      <c r="AA906" s="50"/>
      <c r="AB906" s="50"/>
    </row>
    <row r="907" customFormat="false" ht="15.75" hidden="false" customHeight="false" outlineLevel="0" collapsed="false">
      <c r="A907" s="50"/>
      <c r="B907" s="50"/>
      <c r="C907" s="5"/>
      <c r="D907" s="48"/>
      <c r="E907" s="50"/>
      <c r="F907" s="5"/>
      <c r="G907" s="5"/>
      <c r="H907" s="5"/>
      <c r="I907" s="5"/>
      <c r="J907" s="5"/>
      <c r="K907" s="50"/>
      <c r="L907" s="50"/>
      <c r="M907" s="50"/>
      <c r="N907" s="50"/>
      <c r="O907" s="50"/>
      <c r="P907" s="50"/>
      <c r="Q907" s="50"/>
      <c r="R907" s="50"/>
      <c r="S907" s="50"/>
      <c r="T907" s="50"/>
      <c r="U907" s="50"/>
      <c r="V907" s="50"/>
      <c r="W907" s="50"/>
      <c r="X907" s="50"/>
      <c r="Y907" s="50"/>
      <c r="Z907" s="50"/>
      <c r="AA907" s="50"/>
      <c r="AB907" s="50"/>
    </row>
    <row r="908" customFormat="false" ht="15.75" hidden="false" customHeight="false" outlineLevel="0" collapsed="false">
      <c r="A908" s="50"/>
      <c r="B908" s="50"/>
      <c r="C908" s="5"/>
      <c r="D908" s="48"/>
      <c r="E908" s="50"/>
      <c r="F908" s="5"/>
      <c r="G908" s="5"/>
      <c r="H908" s="5"/>
      <c r="I908" s="5"/>
      <c r="J908" s="5"/>
      <c r="K908" s="50"/>
      <c r="L908" s="50"/>
      <c r="M908" s="50"/>
      <c r="N908" s="50"/>
      <c r="O908" s="50"/>
      <c r="P908" s="50"/>
      <c r="Q908" s="50"/>
      <c r="R908" s="50"/>
      <c r="S908" s="50"/>
      <c r="T908" s="50"/>
      <c r="U908" s="50"/>
      <c r="V908" s="50"/>
      <c r="W908" s="50"/>
      <c r="X908" s="50"/>
      <c r="Y908" s="50"/>
      <c r="Z908" s="50"/>
      <c r="AA908" s="50"/>
      <c r="AB908" s="50"/>
    </row>
    <row r="909" customFormat="false" ht="15.75" hidden="false" customHeight="false" outlineLevel="0" collapsed="false">
      <c r="A909" s="50"/>
      <c r="B909" s="50"/>
      <c r="C909" s="5"/>
      <c r="D909" s="48"/>
      <c r="E909" s="50"/>
      <c r="F909" s="5"/>
      <c r="G909" s="5"/>
      <c r="H909" s="5"/>
      <c r="I909" s="5"/>
      <c r="J909" s="5"/>
      <c r="K909" s="50"/>
      <c r="L909" s="50"/>
      <c r="M909" s="50"/>
      <c r="N909" s="50"/>
      <c r="O909" s="50"/>
      <c r="P909" s="50"/>
      <c r="Q909" s="50"/>
      <c r="R909" s="50"/>
      <c r="S909" s="50"/>
      <c r="T909" s="50"/>
      <c r="U909" s="50"/>
      <c r="V909" s="50"/>
      <c r="W909" s="50"/>
      <c r="X909" s="50"/>
      <c r="Y909" s="50"/>
      <c r="Z909" s="50"/>
      <c r="AA909" s="50"/>
      <c r="AB909" s="50"/>
    </row>
    <row r="910" customFormat="false" ht="15.75" hidden="false" customHeight="false" outlineLevel="0" collapsed="false">
      <c r="A910" s="50"/>
      <c r="B910" s="50"/>
      <c r="C910" s="5"/>
      <c r="D910" s="48"/>
      <c r="E910" s="50"/>
      <c r="F910" s="5"/>
      <c r="G910" s="5"/>
      <c r="H910" s="5"/>
      <c r="I910" s="5"/>
      <c r="J910" s="5"/>
      <c r="K910" s="50"/>
      <c r="L910" s="50"/>
      <c r="M910" s="50"/>
      <c r="N910" s="50"/>
      <c r="O910" s="50"/>
      <c r="P910" s="50"/>
      <c r="Q910" s="50"/>
      <c r="R910" s="50"/>
      <c r="S910" s="50"/>
      <c r="T910" s="50"/>
      <c r="U910" s="50"/>
      <c r="V910" s="50"/>
      <c r="W910" s="50"/>
      <c r="X910" s="50"/>
      <c r="Y910" s="50"/>
      <c r="Z910" s="50"/>
      <c r="AA910" s="50"/>
      <c r="AB910" s="50"/>
    </row>
    <row r="911" customFormat="false" ht="15.75" hidden="false" customHeight="false" outlineLevel="0" collapsed="false">
      <c r="A911" s="50"/>
      <c r="B911" s="50"/>
      <c r="C911" s="5"/>
      <c r="D911" s="48"/>
      <c r="E911" s="50"/>
      <c r="F911" s="5"/>
      <c r="G911" s="5"/>
      <c r="H911" s="5"/>
      <c r="I911" s="5"/>
      <c r="J911" s="5"/>
      <c r="K911" s="50"/>
      <c r="L911" s="50"/>
      <c r="M911" s="50"/>
      <c r="N911" s="50"/>
      <c r="O911" s="50"/>
      <c r="P911" s="50"/>
      <c r="Q911" s="50"/>
      <c r="R911" s="50"/>
      <c r="S911" s="50"/>
      <c r="T911" s="50"/>
      <c r="U911" s="50"/>
      <c r="V911" s="50"/>
      <c r="W911" s="50"/>
      <c r="X911" s="50"/>
      <c r="Y911" s="50"/>
      <c r="Z911" s="50"/>
      <c r="AA911" s="50"/>
      <c r="AB911" s="50"/>
    </row>
    <row r="912" customFormat="false" ht="15.75" hidden="false" customHeight="false" outlineLevel="0" collapsed="false">
      <c r="A912" s="50"/>
      <c r="B912" s="50"/>
      <c r="C912" s="5"/>
      <c r="D912" s="48"/>
      <c r="E912" s="50"/>
      <c r="F912" s="5"/>
      <c r="G912" s="5"/>
      <c r="H912" s="5"/>
      <c r="I912" s="5"/>
      <c r="J912" s="5"/>
      <c r="K912" s="50"/>
      <c r="L912" s="50"/>
      <c r="M912" s="50"/>
      <c r="N912" s="50"/>
      <c r="O912" s="50"/>
      <c r="P912" s="50"/>
      <c r="Q912" s="50"/>
      <c r="R912" s="50"/>
      <c r="S912" s="50"/>
      <c r="T912" s="50"/>
      <c r="U912" s="50"/>
      <c r="V912" s="50"/>
      <c r="W912" s="50"/>
      <c r="X912" s="50"/>
      <c r="Y912" s="50"/>
      <c r="Z912" s="50"/>
      <c r="AA912" s="50"/>
      <c r="AB912" s="50"/>
    </row>
    <row r="913" customFormat="false" ht="15.75" hidden="false" customHeight="false" outlineLevel="0" collapsed="false">
      <c r="A913" s="50"/>
      <c r="B913" s="50"/>
      <c r="C913" s="5"/>
      <c r="D913" s="48"/>
      <c r="E913" s="50"/>
      <c r="F913" s="5"/>
      <c r="G913" s="5"/>
      <c r="H913" s="5"/>
      <c r="I913" s="5"/>
      <c r="J913" s="5"/>
      <c r="K913" s="50"/>
      <c r="L913" s="50"/>
      <c r="M913" s="50"/>
      <c r="N913" s="50"/>
      <c r="O913" s="50"/>
      <c r="P913" s="50"/>
      <c r="Q913" s="50"/>
      <c r="R913" s="50"/>
      <c r="S913" s="50"/>
      <c r="T913" s="50"/>
      <c r="U913" s="50"/>
      <c r="V913" s="50"/>
      <c r="W913" s="50"/>
      <c r="X913" s="50"/>
      <c r="Y913" s="50"/>
      <c r="Z913" s="50"/>
      <c r="AA913" s="50"/>
      <c r="AB913" s="50"/>
    </row>
    <row r="914" customFormat="false" ht="15.75" hidden="false" customHeight="false" outlineLevel="0" collapsed="false">
      <c r="A914" s="50"/>
      <c r="B914" s="50"/>
      <c r="C914" s="5"/>
      <c r="D914" s="48"/>
      <c r="E914" s="50"/>
      <c r="F914" s="5"/>
      <c r="G914" s="5"/>
      <c r="H914" s="5"/>
      <c r="I914" s="5"/>
      <c r="J914" s="5"/>
      <c r="K914" s="50"/>
      <c r="L914" s="50"/>
      <c r="M914" s="50"/>
      <c r="N914" s="50"/>
      <c r="O914" s="50"/>
      <c r="P914" s="50"/>
      <c r="Q914" s="50"/>
      <c r="R914" s="50"/>
      <c r="S914" s="50"/>
      <c r="T914" s="50"/>
      <c r="U914" s="50"/>
      <c r="V914" s="50"/>
      <c r="W914" s="50"/>
      <c r="X914" s="50"/>
      <c r="Y914" s="50"/>
      <c r="Z914" s="50"/>
      <c r="AA914" s="50"/>
      <c r="AB914" s="50"/>
    </row>
    <row r="915" customFormat="false" ht="15.75" hidden="false" customHeight="false" outlineLevel="0" collapsed="false">
      <c r="A915" s="50"/>
      <c r="B915" s="50"/>
      <c r="C915" s="5"/>
      <c r="D915" s="48"/>
      <c r="E915" s="50"/>
      <c r="F915" s="5"/>
      <c r="G915" s="5"/>
      <c r="H915" s="5"/>
      <c r="I915" s="5"/>
      <c r="J915" s="5"/>
      <c r="K915" s="50"/>
      <c r="L915" s="50"/>
      <c r="M915" s="50"/>
      <c r="N915" s="50"/>
      <c r="O915" s="50"/>
      <c r="P915" s="50"/>
      <c r="Q915" s="50"/>
      <c r="R915" s="50"/>
      <c r="S915" s="50"/>
      <c r="T915" s="50"/>
      <c r="U915" s="50"/>
      <c r="V915" s="50"/>
      <c r="W915" s="50"/>
      <c r="X915" s="50"/>
      <c r="Y915" s="50"/>
      <c r="Z915" s="50"/>
      <c r="AA915" s="50"/>
      <c r="AB915" s="50"/>
    </row>
    <row r="916" customFormat="false" ht="15.75" hidden="false" customHeight="false" outlineLevel="0" collapsed="false">
      <c r="A916" s="50"/>
      <c r="B916" s="50"/>
      <c r="C916" s="5"/>
      <c r="D916" s="48"/>
      <c r="E916" s="50"/>
      <c r="F916" s="5"/>
      <c r="G916" s="5"/>
      <c r="H916" s="5"/>
      <c r="I916" s="5"/>
      <c r="J916" s="5"/>
      <c r="K916" s="50"/>
      <c r="L916" s="50"/>
      <c r="M916" s="50"/>
      <c r="N916" s="50"/>
      <c r="O916" s="50"/>
      <c r="P916" s="50"/>
      <c r="Q916" s="50"/>
      <c r="R916" s="50"/>
      <c r="S916" s="50"/>
      <c r="T916" s="50"/>
      <c r="U916" s="50"/>
      <c r="V916" s="50"/>
      <c r="W916" s="50"/>
      <c r="X916" s="50"/>
      <c r="Y916" s="50"/>
      <c r="Z916" s="50"/>
      <c r="AA916" s="50"/>
      <c r="AB916" s="50"/>
    </row>
    <row r="917" customFormat="false" ht="15.75" hidden="false" customHeight="false" outlineLevel="0" collapsed="false">
      <c r="A917" s="50"/>
      <c r="B917" s="50"/>
      <c r="C917" s="5"/>
      <c r="D917" s="48"/>
      <c r="E917" s="50"/>
      <c r="F917" s="5"/>
      <c r="G917" s="5"/>
      <c r="H917" s="5"/>
      <c r="I917" s="5"/>
      <c r="J917" s="5"/>
      <c r="K917" s="50"/>
      <c r="L917" s="50"/>
      <c r="M917" s="50"/>
      <c r="N917" s="50"/>
      <c r="O917" s="50"/>
      <c r="P917" s="50"/>
      <c r="Q917" s="50"/>
      <c r="R917" s="50"/>
      <c r="S917" s="50"/>
      <c r="T917" s="50"/>
      <c r="U917" s="50"/>
      <c r="V917" s="50"/>
      <c r="W917" s="50"/>
      <c r="X917" s="50"/>
      <c r="Y917" s="50"/>
      <c r="Z917" s="50"/>
      <c r="AA917" s="50"/>
      <c r="AB917" s="50"/>
    </row>
    <row r="918" customFormat="false" ht="15.75" hidden="false" customHeight="false" outlineLevel="0" collapsed="false">
      <c r="A918" s="50"/>
      <c r="B918" s="50"/>
      <c r="C918" s="5"/>
      <c r="D918" s="48"/>
      <c r="E918" s="50"/>
      <c r="F918" s="5"/>
      <c r="G918" s="5"/>
      <c r="H918" s="5"/>
      <c r="I918" s="5"/>
      <c r="J918" s="5"/>
      <c r="K918" s="50"/>
      <c r="L918" s="50"/>
      <c r="M918" s="50"/>
      <c r="N918" s="50"/>
      <c r="O918" s="50"/>
      <c r="P918" s="50"/>
      <c r="Q918" s="50"/>
      <c r="R918" s="50"/>
      <c r="S918" s="50"/>
      <c r="T918" s="50"/>
      <c r="U918" s="50"/>
      <c r="V918" s="50"/>
      <c r="W918" s="50"/>
      <c r="X918" s="50"/>
      <c r="Y918" s="50"/>
      <c r="Z918" s="50"/>
      <c r="AA918" s="50"/>
      <c r="AB918" s="50"/>
    </row>
    <row r="919" customFormat="false" ht="15.75" hidden="false" customHeight="false" outlineLevel="0" collapsed="false">
      <c r="A919" s="50"/>
      <c r="B919" s="50"/>
      <c r="C919" s="5"/>
      <c r="D919" s="48"/>
      <c r="E919" s="50"/>
      <c r="F919" s="5"/>
      <c r="G919" s="5"/>
      <c r="H919" s="5"/>
      <c r="I919" s="5"/>
      <c r="J919" s="5"/>
      <c r="K919" s="50"/>
      <c r="L919" s="50"/>
      <c r="M919" s="50"/>
      <c r="N919" s="50"/>
      <c r="O919" s="50"/>
      <c r="P919" s="50"/>
      <c r="Q919" s="50"/>
      <c r="R919" s="50"/>
      <c r="S919" s="50"/>
      <c r="T919" s="50"/>
      <c r="U919" s="50"/>
      <c r="V919" s="50"/>
      <c r="W919" s="50"/>
      <c r="X919" s="50"/>
      <c r="Y919" s="50"/>
      <c r="Z919" s="50"/>
      <c r="AA919" s="50"/>
      <c r="AB919" s="50"/>
    </row>
    <row r="920" customFormat="false" ht="15.75" hidden="false" customHeight="false" outlineLevel="0" collapsed="false">
      <c r="A920" s="50"/>
      <c r="B920" s="50"/>
      <c r="C920" s="5"/>
      <c r="D920" s="48"/>
      <c r="E920" s="50"/>
      <c r="F920" s="5"/>
      <c r="G920" s="5"/>
      <c r="H920" s="5"/>
      <c r="I920" s="5"/>
      <c r="J920" s="5"/>
      <c r="K920" s="50"/>
      <c r="L920" s="50"/>
      <c r="M920" s="50"/>
      <c r="N920" s="50"/>
      <c r="O920" s="50"/>
      <c r="P920" s="50"/>
      <c r="Q920" s="50"/>
      <c r="R920" s="50"/>
      <c r="S920" s="50"/>
      <c r="T920" s="50"/>
      <c r="U920" s="50"/>
      <c r="V920" s="50"/>
      <c r="W920" s="50"/>
      <c r="X920" s="50"/>
      <c r="Y920" s="50"/>
      <c r="Z920" s="50"/>
      <c r="AA920" s="50"/>
      <c r="AB920" s="50"/>
    </row>
    <row r="921" customFormat="false" ht="15.75" hidden="false" customHeight="false" outlineLevel="0" collapsed="false">
      <c r="A921" s="50"/>
      <c r="B921" s="50"/>
      <c r="C921" s="5"/>
      <c r="D921" s="48"/>
      <c r="E921" s="50"/>
      <c r="F921" s="5"/>
      <c r="G921" s="5"/>
      <c r="H921" s="5"/>
      <c r="I921" s="5"/>
      <c r="J921" s="5"/>
      <c r="K921" s="50"/>
      <c r="L921" s="50"/>
      <c r="M921" s="50"/>
      <c r="N921" s="50"/>
      <c r="O921" s="50"/>
      <c r="P921" s="50"/>
      <c r="Q921" s="50"/>
      <c r="R921" s="50"/>
      <c r="S921" s="50"/>
      <c r="T921" s="50"/>
      <c r="U921" s="50"/>
      <c r="V921" s="50"/>
      <c r="W921" s="50"/>
      <c r="X921" s="50"/>
      <c r="Y921" s="50"/>
      <c r="Z921" s="50"/>
      <c r="AA921" s="50"/>
      <c r="AB921" s="50"/>
    </row>
    <row r="922" customFormat="false" ht="15.75" hidden="false" customHeight="false" outlineLevel="0" collapsed="false">
      <c r="A922" s="50"/>
      <c r="B922" s="50"/>
      <c r="C922" s="5"/>
      <c r="D922" s="48"/>
      <c r="E922" s="50"/>
      <c r="F922" s="5"/>
      <c r="G922" s="5"/>
      <c r="H922" s="5"/>
      <c r="I922" s="5"/>
      <c r="J922" s="5"/>
      <c r="K922" s="50"/>
      <c r="L922" s="50"/>
      <c r="M922" s="50"/>
      <c r="N922" s="50"/>
      <c r="O922" s="50"/>
      <c r="P922" s="50"/>
      <c r="Q922" s="50"/>
      <c r="R922" s="50"/>
      <c r="S922" s="50"/>
      <c r="T922" s="50"/>
      <c r="U922" s="50"/>
      <c r="V922" s="50"/>
      <c r="W922" s="50"/>
      <c r="X922" s="50"/>
      <c r="Y922" s="50"/>
      <c r="Z922" s="50"/>
      <c r="AA922" s="50"/>
      <c r="AB922" s="50"/>
    </row>
    <row r="923" customFormat="false" ht="15.75" hidden="false" customHeight="false" outlineLevel="0" collapsed="false">
      <c r="A923" s="50"/>
      <c r="B923" s="50"/>
      <c r="C923" s="5"/>
      <c r="D923" s="48"/>
      <c r="E923" s="50"/>
      <c r="F923" s="5"/>
      <c r="G923" s="5"/>
      <c r="H923" s="5"/>
      <c r="I923" s="5"/>
      <c r="J923" s="5"/>
      <c r="K923" s="50"/>
      <c r="L923" s="50"/>
      <c r="M923" s="50"/>
      <c r="N923" s="50"/>
      <c r="O923" s="50"/>
      <c r="P923" s="50"/>
      <c r="Q923" s="50"/>
      <c r="R923" s="50"/>
      <c r="S923" s="50"/>
      <c r="T923" s="50"/>
      <c r="U923" s="50"/>
      <c r="V923" s="50"/>
      <c r="W923" s="50"/>
      <c r="X923" s="50"/>
      <c r="Y923" s="50"/>
      <c r="Z923" s="50"/>
      <c r="AA923" s="50"/>
      <c r="AB923" s="50"/>
    </row>
    <row r="924" customFormat="false" ht="15.75" hidden="false" customHeight="false" outlineLevel="0" collapsed="false">
      <c r="A924" s="50"/>
      <c r="B924" s="50"/>
      <c r="C924" s="5"/>
      <c r="D924" s="48"/>
      <c r="E924" s="50"/>
      <c r="F924" s="5"/>
      <c r="G924" s="5"/>
      <c r="H924" s="5"/>
      <c r="I924" s="5"/>
      <c r="J924" s="5"/>
      <c r="K924" s="50"/>
      <c r="L924" s="50"/>
      <c r="M924" s="50"/>
      <c r="N924" s="50"/>
      <c r="O924" s="50"/>
      <c r="P924" s="50"/>
      <c r="Q924" s="50"/>
      <c r="R924" s="50"/>
      <c r="S924" s="50"/>
      <c r="T924" s="50"/>
      <c r="U924" s="50"/>
      <c r="V924" s="50"/>
      <c r="W924" s="50"/>
      <c r="X924" s="50"/>
      <c r="Y924" s="50"/>
      <c r="Z924" s="50"/>
      <c r="AA924" s="50"/>
      <c r="AB924" s="50"/>
    </row>
    <row r="925" customFormat="false" ht="15.75" hidden="false" customHeight="false" outlineLevel="0" collapsed="false">
      <c r="A925" s="50"/>
      <c r="B925" s="50"/>
      <c r="C925" s="5"/>
      <c r="D925" s="48"/>
      <c r="E925" s="50"/>
      <c r="F925" s="5"/>
      <c r="G925" s="5"/>
      <c r="H925" s="5"/>
      <c r="I925" s="5"/>
      <c r="J925" s="5"/>
      <c r="K925" s="50"/>
      <c r="L925" s="50"/>
      <c r="M925" s="50"/>
      <c r="N925" s="50"/>
      <c r="O925" s="50"/>
      <c r="P925" s="50"/>
      <c r="Q925" s="50"/>
      <c r="R925" s="50"/>
      <c r="S925" s="50"/>
      <c r="T925" s="50"/>
      <c r="U925" s="50"/>
      <c r="V925" s="50"/>
      <c r="W925" s="50"/>
      <c r="X925" s="50"/>
      <c r="Y925" s="50"/>
      <c r="Z925" s="50"/>
      <c r="AA925" s="50"/>
      <c r="AB925" s="50"/>
    </row>
    <row r="926" customFormat="false" ht="15.75" hidden="false" customHeight="false" outlineLevel="0" collapsed="false">
      <c r="A926" s="50"/>
      <c r="B926" s="50"/>
      <c r="C926" s="5"/>
      <c r="D926" s="48"/>
      <c r="E926" s="50"/>
      <c r="F926" s="5"/>
      <c r="G926" s="5"/>
      <c r="H926" s="5"/>
      <c r="I926" s="5"/>
      <c r="J926" s="5"/>
      <c r="K926" s="50"/>
      <c r="L926" s="50"/>
      <c r="M926" s="50"/>
      <c r="N926" s="50"/>
      <c r="O926" s="50"/>
      <c r="P926" s="50"/>
      <c r="Q926" s="50"/>
      <c r="R926" s="50"/>
      <c r="S926" s="50"/>
      <c r="T926" s="50"/>
      <c r="U926" s="50"/>
      <c r="V926" s="50"/>
      <c r="W926" s="50"/>
      <c r="X926" s="50"/>
      <c r="Y926" s="50"/>
      <c r="Z926" s="50"/>
      <c r="AA926" s="50"/>
      <c r="AB926" s="50"/>
    </row>
    <row r="927" customFormat="false" ht="15.75" hidden="false" customHeight="false" outlineLevel="0" collapsed="false">
      <c r="A927" s="50"/>
      <c r="B927" s="50"/>
      <c r="C927" s="5"/>
      <c r="D927" s="48"/>
      <c r="E927" s="50"/>
      <c r="F927" s="5"/>
      <c r="G927" s="5"/>
      <c r="H927" s="5"/>
      <c r="I927" s="5"/>
      <c r="J927" s="5"/>
      <c r="K927" s="50"/>
      <c r="L927" s="50"/>
      <c r="M927" s="50"/>
      <c r="N927" s="50"/>
      <c r="O927" s="50"/>
      <c r="P927" s="50"/>
      <c r="Q927" s="50"/>
      <c r="R927" s="50"/>
      <c r="S927" s="50"/>
      <c r="T927" s="50"/>
      <c r="U927" s="50"/>
      <c r="V927" s="50"/>
      <c r="W927" s="50"/>
      <c r="X927" s="50"/>
      <c r="Y927" s="50"/>
      <c r="Z927" s="50"/>
      <c r="AA927" s="50"/>
      <c r="AB927" s="50"/>
    </row>
    <row r="928" customFormat="false" ht="15.75" hidden="false" customHeight="false" outlineLevel="0" collapsed="false">
      <c r="A928" s="50"/>
      <c r="B928" s="50"/>
      <c r="C928" s="5"/>
      <c r="D928" s="48"/>
      <c r="E928" s="50"/>
      <c r="F928" s="5"/>
      <c r="G928" s="5"/>
      <c r="H928" s="5"/>
      <c r="I928" s="5"/>
      <c r="J928" s="5"/>
      <c r="K928" s="50"/>
      <c r="L928" s="50"/>
      <c r="M928" s="50"/>
      <c r="N928" s="50"/>
      <c r="O928" s="50"/>
      <c r="P928" s="50"/>
      <c r="Q928" s="50"/>
      <c r="R928" s="50"/>
      <c r="S928" s="50"/>
      <c r="T928" s="50"/>
      <c r="U928" s="50"/>
      <c r="V928" s="50"/>
      <c r="W928" s="50"/>
      <c r="X928" s="50"/>
      <c r="Y928" s="50"/>
      <c r="Z928" s="50"/>
      <c r="AA928" s="50"/>
      <c r="AB928" s="50"/>
    </row>
    <row r="929" customFormat="false" ht="15.75" hidden="false" customHeight="false" outlineLevel="0" collapsed="false">
      <c r="A929" s="50"/>
      <c r="B929" s="50"/>
      <c r="C929" s="5"/>
      <c r="D929" s="48"/>
      <c r="E929" s="50"/>
      <c r="F929" s="5"/>
      <c r="G929" s="5"/>
      <c r="H929" s="5"/>
      <c r="I929" s="5"/>
      <c r="J929" s="5"/>
      <c r="K929" s="50"/>
      <c r="L929" s="50"/>
      <c r="M929" s="50"/>
      <c r="N929" s="50"/>
      <c r="O929" s="50"/>
      <c r="P929" s="50"/>
      <c r="Q929" s="50"/>
      <c r="R929" s="50"/>
      <c r="S929" s="50"/>
      <c r="T929" s="50"/>
      <c r="U929" s="50"/>
      <c r="V929" s="50"/>
      <c r="W929" s="50"/>
      <c r="X929" s="50"/>
      <c r="Y929" s="50"/>
      <c r="Z929" s="50"/>
      <c r="AA929" s="50"/>
      <c r="AB929" s="50"/>
    </row>
    <row r="930" customFormat="false" ht="15.75" hidden="false" customHeight="false" outlineLevel="0" collapsed="false">
      <c r="A930" s="50"/>
      <c r="B930" s="50"/>
      <c r="C930" s="5"/>
      <c r="D930" s="48"/>
      <c r="E930" s="50"/>
      <c r="F930" s="5"/>
      <c r="G930" s="5"/>
      <c r="H930" s="5"/>
      <c r="I930" s="5"/>
      <c r="J930" s="5"/>
      <c r="K930" s="50"/>
      <c r="L930" s="50"/>
      <c r="M930" s="50"/>
      <c r="N930" s="50"/>
      <c r="O930" s="50"/>
      <c r="P930" s="50"/>
      <c r="Q930" s="50"/>
      <c r="R930" s="50"/>
      <c r="S930" s="50"/>
      <c r="T930" s="50"/>
      <c r="U930" s="50"/>
      <c r="V930" s="50"/>
      <c r="W930" s="50"/>
      <c r="X930" s="50"/>
      <c r="Y930" s="50"/>
      <c r="Z930" s="50"/>
      <c r="AA930" s="50"/>
      <c r="AB930" s="50"/>
    </row>
    <row r="931" customFormat="false" ht="15.75" hidden="false" customHeight="false" outlineLevel="0" collapsed="false">
      <c r="A931" s="50"/>
      <c r="B931" s="50"/>
      <c r="C931" s="5"/>
      <c r="D931" s="48"/>
      <c r="E931" s="50"/>
      <c r="F931" s="5"/>
      <c r="G931" s="5"/>
      <c r="H931" s="5"/>
      <c r="I931" s="5"/>
      <c r="J931" s="5"/>
      <c r="K931" s="50"/>
      <c r="L931" s="50"/>
      <c r="M931" s="50"/>
      <c r="N931" s="50"/>
      <c r="O931" s="50"/>
      <c r="P931" s="50"/>
      <c r="Q931" s="50"/>
      <c r="R931" s="50"/>
      <c r="S931" s="50"/>
      <c r="T931" s="50"/>
      <c r="U931" s="50"/>
      <c r="V931" s="50"/>
      <c r="W931" s="50"/>
      <c r="X931" s="50"/>
      <c r="Y931" s="50"/>
      <c r="Z931" s="50"/>
      <c r="AA931" s="50"/>
      <c r="AB931" s="50"/>
    </row>
    <row r="932" customFormat="false" ht="15.75" hidden="false" customHeight="false" outlineLevel="0" collapsed="false">
      <c r="A932" s="50"/>
      <c r="B932" s="50"/>
      <c r="C932" s="5"/>
      <c r="D932" s="48"/>
      <c r="E932" s="50"/>
      <c r="F932" s="5"/>
      <c r="G932" s="5"/>
      <c r="H932" s="5"/>
      <c r="I932" s="5"/>
      <c r="J932" s="5"/>
      <c r="K932" s="50"/>
      <c r="L932" s="50"/>
      <c r="M932" s="50"/>
      <c r="N932" s="50"/>
      <c r="O932" s="50"/>
      <c r="P932" s="50"/>
      <c r="Q932" s="50"/>
      <c r="R932" s="50"/>
      <c r="S932" s="50"/>
      <c r="T932" s="50"/>
      <c r="U932" s="50"/>
      <c r="V932" s="50"/>
      <c r="W932" s="50"/>
      <c r="X932" s="50"/>
      <c r="Y932" s="50"/>
      <c r="Z932" s="50"/>
      <c r="AA932" s="50"/>
      <c r="AB932" s="50"/>
    </row>
    <row r="933" customFormat="false" ht="15.75" hidden="false" customHeight="false" outlineLevel="0" collapsed="false">
      <c r="A933" s="50"/>
      <c r="B933" s="50"/>
      <c r="C933" s="5"/>
      <c r="D933" s="48"/>
      <c r="E933" s="50"/>
      <c r="F933" s="5"/>
      <c r="G933" s="5"/>
      <c r="H933" s="5"/>
      <c r="I933" s="5"/>
      <c r="J933" s="5"/>
      <c r="K933" s="50"/>
      <c r="L933" s="50"/>
      <c r="M933" s="50"/>
      <c r="N933" s="50"/>
      <c r="O933" s="50"/>
      <c r="P933" s="50"/>
      <c r="Q933" s="50"/>
      <c r="R933" s="50"/>
      <c r="S933" s="50"/>
      <c r="T933" s="50"/>
      <c r="U933" s="50"/>
      <c r="V933" s="50"/>
      <c r="W933" s="50"/>
      <c r="X933" s="50"/>
      <c r="Y933" s="50"/>
      <c r="Z933" s="50"/>
      <c r="AA933" s="50"/>
      <c r="AB933" s="50"/>
    </row>
    <row r="934" customFormat="false" ht="15.75" hidden="false" customHeight="false" outlineLevel="0" collapsed="false">
      <c r="A934" s="50"/>
      <c r="B934" s="50"/>
      <c r="C934" s="5"/>
      <c r="D934" s="48"/>
      <c r="E934" s="50"/>
      <c r="F934" s="5"/>
      <c r="G934" s="5"/>
      <c r="H934" s="5"/>
      <c r="I934" s="5"/>
      <c r="J934" s="5"/>
      <c r="K934" s="50"/>
      <c r="L934" s="50"/>
      <c r="M934" s="50"/>
      <c r="N934" s="50"/>
      <c r="O934" s="50"/>
      <c r="P934" s="50"/>
      <c r="Q934" s="50"/>
      <c r="R934" s="50"/>
      <c r="S934" s="50"/>
      <c r="T934" s="50"/>
      <c r="U934" s="50"/>
      <c r="V934" s="50"/>
      <c r="W934" s="50"/>
      <c r="X934" s="50"/>
      <c r="Y934" s="50"/>
      <c r="Z934" s="50"/>
      <c r="AA934" s="50"/>
      <c r="AB934" s="50"/>
    </row>
    <row r="935" customFormat="false" ht="15.75" hidden="false" customHeight="false" outlineLevel="0" collapsed="false">
      <c r="A935" s="50"/>
      <c r="B935" s="50"/>
      <c r="C935" s="5"/>
      <c r="D935" s="48"/>
      <c r="E935" s="50"/>
      <c r="F935" s="5"/>
      <c r="G935" s="5"/>
      <c r="H935" s="5"/>
      <c r="I935" s="5"/>
      <c r="J935" s="5"/>
      <c r="K935" s="50"/>
      <c r="L935" s="50"/>
      <c r="M935" s="50"/>
      <c r="N935" s="50"/>
      <c r="O935" s="50"/>
      <c r="P935" s="50"/>
      <c r="Q935" s="50"/>
      <c r="R935" s="50"/>
      <c r="S935" s="50"/>
      <c r="T935" s="50"/>
      <c r="U935" s="50"/>
      <c r="V935" s="50"/>
      <c r="W935" s="50"/>
      <c r="X935" s="50"/>
      <c r="Y935" s="50"/>
      <c r="Z935" s="50"/>
      <c r="AA935" s="50"/>
      <c r="AB935" s="50"/>
    </row>
    <row r="936" customFormat="false" ht="15.75" hidden="false" customHeight="false" outlineLevel="0" collapsed="false">
      <c r="A936" s="50"/>
      <c r="B936" s="50"/>
      <c r="C936" s="5"/>
      <c r="D936" s="48"/>
      <c r="E936" s="50"/>
      <c r="F936" s="5"/>
      <c r="G936" s="5"/>
      <c r="H936" s="5"/>
      <c r="I936" s="5"/>
      <c r="J936" s="5"/>
      <c r="K936" s="50"/>
      <c r="L936" s="50"/>
      <c r="M936" s="50"/>
      <c r="N936" s="50"/>
      <c r="O936" s="50"/>
      <c r="P936" s="50"/>
      <c r="Q936" s="50"/>
      <c r="R936" s="50"/>
      <c r="S936" s="50"/>
      <c r="T936" s="50"/>
      <c r="U936" s="50"/>
      <c r="V936" s="50"/>
      <c r="W936" s="50"/>
      <c r="X936" s="50"/>
      <c r="Y936" s="50"/>
      <c r="Z936" s="50"/>
      <c r="AA936" s="50"/>
      <c r="AB936" s="50"/>
    </row>
    <row r="937" customFormat="false" ht="15.75" hidden="false" customHeight="false" outlineLevel="0" collapsed="false">
      <c r="A937" s="50"/>
      <c r="B937" s="50"/>
      <c r="C937" s="5"/>
      <c r="D937" s="48"/>
      <c r="E937" s="50"/>
      <c r="F937" s="5"/>
      <c r="G937" s="5"/>
      <c r="H937" s="5"/>
      <c r="I937" s="5"/>
      <c r="J937" s="5"/>
      <c r="K937" s="50"/>
      <c r="L937" s="50"/>
      <c r="M937" s="50"/>
      <c r="N937" s="50"/>
      <c r="O937" s="50"/>
      <c r="P937" s="50"/>
      <c r="Q937" s="50"/>
      <c r="R937" s="50"/>
      <c r="S937" s="50"/>
      <c r="T937" s="50"/>
      <c r="U937" s="50"/>
      <c r="V937" s="50"/>
      <c r="W937" s="50"/>
      <c r="X937" s="50"/>
      <c r="Y937" s="50"/>
      <c r="Z937" s="50"/>
      <c r="AA937" s="50"/>
      <c r="AB937" s="50"/>
    </row>
    <row r="938" customFormat="false" ht="15.75" hidden="false" customHeight="false" outlineLevel="0" collapsed="false">
      <c r="A938" s="50"/>
      <c r="B938" s="50"/>
      <c r="C938" s="5"/>
      <c r="D938" s="48"/>
      <c r="E938" s="50"/>
      <c r="F938" s="5"/>
      <c r="G938" s="5"/>
      <c r="H938" s="5"/>
      <c r="I938" s="5"/>
      <c r="J938" s="5"/>
      <c r="K938" s="50"/>
      <c r="L938" s="50"/>
      <c r="M938" s="50"/>
      <c r="N938" s="50"/>
      <c r="O938" s="50"/>
      <c r="P938" s="50"/>
      <c r="Q938" s="50"/>
      <c r="R938" s="50"/>
      <c r="S938" s="50"/>
      <c r="T938" s="50"/>
      <c r="U938" s="50"/>
      <c r="V938" s="50"/>
      <c r="W938" s="50"/>
      <c r="X938" s="50"/>
      <c r="Y938" s="50"/>
      <c r="Z938" s="50"/>
      <c r="AA938" s="50"/>
      <c r="AB938" s="50"/>
    </row>
    <row r="939" customFormat="false" ht="15.75" hidden="false" customHeight="false" outlineLevel="0" collapsed="false">
      <c r="A939" s="50"/>
      <c r="B939" s="50"/>
      <c r="C939" s="5"/>
      <c r="D939" s="48"/>
      <c r="E939" s="50"/>
      <c r="F939" s="5"/>
      <c r="G939" s="5"/>
      <c r="H939" s="5"/>
      <c r="I939" s="5"/>
      <c r="J939" s="5"/>
      <c r="K939" s="50"/>
      <c r="L939" s="50"/>
      <c r="M939" s="50"/>
      <c r="N939" s="50"/>
      <c r="O939" s="50"/>
      <c r="P939" s="50"/>
      <c r="Q939" s="50"/>
      <c r="R939" s="50"/>
      <c r="S939" s="50"/>
      <c r="T939" s="50"/>
      <c r="U939" s="50"/>
      <c r="V939" s="50"/>
      <c r="W939" s="50"/>
      <c r="X939" s="50"/>
      <c r="Y939" s="50"/>
      <c r="Z939" s="50"/>
      <c r="AA939" s="50"/>
      <c r="AB939" s="50"/>
    </row>
    <row r="940" customFormat="false" ht="15.75" hidden="false" customHeight="false" outlineLevel="0" collapsed="false">
      <c r="A940" s="50"/>
      <c r="B940" s="50"/>
      <c r="C940" s="5"/>
      <c r="D940" s="48"/>
      <c r="E940" s="50"/>
      <c r="F940" s="5"/>
      <c r="G940" s="5"/>
      <c r="H940" s="5"/>
      <c r="I940" s="5"/>
      <c r="J940" s="5"/>
      <c r="K940" s="50"/>
      <c r="L940" s="50"/>
      <c r="M940" s="50"/>
      <c r="N940" s="50"/>
      <c r="O940" s="50"/>
      <c r="P940" s="50"/>
      <c r="Q940" s="50"/>
      <c r="R940" s="50"/>
      <c r="S940" s="50"/>
      <c r="T940" s="50"/>
      <c r="U940" s="50"/>
      <c r="V940" s="50"/>
      <c r="W940" s="50"/>
      <c r="X940" s="50"/>
      <c r="Y940" s="50"/>
      <c r="Z940" s="50"/>
      <c r="AA940" s="50"/>
      <c r="AB940" s="50"/>
    </row>
    <row r="941" customFormat="false" ht="15.75" hidden="false" customHeight="false" outlineLevel="0" collapsed="false">
      <c r="A941" s="50"/>
      <c r="B941" s="50"/>
      <c r="C941" s="5"/>
      <c r="D941" s="48"/>
      <c r="E941" s="50"/>
      <c r="F941" s="5"/>
      <c r="G941" s="5"/>
      <c r="H941" s="5"/>
      <c r="I941" s="5"/>
      <c r="J941" s="5"/>
      <c r="K941" s="50"/>
      <c r="L941" s="50"/>
      <c r="M941" s="50"/>
      <c r="N941" s="50"/>
      <c r="O941" s="50"/>
      <c r="P941" s="50"/>
      <c r="Q941" s="50"/>
      <c r="R941" s="50"/>
      <c r="S941" s="50"/>
      <c r="T941" s="50"/>
      <c r="U941" s="50"/>
      <c r="V941" s="50"/>
      <c r="W941" s="50"/>
      <c r="X941" s="50"/>
      <c r="Y941" s="50"/>
      <c r="Z941" s="50"/>
      <c r="AA941" s="50"/>
      <c r="AB941" s="50"/>
    </row>
    <row r="942" customFormat="false" ht="15.75" hidden="false" customHeight="false" outlineLevel="0" collapsed="false">
      <c r="A942" s="50"/>
      <c r="B942" s="50"/>
      <c r="C942" s="5"/>
      <c r="D942" s="48"/>
      <c r="E942" s="50"/>
      <c r="F942" s="5"/>
      <c r="G942" s="5"/>
      <c r="H942" s="5"/>
      <c r="I942" s="5"/>
      <c r="J942" s="5"/>
      <c r="K942" s="50"/>
      <c r="L942" s="50"/>
      <c r="M942" s="50"/>
      <c r="N942" s="50"/>
      <c r="O942" s="50"/>
      <c r="P942" s="50"/>
      <c r="Q942" s="50"/>
      <c r="R942" s="50"/>
      <c r="S942" s="50"/>
      <c r="T942" s="50"/>
      <c r="U942" s="50"/>
      <c r="V942" s="50"/>
      <c r="W942" s="50"/>
      <c r="X942" s="50"/>
      <c r="Y942" s="50"/>
      <c r="Z942" s="50"/>
      <c r="AA942" s="50"/>
      <c r="AB942" s="50"/>
    </row>
    <row r="943" customFormat="false" ht="15.75" hidden="false" customHeight="false" outlineLevel="0" collapsed="false">
      <c r="A943" s="50"/>
      <c r="B943" s="50"/>
      <c r="C943" s="5"/>
      <c r="D943" s="48"/>
      <c r="E943" s="50"/>
      <c r="F943" s="5"/>
      <c r="G943" s="5"/>
      <c r="H943" s="5"/>
      <c r="I943" s="5"/>
      <c r="J943" s="5"/>
      <c r="K943" s="50"/>
      <c r="L943" s="50"/>
      <c r="M943" s="50"/>
      <c r="N943" s="50"/>
      <c r="O943" s="50"/>
      <c r="P943" s="50"/>
      <c r="Q943" s="50"/>
      <c r="R943" s="50"/>
      <c r="S943" s="50"/>
      <c r="T943" s="50"/>
      <c r="U943" s="50"/>
      <c r="V943" s="50"/>
      <c r="W943" s="50"/>
      <c r="X943" s="50"/>
      <c r="Y943" s="50"/>
      <c r="Z943" s="50"/>
      <c r="AA943" s="50"/>
      <c r="AB943" s="50"/>
    </row>
    <row r="944" customFormat="false" ht="15.75" hidden="false" customHeight="false" outlineLevel="0" collapsed="false">
      <c r="A944" s="50"/>
      <c r="B944" s="50"/>
      <c r="C944" s="5"/>
      <c r="D944" s="48"/>
      <c r="E944" s="50"/>
      <c r="F944" s="5"/>
      <c r="G944" s="5"/>
      <c r="H944" s="5"/>
      <c r="I944" s="5"/>
      <c r="J944" s="5"/>
      <c r="K944" s="50"/>
      <c r="L944" s="50"/>
      <c r="M944" s="50"/>
      <c r="N944" s="50"/>
      <c r="O944" s="50"/>
      <c r="P944" s="50"/>
      <c r="Q944" s="50"/>
      <c r="R944" s="50"/>
      <c r="S944" s="50"/>
      <c r="T944" s="50"/>
      <c r="U944" s="50"/>
      <c r="V944" s="50"/>
      <c r="W944" s="50"/>
      <c r="X944" s="50"/>
      <c r="Y944" s="50"/>
      <c r="Z944" s="50"/>
      <c r="AA944" s="50"/>
      <c r="AB944" s="50"/>
    </row>
    <row r="945" customFormat="false" ht="15.75" hidden="false" customHeight="false" outlineLevel="0" collapsed="false">
      <c r="A945" s="50"/>
      <c r="B945" s="50"/>
      <c r="C945" s="5"/>
      <c r="D945" s="48"/>
      <c r="E945" s="50"/>
      <c r="F945" s="5"/>
      <c r="G945" s="5"/>
      <c r="H945" s="5"/>
      <c r="I945" s="5"/>
      <c r="J945" s="5"/>
      <c r="K945" s="50"/>
      <c r="L945" s="50"/>
      <c r="M945" s="50"/>
      <c r="N945" s="50"/>
      <c r="O945" s="50"/>
      <c r="P945" s="50"/>
      <c r="Q945" s="50"/>
      <c r="R945" s="50"/>
      <c r="S945" s="50"/>
      <c r="T945" s="50"/>
      <c r="U945" s="50"/>
      <c r="V945" s="50"/>
      <c r="W945" s="50"/>
      <c r="X945" s="50"/>
      <c r="Y945" s="50"/>
      <c r="Z945" s="50"/>
      <c r="AA945" s="50"/>
      <c r="AB945" s="50"/>
    </row>
    <row r="946" customFormat="false" ht="15.75" hidden="false" customHeight="false" outlineLevel="0" collapsed="false">
      <c r="A946" s="50"/>
      <c r="B946" s="50"/>
      <c r="C946" s="5"/>
      <c r="D946" s="48"/>
      <c r="E946" s="50"/>
      <c r="F946" s="5"/>
      <c r="G946" s="5"/>
      <c r="H946" s="5"/>
      <c r="I946" s="5"/>
      <c r="J946" s="5"/>
      <c r="K946" s="50"/>
      <c r="L946" s="50"/>
      <c r="M946" s="50"/>
      <c r="N946" s="50"/>
      <c r="O946" s="50"/>
      <c r="P946" s="50"/>
      <c r="Q946" s="50"/>
      <c r="R946" s="50"/>
      <c r="S946" s="50"/>
      <c r="T946" s="50"/>
      <c r="U946" s="50"/>
      <c r="V946" s="50"/>
      <c r="W946" s="50"/>
      <c r="X946" s="50"/>
      <c r="Y946" s="50"/>
      <c r="Z946" s="50"/>
      <c r="AA946" s="50"/>
      <c r="AB946" s="50"/>
    </row>
    <row r="947" customFormat="false" ht="15.75" hidden="false" customHeight="false" outlineLevel="0" collapsed="false">
      <c r="A947" s="50"/>
      <c r="B947" s="50"/>
      <c r="C947" s="5"/>
      <c r="D947" s="48"/>
      <c r="E947" s="50"/>
      <c r="F947" s="5"/>
      <c r="G947" s="5"/>
      <c r="H947" s="5"/>
      <c r="I947" s="5"/>
      <c r="J947" s="5"/>
      <c r="K947" s="50"/>
      <c r="L947" s="50"/>
      <c r="M947" s="50"/>
      <c r="N947" s="50"/>
      <c r="O947" s="50"/>
      <c r="P947" s="50"/>
      <c r="Q947" s="50"/>
      <c r="R947" s="50"/>
      <c r="S947" s="50"/>
      <c r="T947" s="50"/>
      <c r="U947" s="50"/>
      <c r="V947" s="50"/>
      <c r="W947" s="50"/>
      <c r="X947" s="50"/>
      <c r="Y947" s="50"/>
      <c r="Z947" s="50"/>
      <c r="AA947" s="50"/>
      <c r="AB947" s="50"/>
    </row>
    <row r="948" customFormat="false" ht="15.75" hidden="false" customHeight="false" outlineLevel="0" collapsed="false">
      <c r="A948" s="50"/>
      <c r="B948" s="50"/>
      <c r="C948" s="5"/>
      <c r="D948" s="48"/>
      <c r="E948" s="50"/>
      <c r="F948" s="5"/>
      <c r="G948" s="5"/>
      <c r="H948" s="5"/>
      <c r="I948" s="5"/>
      <c r="J948" s="5"/>
      <c r="K948" s="50"/>
      <c r="L948" s="50"/>
      <c r="M948" s="50"/>
      <c r="N948" s="50"/>
      <c r="O948" s="50"/>
      <c r="P948" s="50"/>
      <c r="Q948" s="50"/>
      <c r="R948" s="50"/>
      <c r="S948" s="50"/>
      <c r="T948" s="50"/>
      <c r="U948" s="50"/>
      <c r="V948" s="50"/>
      <c r="W948" s="50"/>
      <c r="X948" s="50"/>
      <c r="Y948" s="50"/>
      <c r="Z948" s="50"/>
      <c r="AA948" s="50"/>
      <c r="AB948" s="50"/>
    </row>
    <row r="949" customFormat="false" ht="15.75" hidden="false" customHeight="false" outlineLevel="0" collapsed="false">
      <c r="A949" s="50"/>
      <c r="B949" s="50"/>
      <c r="C949" s="5"/>
      <c r="D949" s="48"/>
      <c r="E949" s="50"/>
      <c r="F949" s="5"/>
      <c r="G949" s="5"/>
      <c r="H949" s="5"/>
      <c r="I949" s="5"/>
      <c r="J949" s="5"/>
      <c r="K949" s="50"/>
      <c r="L949" s="50"/>
      <c r="M949" s="50"/>
      <c r="N949" s="50"/>
      <c r="O949" s="50"/>
      <c r="P949" s="50"/>
      <c r="Q949" s="50"/>
      <c r="R949" s="50"/>
      <c r="S949" s="50"/>
      <c r="T949" s="50"/>
      <c r="U949" s="50"/>
      <c r="V949" s="50"/>
      <c r="W949" s="50"/>
      <c r="X949" s="50"/>
      <c r="Y949" s="50"/>
      <c r="Z949" s="50"/>
      <c r="AA949" s="50"/>
      <c r="AB949" s="50"/>
    </row>
    <row r="950" customFormat="false" ht="15.75" hidden="false" customHeight="false" outlineLevel="0" collapsed="false">
      <c r="A950" s="50"/>
      <c r="B950" s="50"/>
      <c r="C950" s="5"/>
      <c r="D950" s="48"/>
      <c r="E950" s="50"/>
      <c r="F950" s="5"/>
      <c r="G950" s="5"/>
      <c r="H950" s="5"/>
      <c r="I950" s="5"/>
      <c r="J950" s="5"/>
      <c r="K950" s="50"/>
      <c r="L950" s="50"/>
      <c r="M950" s="50"/>
      <c r="N950" s="50"/>
      <c r="O950" s="50"/>
      <c r="P950" s="50"/>
      <c r="Q950" s="50"/>
      <c r="R950" s="50"/>
      <c r="S950" s="50"/>
      <c r="T950" s="50"/>
      <c r="U950" s="50"/>
      <c r="V950" s="50"/>
      <c r="W950" s="50"/>
      <c r="X950" s="50"/>
      <c r="Y950" s="50"/>
      <c r="Z950" s="50"/>
      <c r="AA950" s="50"/>
      <c r="AB950" s="50"/>
    </row>
    <row r="951" customFormat="false" ht="15.75" hidden="false" customHeight="false" outlineLevel="0" collapsed="false">
      <c r="A951" s="50"/>
      <c r="B951" s="50"/>
      <c r="C951" s="5"/>
      <c r="D951" s="48"/>
      <c r="E951" s="50"/>
      <c r="F951" s="5"/>
      <c r="G951" s="5"/>
      <c r="H951" s="5"/>
      <c r="I951" s="5"/>
      <c r="J951" s="5"/>
      <c r="K951" s="50"/>
      <c r="L951" s="50"/>
      <c r="M951" s="50"/>
      <c r="N951" s="50"/>
      <c r="O951" s="50"/>
      <c r="P951" s="50"/>
      <c r="Q951" s="50"/>
      <c r="R951" s="50"/>
      <c r="S951" s="50"/>
      <c r="T951" s="50"/>
      <c r="U951" s="50"/>
      <c r="V951" s="50"/>
      <c r="W951" s="50"/>
      <c r="X951" s="50"/>
      <c r="Y951" s="50"/>
      <c r="Z951" s="50"/>
      <c r="AA951" s="50"/>
      <c r="AB951" s="50"/>
    </row>
    <row r="952" customFormat="false" ht="15.75" hidden="false" customHeight="false" outlineLevel="0" collapsed="false">
      <c r="A952" s="50"/>
      <c r="B952" s="50"/>
      <c r="C952" s="5"/>
      <c r="D952" s="48"/>
      <c r="E952" s="50"/>
      <c r="F952" s="5"/>
      <c r="G952" s="5"/>
      <c r="H952" s="5"/>
      <c r="I952" s="5"/>
      <c r="J952" s="5"/>
      <c r="K952" s="50"/>
      <c r="L952" s="50"/>
      <c r="M952" s="50"/>
      <c r="N952" s="50"/>
      <c r="O952" s="50"/>
      <c r="P952" s="50"/>
      <c r="Q952" s="50"/>
      <c r="R952" s="50"/>
      <c r="S952" s="50"/>
      <c r="T952" s="50"/>
      <c r="U952" s="50"/>
      <c r="V952" s="50"/>
      <c r="W952" s="50"/>
      <c r="X952" s="50"/>
      <c r="Y952" s="50"/>
      <c r="Z952" s="50"/>
      <c r="AA952" s="50"/>
      <c r="AB952" s="50"/>
    </row>
    <row r="953" customFormat="false" ht="15.75" hidden="false" customHeight="false" outlineLevel="0" collapsed="false">
      <c r="A953" s="50"/>
      <c r="B953" s="50"/>
      <c r="C953" s="5"/>
      <c r="D953" s="48"/>
      <c r="E953" s="50"/>
      <c r="F953" s="5"/>
      <c r="G953" s="5"/>
      <c r="H953" s="5"/>
      <c r="I953" s="5"/>
      <c r="J953" s="5"/>
      <c r="K953" s="50"/>
      <c r="L953" s="50"/>
      <c r="M953" s="50"/>
      <c r="N953" s="50"/>
      <c r="O953" s="50"/>
      <c r="P953" s="50"/>
      <c r="Q953" s="50"/>
      <c r="R953" s="50"/>
      <c r="S953" s="50"/>
      <c r="T953" s="50"/>
      <c r="U953" s="50"/>
      <c r="V953" s="50"/>
      <c r="W953" s="50"/>
      <c r="X953" s="50"/>
      <c r="Y953" s="50"/>
      <c r="Z953" s="50"/>
      <c r="AA953" s="50"/>
      <c r="AB953" s="50"/>
    </row>
    <row r="954" customFormat="false" ht="15.75" hidden="false" customHeight="false" outlineLevel="0" collapsed="false">
      <c r="A954" s="50"/>
      <c r="B954" s="50"/>
      <c r="C954" s="5"/>
      <c r="D954" s="48"/>
      <c r="E954" s="50"/>
      <c r="F954" s="5"/>
      <c r="G954" s="5"/>
      <c r="H954" s="5"/>
      <c r="I954" s="5"/>
      <c r="J954" s="5"/>
      <c r="K954" s="50"/>
      <c r="L954" s="50"/>
      <c r="M954" s="50"/>
      <c r="N954" s="50"/>
      <c r="O954" s="50"/>
      <c r="P954" s="50"/>
      <c r="Q954" s="50"/>
      <c r="R954" s="50"/>
      <c r="S954" s="50"/>
      <c r="T954" s="50"/>
      <c r="U954" s="50"/>
      <c r="V954" s="50"/>
      <c r="W954" s="50"/>
      <c r="X954" s="50"/>
      <c r="Y954" s="50"/>
      <c r="Z954" s="50"/>
      <c r="AA954" s="50"/>
      <c r="AB954" s="50"/>
    </row>
    <row r="955" customFormat="false" ht="15.75" hidden="false" customHeight="false" outlineLevel="0" collapsed="false">
      <c r="A955" s="50"/>
      <c r="B955" s="50"/>
      <c r="C955" s="5"/>
      <c r="D955" s="48"/>
      <c r="E955" s="50"/>
      <c r="F955" s="5"/>
      <c r="G955" s="5"/>
      <c r="H955" s="5"/>
      <c r="I955" s="5"/>
      <c r="J955" s="5"/>
      <c r="K955" s="50"/>
      <c r="L955" s="50"/>
      <c r="M955" s="50"/>
      <c r="N955" s="50"/>
      <c r="O955" s="50"/>
      <c r="P955" s="50"/>
      <c r="Q955" s="50"/>
      <c r="R955" s="50"/>
      <c r="S955" s="50"/>
      <c r="T955" s="50"/>
      <c r="U955" s="50"/>
      <c r="V955" s="50"/>
      <c r="W955" s="50"/>
      <c r="X955" s="50"/>
      <c r="Y955" s="50"/>
      <c r="Z955" s="50"/>
      <c r="AA955" s="50"/>
      <c r="AB955" s="50"/>
    </row>
    <row r="956" customFormat="false" ht="15.75" hidden="false" customHeight="false" outlineLevel="0" collapsed="false">
      <c r="A956" s="50"/>
      <c r="B956" s="50"/>
      <c r="C956" s="5"/>
      <c r="D956" s="48"/>
      <c r="E956" s="50"/>
      <c r="F956" s="5"/>
      <c r="G956" s="5"/>
      <c r="H956" s="5"/>
      <c r="I956" s="5"/>
      <c r="J956" s="5"/>
      <c r="K956" s="50"/>
      <c r="L956" s="50"/>
      <c r="M956" s="50"/>
      <c r="N956" s="50"/>
      <c r="O956" s="50"/>
      <c r="P956" s="50"/>
      <c r="Q956" s="50"/>
      <c r="R956" s="50"/>
      <c r="S956" s="50"/>
      <c r="T956" s="50"/>
      <c r="U956" s="50"/>
      <c r="V956" s="50"/>
      <c r="W956" s="50"/>
      <c r="X956" s="50"/>
      <c r="Y956" s="50"/>
      <c r="Z956" s="50"/>
      <c r="AA956" s="50"/>
      <c r="AB956" s="50"/>
    </row>
    <row r="957" customFormat="false" ht="15.75" hidden="false" customHeight="false" outlineLevel="0" collapsed="false">
      <c r="A957" s="50"/>
      <c r="B957" s="50"/>
      <c r="C957" s="5"/>
      <c r="D957" s="48"/>
      <c r="E957" s="50"/>
      <c r="F957" s="5"/>
      <c r="G957" s="5"/>
      <c r="H957" s="5"/>
      <c r="I957" s="5"/>
      <c r="J957" s="5"/>
      <c r="K957" s="50"/>
      <c r="L957" s="50"/>
      <c r="M957" s="50"/>
      <c r="N957" s="50"/>
      <c r="O957" s="50"/>
      <c r="P957" s="50"/>
      <c r="Q957" s="50"/>
      <c r="R957" s="50"/>
      <c r="S957" s="50"/>
      <c r="T957" s="50"/>
      <c r="U957" s="50"/>
      <c r="V957" s="50"/>
      <c r="W957" s="50"/>
      <c r="X957" s="50"/>
      <c r="Y957" s="50"/>
      <c r="Z957" s="50"/>
      <c r="AA957" s="50"/>
      <c r="AB957" s="50"/>
    </row>
    <row r="958" customFormat="false" ht="15.75" hidden="false" customHeight="false" outlineLevel="0" collapsed="false">
      <c r="A958" s="50"/>
      <c r="B958" s="50"/>
      <c r="C958" s="5"/>
      <c r="D958" s="48"/>
      <c r="E958" s="50"/>
      <c r="F958" s="5"/>
      <c r="G958" s="5"/>
      <c r="H958" s="5"/>
      <c r="I958" s="5"/>
      <c r="J958" s="5"/>
      <c r="K958" s="50"/>
      <c r="L958" s="50"/>
      <c r="M958" s="50"/>
      <c r="N958" s="50"/>
      <c r="O958" s="50"/>
      <c r="P958" s="50"/>
      <c r="Q958" s="50"/>
      <c r="R958" s="50"/>
      <c r="S958" s="50"/>
      <c r="T958" s="50"/>
      <c r="U958" s="50"/>
      <c r="V958" s="50"/>
      <c r="W958" s="50"/>
      <c r="X958" s="50"/>
      <c r="Y958" s="50"/>
      <c r="Z958" s="50"/>
      <c r="AA958" s="50"/>
      <c r="AB958" s="50"/>
    </row>
    <row r="959" customFormat="false" ht="15.75" hidden="false" customHeight="false" outlineLevel="0" collapsed="false">
      <c r="A959" s="50"/>
      <c r="B959" s="50"/>
      <c r="C959" s="5"/>
      <c r="D959" s="48"/>
      <c r="E959" s="50"/>
      <c r="F959" s="5"/>
      <c r="G959" s="5"/>
      <c r="H959" s="5"/>
      <c r="I959" s="5"/>
      <c r="J959" s="5"/>
      <c r="K959" s="50"/>
      <c r="L959" s="50"/>
      <c r="M959" s="50"/>
      <c r="N959" s="50"/>
      <c r="O959" s="50"/>
      <c r="P959" s="50"/>
      <c r="Q959" s="50"/>
      <c r="R959" s="50"/>
      <c r="S959" s="50"/>
      <c r="T959" s="50"/>
      <c r="U959" s="50"/>
      <c r="V959" s="50"/>
      <c r="W959" s="50"/>
      <c r="X959" s="50"/>
      <c r="Y959" s="50"/>
      <c r="Z959" s="50"/>
      <c r="AA959" s="50"/>
      <c r="AB959" s="50"/>
    </row>
    <row r="960" customFormat="false" ht="15.75" hidden="false" customHeight="false" outlineLevel="0" collapsed="false">
      <c r="A960" s="50"/>
      <c r="B960" s="50"/>
      <c r="C960" s="5"/>
      <c r="D960" s="48"/>
      <c r="E960" s="50"/>
      <c r="F960" s="5"/>
      <c r="G960" s="5"/>
      <c r="H960" s="5"/>
      <c r="I960" s="5"/>
      <c r="J960" s="5"/>
      <c r="K960" s="50"/>
      <c r="L960" s="50"/>
      <c r="M960" s="50"/>
      <c r="N960" s="50"/>
      <c r="O960" s="50"/>
      <c r="P960" s="50"/>
      <c r="Q960" s="50"/>
      <c r="R960" s="50"/>
      <c r="S960" s="50"/>
      <c r="T960" s="50"/>
      <c r="U960" s="50"/>
      <c r="V960" s="50"/>
      <c r="W960" s="50"/>
      <c r="X960" s="50"/>
      <c r="Y960" s="50"/>
      <c r="Z960" s="50"/>
      <c r="AA960" s="50"/>
      <c r="AB960" s="50"/>
    </row>
    <row r="961" customFormat="false" ht="15.75" hidden="false" customHeight="false" outlineLevel="0" collapsed="false">
      <c r="A961" s="50"/>
      <c r="B961" s="50"/>
      <c r="C961" s="5"/>
      <c r="D961" s="48"/>
      <c r="E961" s="50"/>
      <c r="F961" s="5"/>
      <c r="G961" s="5"/>
      <c r="H961" s="5"/>
      <c r="I961" s="5"/>
      <c r="J961" s="5"/>
      <c r="K961" s="50"/>
      <c r="L961" s="50"/>
      <c r="M961" s="50"/>
      <c r="N961" s="50"/>
      <c r="O961" s="50"/>
      <c r="P961" s="50"/>
      <c r="Q961" s="50"/>
      <c r="R961" s="50"/>
      <c r="S961" s="50"/>
      <c r="T961" s="50"/>
      <c r="U961" s="50"/>
      <c r="V961" s="50"/>
      <c r="W961" s="50"/>
      <c r="X961" s="50"/>
      <c r="Y961" s="50"/>
      <c r="Z961" s="50"/>
      <c r="AA961" s="50"/>
      <c r="AB961" s="50"/>
    </row>
    <row r="962" customFormat="false" ht="15.75" hidden="false" customHeight="false" outlineLevel="0" collapsed="false">
      <c r="A962" s="50"/>
      <c r="B962" s="50"/>
      <c r="C962" s="5"/>
      <c r="D962" s="48"/>
      <c r="E962" s="50"/>
      <c r="F962" s="5"/>
      <c r="G962" s="5"/>
      <c r="H962" s="5"/>
      <c r="I962" s="5"/>
      <c r="J962" s="5"/>
      <c r="K962" s="50"/>
      <c r="L962" s="50"/>
      <c r="M962" s="50"/>
      <c r="N962" s="50"/>
      <c r="O962" s="50"/>
      <c r="P962" s="50"/>
      <c r="Q962" s="50"/>
      <c r="R962" s="50"/>
      <c r="S962" s="50"/>
      <c r="T962" s="50"/>
      <c r="U962" s="50"/>
      <c r="V962" s="50"/>
      <c r="W962" s="50"/>
      <c r="X962" s="50"/>
      <c r="Y962" s="50"/>
      <c r="Z962" s="50"/>
      <c r="AA962" s="50"/>
      <c r="AB962" s="50"/>
    </row>
    <row r="963" customFormat="false" ht="15.75" hidden="false" customHeight="false" outlineLevel="0" collapsed="false">
      <c r="A963" s="50"/>
      <c r="B963" s="50"/>
      <c r="C963" s="5"/>
      <c r="D963" s="48"/>
      <c r="E963" s="50"/>
      <c r="F963" s="5"/>
      <c r="G963" s="5"/>
      <c r="H963" s="5"/>
      <c r="I963" s="5"/>
      <c r="J963" s="5"/>
      <c r="K963" s="50"/>
      <c r="L963" s="50"/>
      <c r="M963" s="50"/>
      <c r="N963" s="50"/>
      <c r="O963" s="50"/>
      <c r="P963" s="50"/>
      <c r="Q963" s="50"/>
      <c r="R963" s="50"/>
      <c r="S963" s="50"/>
      <c r="T963" s="50"/>
      <c r="U963" s="50"/>
      <c r="V963" s="50"/>
      <c r="W963" s="50"/>
      <c r="X963" s="50"/>
      <c r="Y963" s="50"/>
      <c r="Z963" s="50"/>
      <c r="AA963" s="50"/>
      <c r="AB963" s="50"/>
    </row>
    <row r="964" customFormat="false" ht="15.75" hidden="false" customHeight="false" outlineLevel="0" collapsed="false">
      <c r="A964" s="50"/>
      <c r="B964" s="50"/>
      <c r="C964" s="5"/>
      <c r="D964" s="48"/>
      <c r="E964" s="50"/>
      <c r="F964" s="5"/>
      <c r="G964" s="5"/>
      <c r="H964" s="5"/>
      <c r="I964" s="5"/>
      <c r="J964" s="5"/>
      <c r="K964" s="50"/>
      <c r="L964" s="50"/>
      <c r="M964" s="50"/>
      <c r="N964" s="50"/>
      <c r="O964" s="50"/>
      <c r="P964" s="50"/>
      <c r="Q964" s="50"/>
      <c r="R964" s="50"/>
      <c r="S964" s="50"/>
      <c r="T964" s="50"/>
      <c r="U964" s="50"/>
      <c r="V964" s="50"/>
      <c r="W964" s="50"/>
      <c r="X964" s="50"/>
      <c r="Y964" s="50"/>
      <c r="Z964" s="50"/>
      <c r="AA964" s="50"/>
      <c r="AB964" s="50"/>
    </row>
    <row r="965" customFormat="false" ht="15.75" hidden="false" customHeight="false" outlineLevel="0" collapsed="false">
      <c r="A965" s="50"/>
      <c r="B965" s="50"/>
      <c r="C965" s="5"/>
      <c r="D965" s="48"/>
      <c r="E965" s="50"/>
      <c r="F965" s="5"/>
      <c r="G965" s="5"/>
      <c r="H965" s="5"/>
      <c r="I965" s="5"/>
      <c r="J965" s="5"/>
      <c r="K965" s="50"/>
      <c r="L965" s="50"/>
      <c r="M965" s="50"/>
      <c r="N965" s="50"/>
      <c r="O965" s="50"/>
      <c r="P965" s="50"/>
      <c r="Q965" s="50"/>
      <c r="R965" s="50"/>
      <c r="S965" s="50"/>
      <c r="T965" s="50"/>
      <c r="U965" s="50"/>
      <c r="V965" s="50"/>
      <c r="W965" s="50"/>
      <c r="X965" s="50"/>
      <c r="Y965" s="50"/>
      <c r="Z965" s="50"/>
      <c r="AA965" s="50"/>
      <c r="AB965" s="50"/>
    </row>
    <row r="966" customFormat="false" ht="15.75" hidden="false" customHeight="false" outlineLevel="0" collapsed="false">
      <c r="A966" s="50"/>
      <c r="B966" s="50"/>
      <c r="C966" s="5"/>
      <c r="D966" s="48"/>
      <c r="E966" s="50"/>
      <c r="F966" s="5"/>
      <c r="G966" s="5"/>
      <c r="H966" s="5"/>
      <c r="I966" s="5"/>
      <c r="J966" s="5"/>
      <c r="K966" s="50"/>
      <c r="L966" s="50"/>
      <c r="M966" s="50"/>
      <c r="N966" s="50"/>
      <c r="O966" s="50"/>
      <c r="P966" s="50"/>
      <c r="Q966" s="50"/>
      <c r="R966" s="50"/>
      <c r="S966" s="50"/>
      <c r="T966" s="50"/>
      <c r="U966" s="50"/>
      <c r="V966" s="50"/>
      <c r="W966" s="50"/>
      <c r="X966" s="50"/>
      <c r="Y966" s="50"/>
      <c r="Z966" s="50"/>
      <c r="AA966" s="50"/>
      <c r="AB966" s="50"/>
    </row>
    <row r="967" customFormat="false" ht="15.75" hidden="false" customHeight="false" outlineLevel="0" collapsed="false">
      <c r="A967" s="50"/>
      <c r="B967" s="50"/>
      <c r="C967" s="5"/>
      <c r="D967" s="48"/>
      <c r="E967" s="50"/>
      <c r="F967" s="5"/>
      <c r="G967" s="5"/>
      <c r="H967" s="5"/>
      <c r="I967" s="5"/>
      <c r="J967" s="5"/>
      <c r="K967" s="50"/>
      <c r="L967" s="50"/>
      <c r="M967" s="50"/>
      <c r="N967" s="50"/>
      <c r="O967" s="50"/>
      <c r="P967" s="50"/>
      <c r="Q967" s="50"/>
      <c r="R967" s="50"/>
      <c r="S967" s="50"/>
      <c r="T967" s="50"/>
      <c r="U967" s="50"/>
      <c r="V967" s="50"/>
      <c r="W967" s="50"/>
      <c r="X967" s="50"/>
      <c r="Y967" s="50"/>
      <c r="Z967" s="50"/>
      <c r="AA967" s="50"/>
      <c r="AB967" s="50"/>
    </row>
    <row r="968" customFormat="false" ht="15.75" hidden="false" customHeight="false" outlineLevel="0" collapsed="false">
      <c r="A968" s="50"/>
      <c r="B968" s="50"/>
      <c r="C968" s="5"/>
      <c r="D968" s="48"/>
      <c r="E968" s="50"/>
      <c r="F968" s="5"/>
      <c r="G968" s="5"/>
      <c r="H968" s="5"/>
      <c r="I968" s="5"/>
      <c r="J968" s="5"/>
      <c r="K968" s="50"/>
      <c r="L968" s="50"/>
      <c r="M968" s="50"/>
      <c r="N968" s="50"/>
      <c r="O968" s="50"/>
      <c r="P968" s="50"/>
      <c r="Q968" s="50"/>
      <c r="R968" s="50"/>
      <c r="S968" s="50"/>
      <c r="T968" s="50"/>
      <c r="U968" s="50"/>
      <c r="V968" s="50"/>
      <c r="W968" s="50"/>
      <c r="X968" s="50"/>
      <c r="Y968" s="50"/>
      <c r="Z968" s="50"/>
      <c r="AA968" s="50"/>
      <c r="AB968" s="50"/>
    </row>
    <row r="969" customFormat="false" ht="15.75" hidden="false" customHeight="false" outlineLevel="0" collapsed="false">
      <c r="A969" s="50"/>
      <c r="B969" s="50"/>
      <c r="C969" s="5"/>
      <c r="D969" s="48"/>
      <c r="E969" s="50"/>
      <c r="F969" s="5"/>
      <c r="G969" s="5"/>
      <c r="H969" s="5"/>
      <c r="I969" s="5"/>
      <c r="J969" s="5"/>
      <c r="K969" s="50"/>
      <c r="L969" s="50"/>
      <c r="M969" s="50"/>
      <c r="N969" s="50"/>
      <c r="O969" s="50"/>
      <c r="P969" s="50"/>
      <c r="Q969" s="50"/>
      <c r="R969" s="50"/>
      <c r="S969" s="50"/>
      <c r="T969" s="50"/>
      <c r="U969" s="50"/>
      <c r="V969" s="50"/>
      <c r="W969" s="50"/>
      <c r="X969" s="50"/>
      <c r="Y969" s="50"/>
      <c r="Z969" s="50"/>
      <c r="AA969" s="50"/>
      <c r="AB969" s="50"/>
    </row>
    <row r="970" customFormat="false" ht="15.75" hidden="false" customHeight="false" outlineLevel="0" collapsed="false">
      <c r="A970" s="50"/>
      <c r="B970" s="50"/>
      <c r="C970" s="5"/>
      <c r="D970" s="48"/>
      <c r="E970" s="50"/>
      <c r="F970" s="5"/>
      <c r="G970" s="5"/>
      <c r="H970" s="5"/>
      <c r="I970" s="5"/>
      <c r="J970" s="5"/>
      <c r="K970" s="50"/>
      <c r="L970" s="50"/>
      <c r="M970" s="50"/>
      <c r="N970" s="50"/>
      <c r="O970" s="50"/>
      <c r="P970" s="50"/>
      <c r="Q970" s="50"/>
      <c r="R970" s="50"/>
      <c r="S970" s="50"/>
      <c r="T970" s="50"/>
      <c r="U970" s="50"/>
      <c r="V970" s="50"/>
      <c r="W970" s="50"/>
      <c r="X970" s="50"/>
      <c r="Y970" s="50"/>
      <c r="Z970" s="50"/>
      <c r="AA970" s="50"/>
      <c r="AB970" s="50"/>
    </row>
    <row r="971" customFormat="false" ht="15.75" hidden="false" customHeight="false" outlineLevel="0" collapsed="false">
      <c r="A971" s="50"/>
      <c r="B971" s="50"/>
      <c r="C971" s="5"/>
      <c r="D971" s="48"/>
      <c r="E971" s="50"/>
      <c r="F971" s="5"/>
      <c r="G971" s="5"/>
      <c r="H971" s="5"/>
      <c r="I971" s="5"/>
      <c r="J971" s="5"/>
      <c r="K971" s="50"/>
      <c r="L971" s="50"/>
      <c r="M971" s="50"/>
      <c r="N971" s="50"/>
      <c r="O971" s="50"/>
      <c r="P971" s="50"/>
      <c r="Q971" s="50"/>
      <c r="R971" s="50"/>
      <c r="S971" s="50"/>
      <c r="T971" s="50"/>
      <c r="U971" s="50"/>
      <c r="V971" s="50"/>
      <c r="W971" s="50"/>
      <c r="X971" s="50"/>
      <c r="Y971" s="50"/>
      <c r="Z971" s="50"/>
      <c r="AA971" s="50"/>
      <c r="AB971" s="50"/>
    </row>
    <row r="972" customFormat="false" ht="15.75" hidden="false" customHeight="false" outlineLevel="0" collapsed="false">
      <c r="A972" s="50"/>
      <c r="B972" s="50"/>
      <c r="C972" s="5"/>
      <c r="D972" s="48"/>
      <c r="E972" s="50"/>
      <c r="F972" s="5"/>
      <c r="G972" s="5"/>
      <c r="H972" s="5"/>
      <c r="I972" s="5"/>
      <c r="J972" s="5"/>
      <c r="K972" s="50"/>
      <c r="L972" s="50"/>
      <c r="M972" s="50"/>
      <c r="N972" s="50"/>
      <c r="O972" s="50"/>
      <c r="P972" s="50"/>
      <c r="Q972" s="50"/>
      <c r="R972" s="50"/>
      <c r="S972" s="50"/>
      <c r="T972" s="50"/>
      <c r="U972" s="50"/>
      <c r="V972" s="50"/>
      <c r="W972" s="50"/>
      <c r="X972" s="50"/>
      <c r="Y972" s="50"/>
      <c r="Z972" s="50"/>
      <c r="AA972" s="50"/>
      <c r="AB972" s="50"/>
    </row>
    <row r="973" customFormat="false" ht="15.75" hidden="false" customHeight="false" outlineLevel="0" collapsed="false">
      <c r="A973" s="50"/>
      <c r="B973" s="50"/>
      <c r="C973" s="5"/>
      <c r="D973" s="48"/>
      <c r="E973" s="50"/>
      <c r="F973" s="5"/>
      <c r="G973" s="5"/>
      <c r="H973" s="5"/>
      <c r="I973" s="5"/>
      <c r="J973" s="5"/>
      <c r="K973" s="50"/>
      <c r="L973" s="50"/>
      <c r="M973" s="50"/>
      <c r="N973" s="50"/>
      <c r="O973" s="50"/>
      <c r="P973" s="50"/>
      <c r="Q973" s="50"/>
      <c r="R973" s="50"/>
      <c r="S973" s="50"/>
      <c r="T973" s="50"/>
      <c r="U973" s="50"/>
      <c r="V973" s="50"/>
      <c r="W973" s="50"/>
      <c r="X973" s="50"/>
      <c r="Y973" s="50"/>
      <c r="Z973" s="50"/>
      <c r="AA973" s="50"/>
      <c r="AB973" s="50"/>
    </row>
    <row r="974" customFormat="false" ht="15.75" hidden="false" customHeight="false" outlineLevel="0" collapsed="false">
      <c r="A974" s="50"/>
      <c r="B974" s="50"/>
      <c r="C974" s="5"/>
      <c r="D974" s="48"/>
      <c r="E974" s="50"/>
      <c r="F974" s="5"/>
      <c r="G974" s="5"/>
      <c r="H974" s="5"/>
      <c r="I974" s="5"/>
      <c r="J974" s="5"/>
      <c r="K974" s="50"/>
      <c r="L974" s="50"/>
      <c r="M974" s="50"/>
      <c r="N974" s="50"/>
      <c r="O974" s="50"/>
      <c r="P974" s="50"/>
      <c r="Q974" s="50"/>
      <c r="R974" s="50"/>
      <c r="S974" s="50"/>
      <c r="T974" s="50"/>
      <c r="U974" s="50"/>
      <c r="V974" s="50"/>
      <c r="W974" s="50"/>
      <c r="X974" s="50"/>
      <c r="Y974" s="50"/>
      <c r="Z974" s="50"/>
      <c r="AA974" s="50"/>
      <c r="AB974" s="50"/>
    </row>
    <row r="975" customFormat="false" ht="15.75" hidden="false" customHeight="false" outlineLevel="0" collapsed="false">
      <c r="A975" s="50"/>
      <c r="B975" s="50"/>
      <c r="C975" s="5"/>
      <c r="D975" s="48"/>
      <c r="E975" s="50"/>
      <c r="F975" s="5"/>
      <c r="G975" s="5"/>
      <c r="H975" s="5"/>
      <c r="I975" s="5"/>
      <c r="J975" s="5"/>
      <c r="K975" s="50"/>
      <c r="L975" s="50"/>
      <c r="M975" s="50"/>
      <c r="N975" s="50"/>
      <c r="O975" s="50"/>
      <c r="P975" s="50"/>
      <c r="Q975" s="50"/>
      <c r="R975" s="50"/>
      <c r="S975" s="50"/>
      <c r="T975" s="50"/>
      <c r="U975" s="50"/>
      <c r="V975" s="50"/>
      <c r="W975" s="50"/>
      <c r="X975" s="50"/>
      <c r="Y975" s="50"/>
      <c r="Z975" s="50"/>
      <c r="AA975" s="50"/>
      <c r="AB975" s="50"/>
    </row>
    <row r="976" customFormat="false" ht="15.75" hidden="false" customHeight="false" outlineLevel="0" collapsed="false">
      <c r="A976" s="50"/>
      <c r="B976" s="50"/>
      <c r="C976" s="5"/>
      <c r="D976" s="48"/>
      <c r="E976" s="50"/>
      <c r="F976" s="5"/>
      <c r="G976" s="5"/>
      <c r="H976" s="5"/>
      <c r="I976" s="5"/>
      <c r="J976" s="5"/>
      <c r="K976" s="50"/>
      <c r="L976" s="50"/>
      <c r="M976" s="50"/>
      <c r="N976" s="50"/>
      <c r="O976" s="50"/>
      <c r="P976" s="50"/>
      <c r="Q976" s="50"/>
      <c r="R976" s="50"/>
      <c r="S976" s="50"/>
      <c r="T976" s="50"/>
      <c r="U976" s="50"/>
      <c r="V976" s="50"/>
      <c r="W976" s="50"/>
      <c r="X976" s="50"/>
      <c r="Y976" s="50"/>
      <c r="Z976" s="50"/>
      <c r="AA976" s="50"/>
      <c r="AB976" s="50"/>
    </row>
    <row r="977" customFormat="false" ht="15.75" hidden="false" customHeight="false" outlineLevel="0" collapsed="false">
      <c r="A977" s="50"/>
      <c r="B977" s="50"/>
      <c r="C977" s="5"/>
      <c r="D977" s="48"/>
      <c r="E977" s="50"/>
      <c r="F977" s="5"/>
      <c r="G977" s="5"/>
      <c r="H977" s="5"/>
      <c r="I977" s="5"/>
      <c r="J977" s="5"/>
      <c r="K977" s="50"/>
      <c r="L977" s="50"/>
      <c r="M977" s="50"/>
      <c r="N977" s="50"/>
      <c r="O977" s="50"/>
      <c r="P977" s="50"/>
      <c r="Q977" s="50"/>
      <c r="R977" s="50"/>
      <c r="S977" s="50"/>
      <c r="T977" s="50"/>
      <c r="U977" s="50"/>
      <c r="V977" s="50"/>
      <c r="W977" s="50"/>
      <c r="X977" s="50"/>
      <c r="Y977" s="50"/>
      <c r="Z977" s="50"/>
      <c r="AA977" s="50"/>
      <c r="AB977" s="50"/>
    </row>
    <row r="978" customFormat="false" ht="15.75" hidden="false" customHeight="false" outlineLevel="0" collapsed="false">
      <c r="A978" s="50"/>
      <c r="B978" s="50"/>
      <c r="C978" s="5"/>
      <c r="D978" s="48"/>
      <c r="E978" s="50"/>
      <c r="F978" s="5"/>
      <c r="G978" s="5"/>
      <c r="H978" s="5"/>
      <c r="I978" s="5"/>
      <c r="J978" s="5"/>
      <c r="K978" s="50"/>
      <c r="L978" s="50"/>
      <c r="M978" s="50"/>
      <c r="N978" s="50"/>
      <c r="O978" s="50"/>
      <c r="P978" s="50"/>
      <c r="Q978" s="50"/>
      <c r="R978" s="50"/>
      <c r="S978" s="50"/>
      <c r="T978" s="50"/>
      <c r="U978" s="50"/>
      <c r="V978" s="50"/>
      <c r="W978" s="50"/>
      <c r="X978" s="50"/>
      <c r="Y978" s="50"/>
      <c r="Z978" s="50"/>
      <c r="AA978" s="50"/>
      <c r="AB978" s="50"/>
    </row>
    <row r="979" customFormat="false" ht="15.75" hidden="false" customHeight="false" outlineLevel="0" collapsed="false">
      <c r="A979" s="50"/>
      <c r="B979" s="50"/>
      <c r="C979" s="5"/>
      <c r="D979" s="48"/>
      <c r="E979" s="50"/>
      <c r="F979" s="5"/>
      <c r="G979" s="5"/>
      <c r="H979" s="5"/>
      <c r="I979" s="5"/>
      <c r="J979" s="5"/>
      <c r="K979" s="50"/>
      <c r="L979" s="50"/>
      <c r="M979" s="50"/>
      <c r="N979" s="50"/>
      <c r="O979" s="50"/>
      <c r="P979" s="50"/>
      <c r="Q979" s="50"/>
      <c r="R979" s="50"/>
      <c r="S979" s="50"/>
      <c r="T979" s="50"/>
      <c r="U979" s="50"/>
      <c r="V979" s="50"/>
      <c r="W979" s="50"/>
      <c r="X979" s="50"/>
      <c r="Y979" s="50"/>
      <c r="Z979" s="50"/>
      <c r="AA979" s="50"/>
      <c r="AB979" s="50"/>
    </row>
    <row r="980" customFormat="false" ht="15.75" hidden="false" customHeight="false" outlineLevel="0" collapsed="false">
      <c r="A980" s="50"/>
      <c r="B980" s="50"/>
      <c r="C980" s="5"/>
      <c r="D980" s="48"/>
      <c r="E980" s="50"/>
      <c r="F980" s="5"/>
      <c r="G980" s="5"/>
      <c r="H980" s="5"/>
      <c r="I980" s="5"/>
      <c r="J980" s="5"/>
      <c r="K980" s="50"/>
      <c r="L980" s="50"/>
      <c r="M980" s="50"/>
      <c r="N980" s="50"/>
      <c r="O980" s="50"/>
      <c r="P980" s="50"/>
      <c r="Q980" s="50"/>
      <c r="R980" s="50"/>
      <c r="S980" s="50"/>
      <c r="T980" s="50"/>
      <c r="U980" s="50"/>
      <c r="V980" s="50"/>
      <c r="W980" s="50"/>
      <c r="X980" s="50"/>
      <c r="Y980" s="50"/>
      <c r="Z980" s="50"/>
      <c r="AA980" s="50"/>
      <c r="AB980" s="50"/>
    </row>
    <row r="981" customFormat="false" ht="15.75" hidden="false" customHeight="false" outlineLevel="0" collapsed="false">
      <c r="A981" s="50"/>
      <c r="B981" s="50"/>
      <c r="C981" s="5"/>
      <c r="D981" s="48"/>
      <c r="E981" s="50"/>
      <c r="F981" s="5"/>
      <c r="G981" s="5"/>
      <c r="H981" s="5"/>
      <c r="I981" s="5"/>
      <c r="J981" s="5"/>
      <c r="K981" s="50"/>
      <c r="L981" s="50"/>
      <c r="M981" s="50"/>
      <c r="N981" s="50"/>
      <c r="O981" s="50"/>
      <c r="P981" s="50"/>
      <c r="Q981" s="50"/>
      <c r="R981" s="50"/>
      <c r="S981" s="50"/>
      <c r="T981" s="50"/>
      <c r="U981" s="50"/>
      <c r="V981" s="50"/>
      <c r="W981" s="50"/>
      <c r="X981" s="50"/>
      <c r="Y981" s="50"/>
      <c r="Z981" s="50"/>
      <c r="AA981" s="50"/>
      <c r="AB981" s="50"/>
    </row>
    <row r="982" customFormat="false" ht="15.75" hidden="false" customHeight="false" outlineLevel="0" collapsed="false">
      <c r="A982" s="50"/>
      <c r="B982" s="50"/>
      <c r="C982" s="5"/>
      <c r="D982" s="48"/>
      <c r="E982" s="50"/>
      <c r="F982" s="5"/>
      <c r="G982" s="5"/>
      <c r="H982" s="5"/>
      <c r="I982" s="5"/>
      <c r="J982" s="5"/>
      <c r="K982" s="50"/>
      <c r="L982" s="50"/>
      <c r="M982" s="50"/>
      <c r="N982" s="50"/>
      <c r="O982" s="50"/>
      <c r="P982" s="50"/>
      <c r="Q982" s="50"/>
      <c r="R982" s="50"/>
      <c r="S982" s="50"/>
      <c r="T982" s="50"/>
      <c r="U982" s="50"/>
      <c r="V982" s="50"/>
      <c r="W982" s="50"/>
      <c r="X982" s="50"/>
      <c r="Y982" s="50"/>
      <c r="Z982" s="50"/>
      <c r="AA982" s="50"/>
      <c r="AB982" s="50"/>
    </row>
    <row r="983" customFormat="false" ht="15.75" hidden="false" customHeight="false" outlineLevel="0" collapsed="false">
      <c r="A983" s="50"/>
      <c r="B983" s="50"/>
      <c r="C983" s="5"/>
      <c r="D983" s="48"/>
      <c r="E983" s="50"/>
      <c r="F983" s="5"/>
      <c r="G983" s="5"/>
      <c r="H983" s="5"/>
      <c r="I983" s="5"/>
      <c r="J983" s="5"/>
      <c r="K983" s="50"/>
      <c r="L983" s="50"/>
      <c r="M983" s="50"/>
      <c r="N983" s="50"/>
      <c r="O983" s="50"/>
      <c r="P983" s="50"/>
      <c r="Q983" s="50"/>
      <c r="R983" s="50"/>
      <c r="S983" s="50"/>
      <c r="T983" s="50"/>
      <c r="U983" s="50"/>
      <c r="V983" s="50"/>
      <c r="W983" s="50"/>
      <c r="X983" s="50"/>
      <c r="Y983" s="50"/>
      <c r="Z983" s="50"/>
      <c r="AA983" s="50"/>
      <c r="AB983" s="50"/>
    </row>
    <row r="984" customFormat="false" ht="15.75" hidden="false" customHeight="false" outlineLevel="0" collapsed="false">
      <c r="A984" s="50"/>
      <c r="B984" s="50"/>
      <c r="C984" s="5"/>
      <c r="D984" s="48"/>
      <c r="E984" s="50"/>
      <c r="F984" s="5"/>
      <c r="G984" s="5"/>
      <c r="H984" s="5"/>
      <c r="I984" s="5"/>
      <c r="J984" s="5"/>
      <c r="K984" s="50"/>
      <c r="L984" s="50"/>
      <c r="M984" s="50"/>
      <c r="N984" s="50"/>
      <c r="O984" s="50"/>
      <c r="P984" s="50"/>
      <c r="Q984" s="50"/>
      <c r="R984" s="50"/>
      <c r="S984" s="50"/>
      <c r="T984" s="50"/>
      <c r="U984" s="50"/>
      <c r="V984" s="50"/>
      <c r="W984" s="50"/>
      <c r="X984" s="50"/>
      <c r="Y984" s="50"/>
      <c r="Z984" s="50"/>
      <c r="AA984" s="50"/>
      <c r="AB984" s="50"/>
    </row>
    <row r="985" customFormat="false" ht="15.75" hidden="false" customHeight="false" outlineLevel="0" collapsed="false">
      <c r="A985" s="50"/>
      <c r="B985" s="50"/>
      <c r="C985" s="5"/>
      <c r="D985" s="48"/>
      <c r="E985" s="50"/>
      <c r="F985" s="5"/>
      <c r="G985" s="5"/>
      <c r="H985" s="5"/>
      <c r="I985" s="5"/>
      <c r="J985" s="5"/>
      <c r="K985" s="50"/>
      <c r="L985" s="50"/>
      <c r="M985" s="50"/>
      <c r="N985" s="50"/>
      <c r="O985" s="50"/>
      <c r="P985" s="50"/>
      <c r="Q985" s="50"/>
      <c r="R985" s="50"/>
      <c r="S985" s="50"/>
      <c r="T985" s="50"/>
      <c r="U985" s="50"/>
      <c r="V985" s="50"/>
      <c r="W985" s="50"/>
      <c r="X985" s="50"/>
      <c r="Y985" s="50"/>
      <c r="Z985" s="50"/>
      <c r="AA985" s="50"/>
      <c r="AB985" s="50"/>
    </row>
    <row r="986" customFormat="false" ht="15.75" hidden="false" customHeight="false" outlineLevel="0" collapsed="false">
      <c r="A986" s="50"/>
      <c r="B986" s="50"/>
      <c r="C986" s="5"/>
      <c r="D986" s="48"/>
      <c r="E986" s="50"/>
      <c r="F986" s="5"/>
      <c r="G986" s="5"/>
      <c r="H986" s="5"/>
      <c r="I986" s="5"/>
      <c r="J986" s="5"/>
      <c r="K986" s="50"/>
      <c r="L986" s="50"/>
      <c r="M986" s="50"/>
      <c r="N986" s="50"/>
      <c r="O986" s="50"/>
      <c r="P986" s="50"/>
      <c r="Q986" s="50"/>
      <c r="R986" s="50"/>
      <c r="S986" s="50"/>
      <c r="T986" s="50"/>
      <c r="U986" s="50"/>
      <c r="V986" s="50"/>
      <c r="W986" s="50"/>
      <c r="X986" s="50"/>
      <c r="Y986" s="50"/>
      <c r="Z986" s="50"/>
      <c r="AA986" s="50"/>
      <c r="AB986" s="50"/>
    </row>
    <row r="987" customFormat="false" ht="15.75" hidden="false" customHeight="false" outlineLevel="0" collapsed="false">
      <c r="A987" s="50"/>
      <c r="B987" s="50"/>
      <c r="C987" s="5"/>
      <c r="D987" s="48"/>
      <c r="E987" s="50"/>
      <c r="F987" s="5"/>
      <c r="G987" s="5"/>
      <c r="H987" s="5"/>
      <c r="I987" s="5"/>
      <c r="J987" s="5"/>
      <c r="K987" s="50"/>
      <c r="L987" s="50"/>
      <c r="M987" s="50"/>
      <c r="N987" s="50"/>
      <c r="O987" s="50"/>
      <c r="P987" s="50"/>
      <c r="Q987" s="50"/>
      <c r="R987" s="50"/>
      <c r="S987" s="50"/>
      <c r="T987" s="50"/>
      <c r="U987" s="50"/>
      <c r="V987" s="50"/>
      <c r="W987" s="50"/>
      <c r="X987" s="50"/>
      <c r="Y987" s="50"/>
      <c r="Z987" s="50"/>
      <c r="AA987" s="50"/>
      <c r="AB987" s="50"/>
    </row>
    <row r="988" customFormat="false" ht="15.75" hidden="false" customHeight="false" outlineLevel="0" collapsed="false">
      <c r="A988" s="50"/>
      <c r="B988" s="50"/>
      <c r="C988" s="5"/>
      <c r="D988" s="48"/>
      <c r="E988" s="50"/>
      <c r="F988" s="5"/>
      <c r="G988" s="5"/>
      <c r="H988" s="5"/>
      <c r="I988" s="5"/>
      <c r="J988" s="5"/>
      <c r="K988" s="50"/>
      <c r="L988" s="50"/>
      <c r="M988" s="50"/>
      <c r="N988" s="50"/>
      <c r="O988" s="50"/>
      <c r="P988" s="50"/>
      <c r="Q988" s="50"/>
      <c r="R988" s="50"/>
      <c r="S988" s="50"/>
      <c r="T988" s="50"/>
      <c r="U988" s="50"/>
      <c r="V988" s="50"/>
      <c r="W988" s="50"/>
      <c r="X988" s="50"/>
      <c r="Y988" s="50"/>
      <c r="Z988" s="50"/>
      <c r="AA988" s="50"/>
      <c r="AB988" s="50"/>
    </row>
    <row r="989" customFormat="false" ht="15.75" hidden="false" customHeight="false" outlineLevel="0" collapsed="false">
      <c r="A989" s="50"/>
      <c r="B989" s="50"/>
      <c r="C989" s="5"/>
      <c r="D989" s="48"/>
      <c r="E989" s="50"/>
      <c r="F989" s="5"/>
      <c r="G989" s="5"/>
      <c r="H989" s="5"/>
      <c r="I989" s="5"/>
      <c r="J989" s="5"/>
      <c r="K989" s="50"/>
      <c r="L989" s="50"/>
      <c r="M989" s="50"/>
      <c r="N989" s="50"/>
      <c r="O989" s="50"/>
      <c r="P989" s="50"/>
      <c r="Q989" s="50"/>
      <c r="R989" s="50"/>
      <c r="S989" s="50"/>
      <c r="T989" s="50"/>
      <c r="U989" s="50"/>
      <c r="V989" s="50"/>
      <c r="W989" s="50"/>
      <c r="X989" s="50"/>
      <c r="Y989" s="50"/>
      <c r="Z989" s="50"/>
      <c r="AA989" s="50"/>
      <c r="AB989" s="50"/>
    </row>
    <row r="990" customFormat="false" ht="15.75" hidden="false" customHeight="false" outlineLevel="0" collapsed="false">
      <c r="A990" s="50"/>
      <c r="B990" s="50"/>
      <c r="C990" s="5"/>
      <c r="D990" s="48"/>
      <c r="E990" s="50"/>
      <c r="F990" s="5"/>
      <c r="G990" s="5"/>
      <c r="H990" s="5"/>
      <c r="I990" s="5"/>
      <c r="J990" s="5"/>
      <c r="K990" s="50"/>
      <c r="L990" s="50"/>
      <c r="M990" s="50"/>
      <c r="N990" s="50"/>
      <c r="O990" s="50"/>
      <c r="P990" s="50"/>
      <c r="Q990" s="50"/>
      <c r="R990" s="50"/>
      <c r="S990" s="50"/>
      <c r="T990" s="50"/>
      <c r="U990" s="50"/>
      <c r="V990" s="50"/>
      <c r="W990" s="50"/>
      <c r="X990" s="50"/>
      <c r="Y990" s="50"/>
      <c r="Z990" s="50"/>
      <c r="AA990" s="50"/>
      <c r="AB990" s="50"/>
    </row>
    <row r="991" customFormat="false" ht="15.75" hidden="false" customHeight="false" outlineLevel="0" collapsed="false">
      <c r="A991" s="50"/>
      <c r="B991" s="50"/>
      <c r="C991" s="5"/>
      <c r="D991" s="48"/>
      <c r="E991" s="50"/>
      <c r="F991" s="5"/>
      <c r="G991" s="5"/>
      <c r="H991" s="5"/>
      <c r="I991" s="5"/>
      <c r="J991" s="5"/>
      <c r="K991" s="50"/>
      <c r="L991" s="50"/>
      <c r="M991" s="50"/>
      <c r="N991" s="50"/>
      <c r="O991" s="50"/>
      <c r="P991" s="50"/>
      <c r="Q991" s="50"/>
      <c r="R991" s="50"/>
      <c r="S991" s="50"/>
      <c r="T991" s="50"/>
      <c r="U991" s="50"/>
      <c r="V991" s="50"/>
      <c r="W991" s="50"/>
      <c r="X991" s="50"/>
      <c r="Y991" s="50"/>
      <c r="Z991" s="50"/>
      <c r="AA991" s="50"/>
      <c r="AB991" s="50"/>
    </row>
    <row r="992" customFormat="false" ht="15.75" hidden="false" customHeight="false" outlineLevel="0" collapsed="false">
      <c r="A992" s="50"/>
      <c r="B992" s="50"/>
      <c r="C992" s="5"/>
      <c r="D992" s="48"/>
      <c r="E992" s="50"/>
      <c r="F992" s="5"/>
      <c r="G992" s="5"/>
      <c r="H992" s="5"/>
      <c r="I992" s="5"/>
      <c r="J992" s="5"/>
      <c r="K992" s="50"/>
      <c r="L992" s="50"/>
      <c r="M992" s="50"/>
      <c r="N992" s="50"/>
      <c r="O992" s="50"/>
      <c r="P992" s="50"/>
      <c r="Q992" s="50"/>
      <c r="R992" s="50"/>
      <c r="S992" s="50"/>
      <c r="T992" s="50"/>
      <c r="U992" s="50"/>
      <c r="V992" s="50"/>
      <c r="W992" s="50"/>
      <c r="X992" s="50"/>
      <c r="Y992" s="50"/>
      <c r="Z992" s="50"/>
      <c r="AA992" s="50"/>
      <c r="AB992" s="50"/>
    </row>
    <row r="993" customFormat="false" ht="15.75" hidden="false" customHeight="false" outlineLevel="0" collapsed="false">
      <c r="A993" s="50"/>
      <c r="B993" s="50"/>
      <c r="C993" s="5"/>
      <c r="D993" s="48"/>
      <c r="E993" s="50"/>
      <c r="F993" s="5"/>
      <c r="G993" s="5"/>
      <c r="H993" s="5"/>
      <c r="I993" s="5"/>
      <c r="J993" s="5"/>
      <c r="K993" s="50"/>
      <c r="L993" s="50"/>
      <c r="M993" s="50"/>
      <c r="N993" s="50"/>
      <c r="O993" s="50"/>
      <c r="P993" s="50"/>
      <c r="Q993" s="50"/>
      <c r="R993" s="50"/>
      <c r="S993" s="50"/>
      <c r="T993" s="50"/>
      <c r="U993" s="50"/>
      <c r="V993" s="50"/>
      <c r="W993" s="50"/>
      <c r="X993" s="50"/>
      <c r="Y993" s="50"/>
      <c r="Z993" s="50"/>
      <c r="AA993" s="50"/>
      <c r="AB993" s="50"/>
    </row>
    <row r="994" customFormat="false" ht="15.75" hidden="false" customHeight="false" outlineLevel="0" collapsed="false">
      <c r="A994" s="50"/>
      <c r="B994" s="50"/>
      <c r="C994" s="5"/>
      <c r="D994" s="48"/>
      <c r="E994" s="50"/>
      <c r="F994" s="5"/>
      <c r="G994" s="5"/>
      <c r="H994" s="5"/>
      <c r="I994" s="5"/>
      <c r="J994" s="5"/>
      <c r="K994" s="50"/>
      <c r="L994" s="50"/>
      <c r="M994" s="50"/>
      <c r="N994" s="50"/>
      <c r="O994" s="50"/>
      <c r="P994" s="50"/>
      <c r="Q994" s="50"/>
      <c r="R994" s="50"/>
      <c r="S994" s="50"/>
      <c r="T994" s="50"/>
      <c r="U994" s="50"/>
      <c r="V994" s="50"/>
      <c r="W994" s="50"/>
      <c r="X994" s="50"/>
      <c r="Y994" s="50"/>
      <c r="Z994" s="50"/>
      <c r="AA994" s="50"/>
      <c r="AB994" s="50"/>
    </row>
    <row r="995" customFormat="false" ht="15.75" hidden="false" customHeight="false" outlineLevel="0" collapsed="false">
      <c r="A995" s="50"/>
      <c r="B995" s="50"/>
      <c r="C995" s="5"/>
      <c r="D995" s="48"/>
      <c r="E995" s="50"/>
      <c r="F995" s="5"/>
      <c r="G995" s="5"/>
      <c r="H995" s="5"/>
      <c r="I995" s="5"/>
      <c r="J995" s="5"/>
      <c r="K995" s="50"/>
      <c r="L995" s="50"/>
      <c r="M995" s="50"/>
      <c r="N995" s="50"/>
      <c r="O995" s="50"/>
      <c r="P995" s="50"/>
      <c r="Q995" s="50"/>
      <c r="R995" s="50"/>
      <c r="S995" s="50"/>
      <c r="T995" s="50"/>
      <c r="U995" s="50"/>
      <c r="V995" s="50"/>
      <c r="W995" s="50"/>
      <c r="X995" s="50"/>
      <c r="Y995" s="50"/>
      <c r="Z995" s="50"/>
      <c r="AA995" s="50"/>
      <c r="AB995" s="50"/>
    </row>
    <row r="996" customFormat="false" ht="15.75" hidden="false" customHeight="false" outlineLevel="0" collapsed="false">
      <c r="A996" s="50"/>
      <c r="B996" s="50"/>
      <c r="C996" s="5"/>
      <c r="D996" s="48"/>
      <c r="E996" s="50"/>
      <c r="F996" s="5"/>
      <c r="G996" s="5"/>
      <c r="H996" s="5"/>
      <c r="I996" s="5"/>
      <c r="J996" s="5"/>
      <c r="K996" s="50"/>
      <c r="L996" s="50"/>
      <c r="M996" s="50"/>
      <c r="N996" s="50"/>
      <c r="O996" s="50"/>
      <c r="P996" s="50"/>
      <c r="Q996" s="50"/>
      <c r="R996" s="50"/>
      <c r="S996" s="50"/>
      <c r="T996" s="50"/>
      <c r="U996" s="50"/>
      <c r="V996" s="50"/>
      <c r="W996" s="50"/>
      <c r="X996" s="50"/>
      <c r="Y996" s="50"/>
      <c r="Z996" s="50"/>
      <c r="AA996" s="50"/>
      <c r="AB996" s="50"/>
    </row>
    <row r="997" customFormat="false" ht="15.75" hidden="false" customHeight="false" outlineLevel="0" collapsed="false">
      <c r="A997" s="50"/>
      <c r="B997" s="50"/>
      <c r="C997" s="5"/>
      <c r="D997" s="48"/>
      <c r="E997" s="50"/>
      <c r="F997" s="5"/>
      <c r="G997" s="5"/>
      <c r="H997" s="5"/>
      <c r="I997" s="5"/>
      <c r="J997" s="5"/>
      <c r="K997" s="50"/>
      <c r="L997" s="50"/>
      <c r="M997" s="50"/>
      <c r="N997" s="50"/>
      <c r="O997" s="50"/>
      <c r="P997" s="50"/>
      <c r="Q997" s="50"/>
      <c r="R997" s="50"/>
      <c r="S997" s="50"/>
      <c r="T997" s="50"/>
      <c r="U997" s="50"/>
      <c r="V997" s="50"/>
      <c r="W997" s="50"/>
      <c r="X997" s="50"/>
      <c r="Y997" s="50"/>
      <c r="Z997" s="50"/>
      <c r="AA997" s="50"/>
      <c r="AB997" s="50"/>
    </row>
    <row r="998" customFormat="false" ht="15.75" hidden="false" customHeight="false" outlineLevel="0" collapsed="false">
      <c r="A998" s="50"/>
      <c r="B998" s="50"/>
      <c r="C998" s="5"/>
      <c r="D998" s="48"/>
      <c r="E998" s="50"/>
      <c r="F998" s="5"/>
      <c r="G998" s="5"/>
      <c r="H998" s="5"/>
      <c r="I998" s="5"/>
      <c r="J998" s="5"/>
      <c r="K998" s="50"/>
      <c r="L998" s="50"/>
      <c r="M998" s="50"/>
      <c r="N998" s="50"/>
      <c r="O998" s="50"/>
      <c r="P998" s="50"/>
      <c r="Q998" s="50"/>
      <c r="R998" s="50"/>
      <c r="S998" s="50"/>
      <c r="T998" s="50"/>
      <c r="U998" s="50"/>
      <c r="V998" s="50"/>
      <c r="W998" s="50"/>
      <c r="X998" s="50"/>
      <c r="Y998" s="50"/>
      <c r="Z998" s="50"/>
      <c r="AA998" s="50"/>
      <c r="AB998" s="50"/>
    </row>
    <row r="999" customFormat="false" ht="15.75" hidden="false" customHeight="false" outlineLevel="0" collapsed="false">
      <c r="A999" s="50"/>
      <c r="B999" s="50"/>
      <c r="C999" s="5"/>
      <c r="D999" s="48"/>
      <c r="E999" s="50"/>
      <c r="F999" s="5"/>
      <c r="G999" s="5"/>
      <c r="H999" s="5"/>
      <c r="I999" s="5"/>
      <c r="J999" s="5"/>
      <c r="K999" s="50"/>
      <c r="L999" s="50"/>
      <c r="M999" s="50"/>
      <c r="N999" s="50"/>
      <c r="O999" s="50"/>
      <c r="P999" s="50"/>
      <c r="Q999" s="50"/>
      <c r="R999" s="50"/>
      <c r="S999" s="50"/>
      <c r="T999" s="50"/>
      <c r="U999" s="50"/>
      <c r="V999" s="50"/>
      <c r="W999" s="50"/>
      <c r="X999" s="50"/>
      <c r="Y999" s="50"/>
      <c r="Z999" s="50"/>
      <c r="AA999" s="50"/>
      <c r="AB999" s="50"/>
    </row>
    <row r="1000" customFormat="false" ht="15.75" hidden="false" customHeight="false" outlineLevel="0" collapsed="false">
      <c r="A1000" s="50"/>
      <c r="B1000" s="50"/>
      <c r="C1000" s="5"/>
      <c r="D1000" s="48"/>
      <c r="E1000" s="50"/>
      <c r="F1000" s="5"/>
      <c r="G1000" s="5"/>
      <c r="H1000" s="5"/>
      <c r="I1000" s="5"/>
      <c r="J1000" s="5"/>
      <c r="K1000" s="50"/>
      <c r="L1000" s="50"/>
      <c r="M1000" s="50"/>
      <c r="N1000" s="50"/>
      <c r="O1000" s="50"/>
      <c r="P1000" s="50"/>
      <c r="Q1000" s="50"/>
      <c r="R1000" s="50"/>
      <c r="S1000" s="50"/>
      <c r="T1000" s="50"/>
      <c r="U1000" s="50"/>
      <c r="V1000" s="50"/>
      <c r="W1000" s="50"/>
      <c r="X1000" s="50"/>
      <c r="Y1000" s="50"/>
      <c r="Z1000" s="50"/>
      <c r="AA1000" s="50"/>
      <c r="AB1000" s="50"/>
    </row>
    <row r="1001" customFormat="false" ht="15.75" hidden="false" customHeight="false" outlineLevel="0" collapsed="false">
      <c r="A1001" s="50"/>
      <c r="B1001" s="50"/>
      <c r="C1001" s="5"/>
      <c r="D1001" s="48"/>
      <c r="E1001" s="50"/>
      <c r="F1001" s="5"/>
      <c r="G1001" s="5"/>
      <c r="H1001" s="5"/>
      <c r="I1001" s="5"/>
      <c r="J1001" s="5"/>
      <c r="K1001" s="50"/>
      <c r="L1001" s="50"/>
      <c r="M1001" s="50"/>
      <c r="N1001" s="50"/>
      <c r="O1001" s="50"/>
      <c r="P1001" s="50"/>
      <c r="Q1001" s="50"/>
      <c r="R1001" s="50"/>
      <c r="S1001" s="50"/>
      <c r="T1001" s="50"/>
      <c r="U1001" s="50"/>
      <c r="V1001" s="50"/>
      <c r="W1001" s="50"/>
      <c r="X1001" s="50"/>
      <c r="Y1001" s="50"/>
      <c r="Z1001" s="50"/>
      <c r="AA1001" s="50"/>
      <c r="AB1001" s="50"/>
    </row>
    <row r="1002" customFormat="false" ht="15.75" hidden="false" customHeight="false" outlineLevel="0" collapsed="false">
      <c r="A1002" s="50"/>
      <c r="B1002" s="50"/>
      <c r="C1002" s="5"/>
      <c r="D1002" s="48"/>
      <c r="E1002" s="50"/>
      <c r="F1002" s="5"/>
      <c r="G1002" s="5"/>
      <c r="H1002" s="5"/>
      <c r="I1002" s="5"/>
      <c r="J1002" s="5"/>
      <c r="K1002" s="50"/>
      <c r="L1002" s="50"/>
      <c r="M1002" s="50"/>
      <c r="N1002" s="50"/>
      <c r="O1002" s="50"/>
      <c r="P1002" s="50"/>
      <c r="Q1002" s="50"/>
      <c r="R1002" s="50"/>
      <c r="S1002" s="50"/>
      <c r="T1002" s="50"/>
      <c r="U1002" s="50"/>
      <c r="V1002" s="50"/>
      <c r="W1002" s="50"/>
      <c r="X1002" s="50"/>
      <c r="Y1002" s="50"/>
      <c r="Z1002" s="50"/>
      <c r="AA1002" s="50"/>
      <c r="AB1002" s="50"/>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mundua/aragonesek-lehen-lerro-politikoa-utziko-du_2125045_102.html"/>
    <hyperlink ref="A7" r:id="rId3" display="https://www.berria.eus/kirola/derbi-bikoitza_2118881_102.html"/>
    <hyperlink ref="A12" r:id="rId4" display="https://www.berria.eus/kirola/berriro-etxean-sentitzeko_2117830_102.html"/>
    <hyperlink ref="A17" r:id="rId5" display="https://www.berria.eus/komunikazioa/generacion-porno-dokumental-saioa-egin-dute-etbk-eta-tv3ek_1341518_102.html"/>
    <hyperlink ref="A22" r:id="rId6" display="https://www.berria.eus/kirola/artolak-nagusitasunez-irabazi-dio-zabaleri_2124679_102.html"/>
    <hyperlink ref="A27" r:id="rId7" display="https://www.berria.eus/mundua/gutxienez-40-hildako-eta-dozenaka-zauritu-moskun-gertatutako-tiroketa-batean_2122731_102.html"/>
    <hyperlink ref="A32" r:id="rId8" display="https://www.berria.eus/bizigiro/ohartu-behar-dugu-bizi-garen-jendartea-dominazioaren-kultura-batean-oinarritzen-dela_2121952_102.html"/>
    <hyperlink ref="A37" r:id="rId9" display="https://www.berria.eus/ekonomia/energiaren-euskal-erakundea-energia-konpainien-zergaren-aurka_234607_102.html"/>
    <hyperlink ref="A42" r:id="rId10" display="https://www.berria.eus/kultura/benat-arrutik-irabazi-du-donostia-kultura-vii-poesia-lehiaketa_2122642_102.html"/>
    <hyperlink ref="A47" r:id="rId11" display="https://www.berria.eus/mundua/aleksei-navalni-hil-da_212084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4" t="s">
        <v>29</v>
      </c>
      <c r="E1" s="45"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76" t="s">
        <v>30</v>
      </c>
      <c r="B2" s="47" t="s">
        <v>31</v>
      </c>
      <c r="C2" s="5" t="s">
        <v>18</v>
      </c>
      <c r="D2" s="48" t="s">
        <v>151</v>
      </c>
      <c r="E2" s="77" t="n">
        <f aca="false">IFERROR(__xludf.dummyfunction("COUNTA(SPLIT(D2,"" ""))/COUNTA(SPLIT($B$2,"" ""))"),0.284841075794621)</f>
        <v>0.2848410758</v>
      </c>
      <c r="F2" s="5" t="n">
        <v>5</v>
      </c>
      <c r="G2" s="5" t="n">
        <v>5</v>
      </c>
      <c r="H2" s="5" t="n">
        <v>5</v>
      </c>
      <c r="I2" s="5" t="n">
        <v>5</v>
      </c>
      <c r="J2" s="5" t="n">
        <v>4</v>
      </c>
      <c r="K2" s="50"/>
      <c r="L2" s="50"/>
      <c r="M2" s="50"/>
      <c r="N2" s="50"/>
      <c r="O2" s="50"/>
      <c r="P2" s="50"/>
      <c r="Q2" s="50"/>
      <c r="R2" s="50"/>
      <c r="S2" s="50"/>
      <c r="T2" s="50"/>
      <c r="U2" s="50"/>
      <c r="V2" s="50"/>
      <c r="W2" s="50"/>
      <c r="X2" s="50"/>
      <c r="Y2" s="50"/>
      <c r="Z2" s="50"/>
      <c r="AA2" s="50"/>
      <c r="AB2" s="50"/>
    </row>
    <row r="3" customFormat="false" ht="225" hidden="false" customHeight="true" outlineLevel="0" collapsed="false">
      <c r="A3" s="76"/>
      <c r="B3" s="76"/>
      <c r="C3" s="5" t="s">
        <v>19</v>
      </c>
      <c r="D3" s="48" t="s">
        <v>152</v>
      </c>
      <c r="E3" s="78" t="n">
        <f aca="false">IFERROR(__xludf.dummyfunction("COUNTA(SPLIT(D3,"" ""))/COUNTA(SPLIT($B$2,"" ""))"),0.244498777506112)</f>
        <v>0.2444987775</v>
      </c>
      <c r="F3" s="5" t="n">
        <v>3</v>
      </c>
      <c r="G3" s="5" t="n">
        <v>4</v>
      </c>
      <c r="H3" s="5" t="n">
        <v>4</v>
      </c>
      <c r="I3" s="5" t="n">
        <v>4</v>
      </c>
      <c r="J3" s="5" t="n">
        <v>4</v>
      </c>
      <c r="K3" s="50"/>
      <c r="L3" s="50"/>
      <c r="M3" s="50"/>
      <c r="N3" s="50"/>
      <c r="O3" s="50"/>
      <c r="P3" s="50"/>
      <c r="Q3" s="50"/>
      <c r="R3" s="50"/>
      <c r="S3" s="50"/>
      <c r="T3" s="50"/>
      <c r="U3" s="50"/>
      <c r="V3" s="50"/>
      <c r="W3" s="50"/>
      <c r="X3" s="50"/>
      <c r="Y3" s="50"/>
      <c r="Z3" s="50"/>
      <c r="AA3" s="50"/>
      <c r="AB3" s="50"/>
    </row>
    <row r="4" customFormat="false" ht="225" hidden="false" customHeight="true" outlineLevel="0" collapsed="false">
      <c r="A4" s="76"/>
      <c r="B4" s="76"/>
      <c r="C4" s="5" t="s">
        <v>8</v>
      </c>
      <c r="D4" s="48" t="s">
        <v>153</v>
      </c>
      <c r="E4" s="79" t="n">
        <f aca="false">IFERROR(__xludf.dummyfunction("COUNTA(SPLIT(D4,"" ""))/COUNTA(SPLIT($B$2,"" ""))"),0.198044009779951)</f>
        <v>0.1980440098</v>
      </c>
      <c r="F4" s="5" t="n">
        <v>3</v>
      </c>
      <c r="G4" s="5" t="n">
        <v>5</v>
      </c>
      <c r="H4" s="5" t="n">
        <v>5</v>
      </c>
      <c r="I4" s="5" t="n">
        <v>5</v>
      </c>
      <c r="J4" s="5" t="n">
        <v>5</v>
      </c>
      <c r="K4" s="50"/>
      <c r="L4" s="50"/>
      <c r="M4" s="50"/>
      <c r="N4" s="50"/>
      <c r="O4" s="50"/>
      <c r="P4" s="50"/>
      <c r="Q4" s="50"/>
      <c r="R4" s="50"/>
      <c r="S4" s="50"/>
      <c r="T4" s="50"/>
      <c r="U4" s="50"/>
      <c r="V4" s="50"/>
      <c r="W4" s="50"/>
      <c r="X4" s="50"/>
      <c r="Y4" s="50"/>
      <c r="Z4" s="50"/>
      <c r="AA4" s="50"/>
      <c r="AB4" s="50"/>
    </row>
    <row r="5" customFormat="false" ht="225" hidden="false" customHeight="true" outlineLevel="0" collapsed="false">
      <c r="A5" s="76"/>
      <c r="B5" s="76"/>
      <c r="C5" s="5" t="s">
        <v>20</v>
      </c>
      <c r="D5" s="48" t="s">
        <v>154</v>
      </c>
      <c r="E5" s="80" t="n">
        <f aca="false">IFERROR(__xludf.dummyfunction("COUNTA(SPLIT(D5,"" ""))/COUNTA(SPLIT($B$2,"" ""))"),0.146699266503668)</f>
        <v>0.1466992665</v>
      </c>
      <c r="F5" s="5" t="n">
        <v>3</v>
      </c>
      <c r="G5" s="5" t="n">
        <v>4</v>
      </c>
      <c r="H5" s="5" t="n">
        <v>4</v>
      </c>
      <c r="I5" s="5" t="n">
        <v>4</v>
      </c>
      <c r="J5" s="5" t="n">
        <v>4</v>
      </c>
      <c r="K5" s="50"/>
      <c r="L5" s="50"/>
      <c r="M5" s="50"/>
      <c r="N5" s="50"/>
      <c r="O5" s="50"/>
      <c r="P5" s="50"/>
      <c r="Q5" s="50"/>
      <c r="R5" s="50"/>
      <c r="S5" s="50"/>
      <c r="T5" s="50"/>
      <c r="U5" s="50"/>
      <c r="V5" s="50"/>
      <c r="W5" s="50"/>
      <c r="X5" s="50"/>
      <c r="Y5" s="50"/>
      <c r="Z5" s="50"/>
      <c r="AA5" s="50"/>
      <c r="AB5" s="50"/>
    </row>
    <row r="6" customFormat="false" ht="15.75" hidden="false" customHeight="false" outlineLevel="0" collapsed="false">
      <c r="A6" s="50"/>
      <c r="B6" s="50"/>
      <c r="C6" s="5"/>
      <c r="D6" s="48"/>
      <c r="E6" s="52"/>
      <c r="F6" s="5"/>
      <c r="G6" s="5"/>
      <c r="H6" s="5"/>
      <c r="I6" s="5"/>
      <c r="J6" s="5"/>
      <c r="K6" s="50"/>
      <c r="L6" s="50"/>
      <c r="M6" s="50"/>
      <c r="N6" s="50"/>
      <c r="O6" s="50"/>
      <c r="P6" s="50"/>
      <c r="Q6" s="50"/>
      <c r="R6" s="50"/>
      <c r="S6" s="50"/>
      <c r="T6" s="50"/>
      <c r="U6" s="50"/>
      <c r="V6" s="50"/>
      <c r="W6" s="50"/>
      <c r="X6" s="50"/>
      <c r="Y6" s="50"/>
      <c r="Z6" s="50"/>
      <c r="AA6" s="50"/>
      <c r="AB6" s="50"/>
    </row>
    <row r="7" customFormat="false" ht="225" hidden="false" customHeight="true" outlineLevel="0" collapsed="false">
      <c r="A7" s="53" t="s">
        <v>35</v>
      </c>
      <c r="B7" s="54" t="s">
        <v>36</v>
      </c>
      <c r="C7" s="55" t="s">
        <v>18</v>
      </c>
      <c r="D7" s="56" t="s">
        <v>155</v>
      </c>
      <c r="E7" s="81" t="n">
        <f aca="false">IFERROR(__xludf.dummyfunction("COUNTA(SPLIT(D7,"" ""))/COUNTA(SPLIT($B$7,"" ""))"),1.07083333333333)</f>
        <v>1.070833333</v>
      </c>
      <c r="F7" s="55" t="n">
        <v>4</v>
      </c>
      <c r="G7" s="55" t="n">
        <v>3</v>
      </c>
      <c r="H7" s="55" t="n">
        <v>4</v>
      </c>
      <c r="I7" s="55" t="n">
        <v>2</v>
      </c>
      <c r="J7" s="55" t="n">
        <v>5</v>
      </c>
      <c r="K7" s="58"/>
      <c r="L7" s="58"/>
      <c r="M7" s="58"/>
      <c r="N7" s="58"/>
      <c r="O7" s="58"/>
      <c r="P7" s="58"/>
      <c r="Q7" s="58"/>
      <c r="R7" s="58"/>
      <c r="S7" s="58"/>
      <c r="T7" s="58"/>
      <c r="U7" s="58"/>
      <c r="V7" s="58"/>
      <c r="W7" s="58"/>
      <c r="X7" s="58"/>
      <c r="Y7" s="58"/>
      <c r="Z7" s="58"/>
      <c r="AA7" s="58"/>
      <c r="AB7" s="58"/>
    </row>
    <row r="8" customFormat="false" ht="225" hidden="false" customHeight="true" outlineLevel="0" collapsed="false">
      <c r="A8" s="53"/>
      <c r="B8" s="53"/>
      <c r="C8" s="5" t="s">
        <v>19</v>
      </c>
      <c r="D8" s="48" t="s">
        <v>156</v>
      </c>
      <c r="E8" s="82" t="n">
        <f aca="false">IFERROR(__xludf.dummyfunction("COUNTA(SPLIT(D8,"" ""))/COUNTA(SPLIT($B$7,"" ""))"),0.354166666666667)</f>
        <v>0.3541666667</v>
      </c>
      <c r="F8" s="5" t="n">
        <v>3</v>
      </c>
      <c r="G8" s="5" t="n">
        <v>4</v>
      </c>
      <c r="H8" s="5" t="n">
        <v>4</v>
      </c>
      <c r="I8" s="5" t="n">
        <v>4</v>
      </c>
      <c r="J8" s="5" t="n">
        <v>5</v>
      </c>
      <c r="K8" s="50"/>
      <c r="L8" s="50"/>
      <c r="M8" s="50"/>
      <c r="N8" s="50"/>
      <c r="O8" s="50"/>
      <c r="P8" s="50"/>
      <c r="Q8" s="50"/>
      <c r="R8" s="50"/>
      <c r="S8" s="50"/>
      <c r="T8" s="50"/>
      <c r="U8" s="50"/>
      <c r="V8" s="50"/>
      <c r="W8" s="50"/>
      <c r="X8" s="50"/>
      <c r="Y8" s="50"/>
      <c r="Z8" s="50"/>
      <c r="AA8" s="50"/>
      <c r="AB8" s="50"/>
    </row>
    <row r="9" customFormat="false" ht="225" hidden="false" customHeight="true" outlineLevel="0" collapsed="false">
      <c r="A9" s="53"/>
      <c r="B9" s="53"/>
      <c r="C9" s="5" t="s">
        <v>8</v>
      </c>
      <c r="D9" s="48" t="s">
        <v>157</v>
      </c>
      <c r="E9" s="83" t="n">
        <f aca="false">IFERROR(__xludf.dummyfunction("COUNTA(SPLIT(D9,"" ""))/COUNTA(SPLIT($B$7,"" ""))"),0.791666666666667)</f>
        <v>0.7916666667</v>
      </c>
      <c r="F9" s="5" t="n">
        <v>2</v>
      </c>
      <c r="G9" s="5" t="n">
        <v>4</v>
      </c>
      <c r="H9" s="5" t="n">
        <v>5</v>
      </c>
      <c r="I9" s="5" t="n">
        <v>3</v>
      </c>
      <c r="J9" s="5" t="n">
        <v>5</v>
      </c>
      <c r="K9" s="50"/>
      <c r="L9" s="50"/>
      <c r="M9" s="50"/>
      <c r="N9" s="50"/>
      <c r="O9" s="50"/>
      <c r="P9" s="50"/>
      <c r="Q9" s="50"/>
      <c r="R9" s="50"/>
      <c r="S9" s="50"/>
      <c r="T9" s="50"/>
      <c r="U9" s="50"/>
      <c r="V9" s="50"/>
      <c r="W9" s="50"/>
      <c r="X9" s="50"/>
      <c r="Y9" s="50"/>
      <c r="Z9" s="50"/>
      <c r="AA9" s="50"/>
      <c r="AB9" s="50"/>
    </row>
    <row r="10" customFormat="false" ht="225" hidden="false" customHeight="true" outlineLevel="0" collapsed="false">
      <c r="A10" s="53"/>
      <c r="B10" s="53"/>
      <c r="C10" s="5" t="s">
        <v>20</v>
      </c>
      <c r="D10" s="48" t="s">
        <v>158</v>
      </c>
      <c r="E10" s="84" t="n">
        <f aca="false">IFERROR(__xludf.dummyfunction("COUNTA(SPLIT(D10,"" ""))/COUNTA(SPLIT($B$7,"" ""))"),0.316666666666667)</f>
        <v>0.3166666667</v>
      </c>
      <c r="F10" s="5" t="n">
        <v>3</v>
      </c>
      <c r="G10" s="5" t="n">
        <v>4</v>
      </c>
      <c r="H10" s="5" t="n">
        <v>4</v>
      </c>
      <c r="I10" s="5" t="n">
        <v>4</v>
      </c>
      <c r="J10" s="5" t="n">
        <v>5</v>
      </c>
      <c r="K10" s="50"/>
      <c r="L10" s="50"/>
      <c r="M10" s="50"/>
      <c r="N10" s="50"/>
      <c r="O10" s="50"/>
      <c r="P10" s="50"/>
      <c r="Q10" s="50"/>
      <c r="R10" s="50"/>
      <c r="S10" s="50"/>
      <c r="T10" s="50"/>
      <c r="U10" s="50"/>
      <c r="V10" s="50"/>
      <c r="W10" s="50"/>
      <c r="X10" s="50"/>
      <c r="Y10" s="50"/>
      <c r="Z10" s="50"/>
      <c r="AA10" s="50"/>
      <c r="AB10" s="50"/>
    </row>
    <row r="11" customFormat="false" ht="15.75" hidden="false" customHeight="false" outlineLevel="0" collapsed="false">
      <c r="A11" s="50"/>
      <c r="B11" s="50"/>
      <c r="C11" s="5"/>
      <c r="D11" s="48"/>
      <c r="E11" s="52"/>
      <c r="F11" s="5"/>
      <c r="G11" s="5"/>
      <c r="H11" s="5"/>
      <c r="I11" s="5"/>
      <c r="J11" s="5"/>
      <c r="K11" s="50"/>
      <c r="L11" s="50"/>
      <c r="M11" s="50"/>
      <c r="N11" s="50"/>
      <c r="O11" s="50"/>
      <c r="P11" s="50"/>
      <c r="Q11" s="50"/>
      <c r="R11" s="50"/>
      <c r="S11" s="50"/>
      <c r="T11" s="50"/>
      <c r="U11" s="50"/>
      <c r="V11" s="50"/>
      <c r="W11" s="50"/>
      <c r="X11" s="50"/>
      <c r="Y11" s="50"/>
      <c r="Z11" s="50"/>
      <c r="AA11" s="50"/>
      <c r="AB11" s="50"/>
    </row>
    <row r="12" customFormat="false" ht="225" hidden="false" customHeight="true" outlineLevel="0" collapsed="false">
      <c r="A12" s="53" t="s">
        <v>39</v>
      </c>
      <c r="B12" s="54" t="s">
        <v>40</v>
      </c>
      <c r="C12" s="55" t="s">
        <v>18</v>
      </c>
      <c r="D12" s="56" t="s">
        <v>159</v>
      </c>
      <c r="E12" s="85" t="n">
        <f aca="false">IFERROR(__xludf.dummyfunction("COUNTA(SPLIT(D12,"" ""))/COUNTA(SPLIT($B$12,"" ""))"),0.787272727272727)</f>
        <v>0.7872727273</v>
      </c>
      <c r="F12" s="55" t="n">
        <v>5</v>
      </c>
      <c r="G12" s="55" t="n">
        <v>4</v>
      </c>
      <c r="H12" s="55" t="n">
        <v>4</v>
      </c>
      <c r="I12" s="55" t="n">
        <v>3</v>
      </c>
      <c r="J12" s="55" t="n">
        <v>5</v>
      </c>
      <c r="K12" s="58"/>
      <c r="L12" s="58"/>
      <c r="M12" s="58"/>
      <c r="N12" s="58"/>
      <c r="O12" s="58"/>
      <c r="P12" s="58"/>
      <c r="Q12" s="58"/>
      <c r="R12" s="58"/>
      <c r="S12" s="58"/>
      <c r="T12" s="58"/>
      <c r="U12" s="58"/>
      <c r="V12" s="58"/>
      <c r="W12" s="58"/>
      <c r="X12" s="58"/>
      <c r="Y12" s="58"/>
      <c r="Z12" s="58"/>
      <c r="AA12" s="58"/>
      <c r="AB12" s="58"/>
    </row>
    <row r="13" customFormat="false" ht="225" hidden="false" customHeight="true" outlineLevel="0" collapsed="false">
      <c r="A13" s="53"/>
      <c r="B13" s="53"/>
      <c r="C13" s="5" t="s">
        <v>19</v>
      </c>
      <c r="D13" s="48" t="s">
        <v>160</v>
      </c>
      <c r="E13" s="85" t="n">
        <f aca="false">IFERROR(__xludf.dummyfunction("COUNTA(SPLIT(D13,"" ""))/COUNTA(SPLIT($B$12,"" ""))"),0.152727272727273)</f>
        <v>0.1527272727</v>
      </c>
      <c r="F13" s="5" t="n">
        <v>4</v>
      </c>
      <c r="G13" s="5" t="n">
        <v>5</v>
      </c>
      <c r="H13" s="5" t="n">
        <v>4</v>
      </c>
      <c r="I13" s="5" t="n">
        <v>5</v>
      </c>
      <c r="J13" s="5" t="n">
        <v>5</v>
      </c>
      <c r="K13" s="50"/>
      <c r="L13" s="50"/>
      <c r="M13" s="50"/>
      <c r="N13" s="50"/>
      <c r="O13" s="50"/>
      <c r="P13" s="50"/>
      <c r="Q13" s="50"/>
      <c r="R13" s="50"/>
      <c r="S13" s="50"/>
      <c r="T13" s="50"/>
      <c r="U13" s="50"/>
      <c r="V13" s="50"/>
      <c r="W13" s="50"/>
      <c r="X13" s="50"/>
      <c r="Y13" s="50"/>
      <c r="Z13" s="50"/>
      <c r="AA13" s="50"/>
      <c r="AB13" s="50"/>
    </row>
    <row r="14" customFormat="false" ht="225" hidden="false" customHeight="true" outlineLevel="0" collapsed="false">
      <c r="A14" s="53"/>
      <c r="B14" s="53"/>
      <c r="C14" s="5" t="s">
        <v>8</v>
      </c>
      <c r="D14" s="48" t="s">
        <v>161</v>
      </c>
      <c r="E14" s="86" t="n">
        <f aca="false">IFERROR(__xludf.dummyfunction("COUNTA(SPLIT(D14,"" ""))/COUNTA(SPLIT($B$12,"" ""))"),0.367272727272727)</f>
        <v>0.3672727273</v>
      </c>
      <c r="F14" s="5" t="n">
        <v>2</v>
      </c>
      <c r="G14" s="5" t="n">
        <v>5</v>
      </c>
      <c r="H14" s="5" t="n">
        <v>4</v>
      </c>
      <c r="I14" s="5" t="n">
        <v>4</v>
      </c>
      <c r="J14" s="5" t="n">
        <v>5</v>
      </c>
      <c r="K14" s="50"/>
      <c r="L14" s="50"/>
      <c r="M14" s="50"/>
      <c r="N14" s="50"/>
      <c r="O14" s="50"/>
      <c r="P14" s="50"/>
      <c r="Q14" s="50"/>
      <c r="R14" s="50"/>
      <c r="S14" s="50"/>
      <c r="T14" s="50"/>
      <c r="U14" s="50"/>
      <c r="V14" s="50"/>
      <c r="W14" s="50"/>
      <c r="X14" s="50"/>
      <c r="Y14" s="50"/>
      <c r="Z14" s="50"/>
      <c r="AA14" s="50"/>
      <c r="AB14" s="50"/>
    </row>
    <row r="15" customFormat="false" ht="225" hidden="false" customHeight="true" outlineLevel="0" collapsed="false">
      <c r="A15" s="53"/>
      <c r="B15" s="53"/>
      <c r="C15" s="5" t="s">
        <v>20</v>
      </c>
      <c r="D15" s="48" t="s">
        <v>162</v>
      </c>
      <c r="E15" s="87" t="n">
        <f aca="false">IFERROR(__xludf.dummyfunction("COUNTA(SPLIT(D15,"" ""))/COUNTA(SPLIT($B$12,"" ""))"),0.145454545454545)</f>
        <v>0.1454545455</v>
      </c>
      <c r="F15" s="5" t="n">
        <v>5</v>
      </c>
      <c r="G15" s="5" t="n">
        <v>4</v>
      </c>
      <c r="H15" s="5" t="n">
        <v>4</v>
      </c>
      <c r="I15" s="5" t="n">
        <v>5</v>
      </c>
      <c r="J15" s="5" t="n">
        <v>5</v>
      </c>
      <c r="K15" s="50"/>
      <c r="L15" s="50"/>
      <c r="M15" s="50"/>
      <c r="N15" s="50"/>
      <c r="O15" s="50"/>
      <c r="P15" s="50"/>
      <c r="Q15" s="50"/>
      <c r="R15" s="50"/>
      <c r="S15" s="50"/>
      <c r="T15" s="50"/>
      <c r="U15" s="50"/>
      <c r="V15" s="50"/>
      <c r="W15" s="50"/>
      <c r="X15" s="50"/>
      <c r="Y15" s="50"/>
      <c r="Z15" s="50"/>
      <c r="AA15" s="50"/>
      <c r="AB15" s="50"/>
    </row>
    <row r="16" customFormat="false" ht="15.75" hidden="false" customHeight="false" outlineLevel="0" collapsed="false">
      <c r="A16" s="50"/>
      <c r="B16" s="50"/>
      <c r="C16" s="5"/>
      <c r="D16" s="48"/>
      <c r="E16" s="52"/>
      <c r="F16" s="5"/>
      <c r="G16" s="5"/>
      <c r="H16" s="5"/>
      <c r="I16" s="5"/>
      <c r="J16" s="5"/>
      <c r="K16" s="50"/>
      <c r="L16" s="50"/>
      <c r="M16" s="50"/>
      <c r="N16" s="50"/>
      <c r="O16" s="50"/>
      <c r="P16" s="50"/>
      <c r="Q16" s="50"/>
      <c r="R16" s="50"/>
      <c r="S16" s="50"/>
      <c r="T16" s="50"/>
      <c r="U16" s="50"/>
      <c r="V16" s="50"/>
      <c r="W16" s="50"/>
      <c r="X16" s="50"/>
      <c r="Y16" s="50"/>
      <c r="Z16" s="50"/>
      <c r="AA16" s="50"/>
      <c r="AB16" s="50"/>
    </row>
    <row r="17" customFormat="false" ht="225" hidden="false" customHeight="true" outlineLevel="0" collapsed="false">
      <c r="A17" s="53" t="s">
        <v>43</v>
      </c>
      <c r="B17" s="54" t="s">
        <v>44</v>
      </c>
      <c r="C17" s="55" t="s">
        <v>18</v>
      </c>
      <c r="D17" s="56" t="s">
        <v>163</v>
      </c>
      <c r="E17" s="88" t="n">
        <f aca="false">IFERROR(__xludf.dummyfunction("COUNTA(SPLIT(D17,"" ""))/COUNTA(SPLIT($B$17,"" ""))"),0.557184750733138)</f>
        <v>0.5571847507</v>
      </c>
      <c r="F17" s="55" t="n">
        <v>5</v>
      </c>
      <c r="G17" s="55" t="n">
        <v>4</v>
      </c>
      <c r="H17" s="55" t="n">
        <v>4</v>
      </c>
      <c r="I17" s="55" t="n">
        <v>4</v>
      </c>
      <c r="J17" s="55" t="n">
        <v>4</v>
      </c>
      <c r="K17" s="58"/>
      <c r="L17" s="58"/>
      <c r="M17" s="58"/>
      <c r="N17" s="58"/>
      <c r="O17" s="58"/>
      <c r="P17" s="58"/>
      <c r="Q17" s="58"/>
      <c r="R17" s="58"/>
      <c r="S17" s="58"/>
      <c r="T17" s="58"/>
      <c r="U17" s="58"/>
      <c r="V17" s="58"/>
      <c r="W17" s="58"/>
      <c r="X17" s="58"/>
      <c r="Y17" s="58"/>
      <c r="Z17" s="58"/>
      <c r="AA17" s="58"/>
      <c r="AB17" s="58"/>
    </row>
    <row r="18" customFormat="false" ht="225" hidden="false" customHeight="true" outlineLevel="0" collapsed="false">
      <c r="A18" s="53"/>
      <c r="B18" s="53"/>
      <c r="C18" s="5" t="s">
        <v>19</v>
      </c>
      <c r="D18" s="48" t="s">
        <v>164</v>
      </c>
      <c r="E18" s="89" t="n">
        <f aca="false">IFERROR(__xludf.dummyfunction("COUNTA(SPLIT(D18,"" ""))/COUNTA(SPLIT($B$17,"" ""))"),0.278592375366569)</f>
        <v>0.2785923754</v>
      </c>
      <c r="F18" s="5" t="n">
        <v>5</v>
      </c>
      <c r="G18" s="5" t="n">
        <v>4</v>
      </c>
      <c r="H18" s="5" t="n">
        <v>4</v>
      </c>
      <c r="I18" s="5" t="n">
        <v>5</v>
      </c>
      <c r="J18" s="5" t="n">
        <v>4</v>
      </c>
      <c r="K18" s="50"/>
      <c r="L18" s="50"/>
      <c r="M18" s="50"/>
      <c r="N18" s="50"/>
      <c r="O18" s="50"/>
      <c r="P18" s="50"/>
      <c r="Q18" s="50"/>
      <c r="R18" s="50"/>
      <c r="S18" s="50"/>
      <c r="T18" s="50"/>
      <c r="U18" s="50"/>
      <c r="V18" s="50"/>
      <c r="W18" s="50"/>
      <c r="X18" s="50"/>
      <c r="Y18" s="50"/>
      <c r="Z18" s="50"/>
      <c r="AA18" s="50"/>
      <c r="AB18" s="50"/>
    </row>
    <row r="19" customFormat="false" ht="225" hidden="false" customHeight="true" outlineLevel="0" collapsed="false">
      <c r="A19" s="53"/>
      <c r="B19" s="53"/>
      <c r="C19" s="5" t="s">
        <v>8</v>
      </c>
      <c r="D19" s="48" t="s">
        <v>165</v>
      </c>
      <c r="E19" s="85" t="n">
        <f aca="false">IFERROR(__xludf.dummyfunction("COUNTA(SPLIT(D19,"" ""))/COUNTA(SPLIT($B$17,"" ""))"),0.642228739002933)</f>
        <v>0.642228739</v>
      </c>
      <c r="F19" s="5" t="n">
        <v>2</v>
      </c>
      <c r="G19" s="5" t="n">
        <v>4</v>
      </c>
      <c r="H19" s="5" t="n">
        <v>4</v>
      </c>
      <c r="I19" s="5" t="n">
        <v>4</v>
      </c>
      <c r="J19" s="5" t="n">
        <v>5</v>
      </c>
      <c r="K19" s="50"/>
      <c r="L19" s="50"/>
      <c r="M19" s="50"/>
      <c r="N19" s="50"/>
      <c r="O19" s="50"/>
      <c r="P19" s="50"/>
      <c r="Q19" s="50"/>
      <c r="R19" s="50"/>
      <c r="S19" s="50"/>
      <c r="T19" s="50"/>
      <c r="U19" s="50"/>
      <c r="V19" s="50"/>
      <c r="W19" s="50"/>
      <c r="X19" s="50"/>
      <c r="Y19" s="50"/>
      <c r="Z19" s="50"/>
      <c r="AA19" s="50"/>
      <c r="AB19" s="50"/>
    </row>
    <row r="20" customFormat="false" ht="225" hidden="false" customHeight="true" outlineLevel="0" collapsed="false">
      <c r="A20" s="53"/>
      <c r="B20" s="53"/>
      <c r="C20" s="5" t="s">
        <v>20</v>
      </c>
      <c r="D20" s="48" t="s">
        <v>166</v>
      </c>
      <c r="E20" s="90" t="n">
        <f aca="false">IFERROR(__xludf.dummyfunction("COUNTA(SPLIT(D20,"" ""))/COUNTA(SPLIT($B$17,"" ""))"),0.275659824046921)</f>
        <v>0.275659824</v>
      </c>
      <c r="F20" s="5" t="n">
        <v>3</v>
      </c>
      <c r="G20" s="5" t="n">
        <v>5</v>
      </c>
      <c r="H20" s="5" t="n">
        <v>4</v>
      </c>
      <c r="I20" s="5" t="n">
        <v>5</v>
      </c>
      <c r="J20" s="5" t="n">
        <v>4</v>
      </c>
      <c r="K20" s="50"/>
      <c r="L20" s="50"/>
      <c r="M20" s="50"/>
      <c r="N20" s="50"/>
      <c r="O20" s="50"/>
      <c r="P20" s="50"/>
      <c r="Q20" s="50"/>
      <c r="R20" s="50"/>
      <c r="S20" s="50"/>
      <c r="T20" s="50"/>
      <c r="U20" s="50"/>
      <c r="V20" s="50"/>
      <c r="W20" s="50"/>
      <c r="X20" s="50"/>
      <c r="Y20" s="50"/>
      <c r="Z20" s="50"/>
      <c r="AA20" s="50"/>
      <c r="AB20" s="50"/>
    </row>
    <row r="21" customFormat="false" ht="15.75" hidden="false" customHeight="false" outlineLevel="0" collapsed="false">
      <c r="A21" s="50"/>
      <c r="B21" s="50"/>
      <c r="C21" s="5"/>
      <c r="D21" s="48"/>
      <c r="E21" s="52"/>
      <c r="F21" s="5"/>
      <c r="G21" s="5"/>
      <c r="H21" s="5"/>
      <c r="I21" s="5"/>
      <c r="J21" s="5"/>
      <c r="K21" s="50"/>
      <c r="L21" s="50"/>
      <c r="M21" s="50"/>
      <c r="N21" s="50"/>
      <c r="O21" s="50"/>
      <c r="P21" s="50"/>
      <c r="Q21" s="50"/>
      <c r="R21" s="50"/>
      <c r="S21" s="50"/>
      <c r="T21" s="50"/>
      <c r="U21" s="50"/>
      <c r="V21" s="50"/>
      <c r="W21" s="50"/>
      <c r="X21" s="50"/>
      <c r="Y21" s="50"/>
      <c r="Z21" s="50"/>
      <c r="AA21" s="50"/>
      <c r="AB21" s="50"/>
    </row>
    <row r="22" customFormat="false" ht="225" hidden="false" customHeight="true" outlineLevel="0" collapsed="false">
      <c r="A22" s="53" t="s">
        <v>47</v>
      </c>
      <c r="B22" s="54" t="s">
        <v>48</v>
      </c>
      <c r="C22" s="55" t="s">
        <v>18</v>
      </c>
      <c r="D22" s="56" t="s">
        <v>167</v>
      </c>
      <c r="E22" s="91" t="n">
        <f aca="false">IFERROR(__xludf.dummyfunction("COUNTA(SPLIT(D22,"" ""))/COUNTA(SPLIT($B$22,"" ""))"),0.874371859296482)</f>
        <v>0.8743718593</v>
      </c>
      <c r="F22" s="55" t="n">
        <v>5</v>
      </c>
      <c r="G22" s="55" t="n">
        <v>5</v>
      </c>
      <c r="H22" s="55" t="n">
        <v>4</v>
      </c>
      <c r="I22" s="55" t="n">
        <v>2</v>
      </c>
      <c r="J22" s="55" t="n">
        <v>5</v>
      </c>
      <c r="K22" s="58"/>
      <c r="L22" s="58"/>
      <c r="M22" s="58"/>
      <c r="N22" s="58"/>
      <c r="O22" s="58"/>
      <c r="P22" s="58"/>
      <c r="Q22" s="58"/>
      <c r="R22" s="58"/>
      <c r="S22" s="58"/>
      <c r="T22" s="58"/>
      <c r="U22" s="58"/>
      <c r="V22" s="58"/>
      <c r="W22" s="58"/>
      <c r="X22" s="58"/>
      <c r="Y22" s="58"/>
      <c r="Z22" s="58"/>
      <c r="AA22" s="58"/>
      <c r="AB22" s="58"/>
    </row>
    <row r="23" customFormat="false" ht="225" hidden="false" customHeight="true" outlineLevel="0" collapsed="false">
      <c r="A23" s="53"/>
      <c r="B23" s="53"/>
      <c r="C23" s="5" t="s">
        <v>19</v>
      </c>
      <c r="D23" s="48" t="s">
        <v>168</v>
      </c>
      <c r="E23" s="92" t="n">
        <f aca="false">IFERROR(__xludf.dummyfunction("COUNTA(SPLIT(D23,"" ""))/COUNTA(SPLIT($B$22,"" ""))"),0.14572864321608)</f>
        <v>0.1457286432</v>
      </c>
      <c r="F23" s="5" t="n">
        <v>4</v>
      </c>
      <c r="G23" s="5" t="n">
        <v>5</v>
      </c>
      <c r="H23" s="5" t="n">
        <v>5</v>
      </c>
      <c r="I23" s="5" t="n">
        <v>4</v>
      </c>
      <c r="J23" s="5" t="n">
        <v>3</v>
      </c>
      <c r="K23" s="50"/>
      <c r="L23" s="50"/>
      <c r="M23" s="50"/>
      <c r="N23" s="50"/>
      <c r="O23" s="50"/>
      <c r="P23" s="50"/>
      <c r="Q23" s="50"/>
      <c r="R23" s="50"/>
      <c r="S23" s="50"/>
      <c r="T23" s="50"/>
      <c r="U23" s="50"/>
      <c r="V23" s="50"/>
      <c r="W23" s="50"/>
      <c r="X23" s="50"/>
      <c r="Y23" s="50"/>
      <c r="Z23" s="50"/>
      <c r="AA23" s="50"/>
      <c r="AB23" s="50"/>
    </row>
    <row r="24" customFormat="false" ht="225" hidden="false" customHeight="true" outlineLevel="0" collapsed="false">
      <c r="A24" s="53"/>
      <c r="B24" s="53"/>
      <c r="C24" s="5" t="s">
        <v>8</v>
      </c>
      <c r="D24" s="48" t="s">
        <v>169</v>
      </c>
      <c r="E24" s="93" t="n">
        <f aca="false">IFERROR(__xludf.dummyfunction("COUNTA(SPLIT(D24,"" ""))/COUNTA(SPLIT($B$22,"" ""))"),0.309045226130653)</f>
        <v>0.3090452261</v>
      </c>
      <c r="F24" s="5" t="n">
        <v>2</v>
      </c>
      <c r="G24" s="5" t="n">
        <v>5</v>
      </c>
      <c r="H24" s="5" t="n">
        <v>5</v>
      </c>
      <c r="I24" s="5" t="n">
        <v>4</v>
      </c>
      <c r="J24" s="5" t="n">
        <v>5</v>
      </c>
      <c r="K24" s="50"/>
      <c r="L24" s="50"/>
      <c r="M24" s="50"/>
      <c r="N24" s="50"/>
      <c r="O24" s="50"/>
      <c r="P24" s="50"/>
      <c r="Q24" s="50"/>
      <c r="R24" s="50"/>
      <c r="S24" s="50"/>
      <c r="T24" s="50"/>
      <c r="U24" s="50"/>
      <c r="V24" s="50"/>
      <c r="W24" s="50"/>
      <c r="X24" s="50"/>
      <c r="Y24" s="50"/>
      <c r="Z24" s="50"/>
      <c r="AA24" s="50"/>
      <c r="AB24" s="50"/>
    </row>
    <row r="25" customFormat="false" ht="225" hidden="false" customHeight="true" outlineLevel="0" collapsed="false">
      <c r="A25" s="53"/>
      <c r="B25" s="53"/>
      <c r="C25" s="5" t="s">
        <v>20</v>
      </c>
      <c r="D25" s="48" t="s">
        <v>170</v>
      </c>
      <c r="E25" s="69" t="n">
        <f aca="false">IFERROR(__xludf.dummyfunction("COUNTA(SPLIT(D25,"" ""))/COUNTA(SPLIT($B$22,"" ""))"),0.165829145728643)</f>
        <v>0.1658291457</v>
      </c>
      <c r="F25" s="5" t="n">
        <v>5</v>
      </c>
      <c r="G25" s="5" t="n">
        <v>5</v>
      </c>
      <c r="H25" s="5" t="n">
        <v>5</v>
      </c>
      <c r="I25" s="5" t="n">
        <v>5</v>
      </c>
      <c r="J25" s="5" t="n">
        <v>5</v>
      </c>
      <c r="K25" s="50"/>
      <c r="L25" s="50"/>
      <c r="M25" s="50"/>
      <c r="N25" s="50"/>
      <c r="O25" s="50"/>
      <c r="P25" s="50"/>
      <c r="Q25" s="50"/>
      <c r="R25" s="50"/>
      <c r="S25" s="50"/>
      <c r="T25" s="50"/>
      <c r="U25" s="50"/>
      <c r="V25" s="50"/>
      <c r="W25" s="50"/>
      <c r="X25" s="50"/>
      <c r="Y25" s="50"/>
      <c r="Z25" s="50"/>
      <c r="AA25" s="50"/>
      <c r="AB25" s="50"/>
    </row>
    <row r="26" customFormat="false" ht="15.75" hidden="false" customHeight="false" outlineLevel="0" collapsed="false">
      <c r="A26" s="50"/>
      <c r="B26" s="50"/>
      <c r="C26" s="5"/>
      <c r="D26" s="48"/>
      <c r="E26" s="52"/>
      <c r="F26" s="5"/>
      <c r="G26" s="5"/>
      <c r="H26" s="5"/>
      <c r="I26" s="5"/>
      <c r="J26" s="5"/>
      <c r="K26" s="50"/>
      <c r="L26" s="50"/>
      <c r="M26" s="50"/>
      <c r="N26" s="50"/>
      <c r="O26" s="50"/>
      <c r="P26" s="50"/>
      <c r="Q26" s="50"/>
      <c r="R26" s="50"/>
      <c r="S26" s="50"/>
      <c r="T26" s="50"/>
      <c r="U26" s="50"/>
      <c r="V26" s="50"/>
      <c r="W26" s="50"/>
      <c r="X26" s="50"/>
      <c r="Y26" s="50"/>
      <c r="Z26" s="50"/>
      <c r="AA26" s="50"/>
      <c r="AB26" s="50"/>
    </row>
    <row r="27" customFormat="false" ht="225" hidden="false" customHeight="true" outlineLevel="0" collapsed="false">
      <c r="A27" s="53" t="s">
        <v>51</v>
      </c>
      <c r="B27" s="54" t="s">
        <v>52</v>
      </c>
      <c r="C27" s="55" t="s">
        <v>18</v>
      </c>
      <c r="D27" s="56" t="s">
        <v>171</v>
      </c>
      <c r="E27" s="95" t="n">
        <f aca="false">IFERROR(__xludf.dummyfunction("COUNTA(SPLIT(D27,"" ""))/COUNTA(SPLIT($B$27,"" ""))"),0.659824046920821)</f>
        <v>0.6598240469</v>
      </c>
      <c r="F27" s="55" t="n">
        <v>3</v>
      </c>
      <c r="G27" s="55" t="n">
        <v>3</v>
      </c>
      <c r="H27" s="55" t="n">
        <v>4</v>
      </c>
      <c r="I27" s="55" t="n">
        <v>3</v>
      </c>
      <c r="J27" s="55" t="n">
        <v>4</v>
      </c>
      <c r="K27" s="58"/>
      <c r="L27" s="58"/>
      <c r="M27" s="58"/>
      <c r="N27" s="58"/>
      <c r="O27" s="58"/>
      <c r="P27" s="58"/>
      <c r="Q27" s="58"/>
      <c r="R27" s="58"/>
      <c r="S27" s="58"/>
      <c r="T27" s="58"/>
      <c r="U27" s="58"/>
      <c r="V27" s="58"/>
      <c r="W27" s="58"/>
      <c r="X27" s="58"/>
      <c r="Y27" s="58"/>
      <c r="Z27" s="58"/>
      <c r="AA27" s="58"/>
      <c r="AB27" s="58"/>
    </row>
    <row r="28" customFormat="false" ht="225" hidden="false" customHeight="true" outlineLevel="0" collapsed="false">
      <c r="A28" s="53"/>
      <c r="B28" s="53"/>
      <c r="C28" s="5" t="s">
        <v>19</v>
      </c>
      <c r="D28" s="48" t="s">
        <v>172</v>
      </c>
      <c r="E28" s="96" t="n">
        <f aca="false">IFERROR(__xludf.dummyfunction("COUNTA(SPLIT(D28,"" ""))/COUNTA(SPLIT($B$27,"" ""))"),0.348973607038123)</f>
        <v>0.348973607</v>
      </c>
      <c r="F28" s="5" t="n">
        <v>3</v>
      </c>
      <c r="G28" s="5" t="n">
        <v>4</v>
      </c>
      <c r="H28" s="5" t="n">
        <v>4</v>
      </c>
      <c r="I28" s="5" t="n">
        <v>4</v>
      </c>
      <c r="J28" s="5" t="n">
        <v>4</v>
      </c>
      <c r="K28" s="50"/>
      <c r="L28" s="50"/>
      <c r="M28" s="50"/>
      <c r="N28" s="50"/>
      <c r="O28" s="50"/>
      <c r="P28" s="50"/>
      <c r="Q28" s="50"/>
      <c r="R28" s="50"/>
      <c r="S28" s="50"/>
      <c r="T28" s="50"/>
      <c r="U28" s="50"/>
      <c r="V28" s="50"/>
      <c r="W28" s="50"/>
      <c r="X28" s="50"/>
      <c r="Y28" s="50"/>
      <c r="Z28" s="50"/>
      <c r="AA28" s="50"/>
      <c r="AB28" s="50"/>
    </row>
    <row r="29" customFormat="false" ht="225" hidden="false" customHeight="true" outlineLevel="0" collapsed="false">
      <c r="A29" s="53"/>
      <c r="B29" s="53"/>
      <c r="C29" s="5" t="s">
        <v>8</v>
      </c>
      <c r="D29" s="48" t="s">
        <v>173</v>
      </c>
      <c r="E29" s="90" t="n">
        <f aca="false">IFERROR(__xludf.dummyfunction("COUNTA(SPLIT(D29,"" ""))/COUNTA(SPLIT($B$27,"" ""))"),0.401759530791789)</f>
        <v>0.4017595308</v>
      </c>
      <c r="F29" s="5" t="n">
        <v>3</v>
      </c>
      <c r="G29" s="5" t="n">
        <v>4</v>
      </c>
      <c r="H29" s="5" t="n">
        <v>4</v>
      </c>
      <c r="I29" s="5" t="n">
        <v>4</v>
      </c>
      <c r="J29" s="5" t="n">
        <v>5</v>
      </c>
      <c r="K29" s="50"/>
      <c r="L29" s="50"/>
      <c r="M29" s="50"/>
      <c r="N29" s="50"/>
      <c r="O29" s="50"/>
      <c r="P29" s="50"/>
      <c r="Q29" s="50"/>
      <c r="R29" s="50"/>
      <c r="S29" s="50"/>
      <c r="T29" s="50"/>
      <c r="U29" s="50"/>
      <c r="V29" s="50"/>
      <c r="W29" s="50"/>
      <c r="X29" s="50"/>
      <c r="Y29" s="50"/>
      <c r="Z29" s="50"/>
      <c r="AA29" s="50"/>
      <c r="AB29" s="50"/>
    </row>
    <row r="30" customFormat="false" ht="225" hidden="false" customHeight="true" outlineLevel="0" collapsed="false">
      <c r="A30" s="53"/>
      <c r="B30" s="53"/>
      <c r="C30" s="5" t="s">
        <v>20</v>
      </c>
      <c r="D30" s="48" t="s">
        <v>174</v>
      </c>
      <c r="E30" s="97" t="n">
        <f aca="false">IFERROR(__xludf.dummyfunction("COUNTA(SPLIT(D30,"" ""))/COUNTA(SPLIT($B$27,"" ""))"),0.208211143695015)</f>
        <v>0.2082111437</v>
      </c>
      <c r="F30" s="5" t="n">
        <v>4</v>
      </c>
      <c r="G30" s="5" t="n">
        <v>4</v>
      </c>
      <c r="H30" s="5" t="n">
        <v>5</v>
      </c>
      <c r="I30" s="5" t="n">
        <v>5</v>
      </c>
      <c r="J30" s="5" t="n">
        <v>5</v>
      </c>
      <c r="K30" s="50"/>
      <c r="L30" s="50"/>
      <c r="M30" s="50"/>
      <c r="N30" s="50"/>
      <c r="O30" s="50"/>
      <c r="P30" s="50"/>
      <c r="Q30" s="50"/>
      <c r="R30" s="50"/>
      <c r="S30" s="50"/>
      <c r="T30" s="50"/>
      <c r="U30" s="50"/>
      <c r="V30" s="50"/>
      <c r="W30" s="50"/>
      <c r="X30" s="50"/>
      <c r="Y30" s="50"/>
      <c r="Z30" s="50"/>
      <c r="AA30" s="50"/>
      <c r="AB30" s="50"/>
    </row>
    <row r="31" customFormat="false" ht="15.75" hidden="false" customHeight="false" outlineLevel="0" collapsed="false">
      <c r="A31" s="50"/>
      <c r="B31" s="50"/>
      <c r="C31" s="5"/>
      <c r="D31" s="48"/>
      <c r="E31" s="52"/>
      <c r="F31" s="5"/>
      <c r="G31" s="5"/>
      <c r="H31" s="5"/>
      <c r="I31" s="5"/>
      <c r="J31" s="5"/>
      <c r="K31" s="50"/>
      <c r="L31" s="50"/>
      <c r="M31" s="50"/>
      <c r="N31" s="50"/>
      <c r="O31" s="50"/>
      <c r="P31" s="50"/>
      <c r="Q31" s="50"/>
      <c r="R31" s="50"/>
      <c r="S31" s="50"/>
      <c r="T31" s="50"/>
      <c r="U31" s="50"/>
      <c r="V31" s="50"/>
      <c r="W31" s="50"/>
      <c r="X31" s="50"/>
      <c r="Y31" s="50"/>
      <c r="Z31" s="50"/>
      <c r="AA31" s="50"/>
      <c r="AB31" s="50"/>
    </row>
    <row r="32" customFormat="false" ht="225" hidden="false" customHeight="true" outlineLevel="0" collapsed="false">
      <c r="A32" s="53" t="s">
        <v>55</v>
      </c>
      <c r="B32" s="54" t="s">
        <v>56</v>
      </c>
      <c r="C32" s="55" t="s">
        <v>18</v>
      </c>
      <c r="D32" s="56" t="s">
        <v>175</v>
      </c>
      <c r="E32" s="68" t="n">
        <f aca="false">IFERROR(__xludf.dummyfunction("COUNTA(SPLIT(D32,"" ""))/COUNTA(SPLIT($B$32,"" ""))"),0.322525597269625)</f>
        <v>0.3225255973</v>
      </c>
      <c r="F32" s="55" t="n">
        <v>3</v>
      </c>
      <c r="G32" s="55" t="n">
        <v>4</v>
      </c>
      <c r="H32" s="55" t="n">
        <v>4</v>
      </c>
      <c r="I32" s="55" t="n">
        <v>4</v>
      </c>
      <c r="J32" s="55" t="n">
        <v>5</v>
      </c>
      <c r="K32" s="58"/>
      <c r="L32" s="58"/>
      <c r="M32" s="58"/>
      <c r="N32" s="58"/>
      <c r="O32" s="58"/>
      <c r="P32" s="58"/>
      <c r="Q32" s="58"/>
      <c r="R32" s="58"/>
      <c r="S32" s="58"/>
      <c r="T32" s="58"/>
      <c r="U32" s="58"/>
      <c r="V32" s="58"/>
      <c r="W32" s="58"/>
      <c r="X32" s="58"/>
      <c r="Y32" s="58"/>
      <c r="Z32" s="58"/>
      <c r="AA32" s="58"/>
      <c r="AB32" s="58"/>
    </row>
    <row r="33" customFormat="false" ht="225" hidden="false" customHeight="true" outlineLevel="0" collapsed="false">
      <c r="A33" s="53"/>
      <c r="B33" s="53"/>
      <c r="C33" s="5" t="s">
        <v>19</v>
      </c>
      <c r="D33" s="48" t="s">
        <v>176</v>
      </c>
      <c r="E33" s="98" t="n">
        <f aca="false">IFERROR(__xludf.dummyfunction("COUNTA(SPLIT(D33,"" ""))/COUNTA(SPLIT($B$32,"" ""))"),0.117747440273038)</f>
        <v>0.1177474403</v>
      </c>
      <c r="F33" s="5" t="n">
        <v>5</v>
      </c>
      <c r="G33" s="5" t="n">
        <v>5</v>
      </c>
      <c r="H33" s="5" t="n">
        <v>4</v>
      </c>
      <c r="I33" s="5" t="n">
        <v>5</v>
      </c>
      <c r="J33" s="5" t="n">
        <v>4</v>
      </c>
      <c r="K33" s="50"/>
      <c r="L33" s="50"/>
      <c r="M33" s="50"/>
      <c r="N33" s="50"/>
      <c r="O33" s="50"/>
      <c r="P33" s="50"/>
      <c r="Q33" s="50"/>
      <c r="R33" s="50"/>
      <c r="S33" s="50"/>
      <c r="T33" s="50"/>
      <c r="U33" s="50"/>
      <c r="V33" s="50"/>
      <c r="W33" s="50"/>
      <c r="X33" s="50"/>
      <c r="Y33" s="50"/>
      <c r="Z33" s="50"/>
      <c r="AA33" s="50"/>
      <c r="AB33" s="50"/>
    </row>
    <row r="34" customFormat="false" ht="225" hidden="false" customHeight="true" outlineLevel="0" collapsed="false">
      <c r="A34" s="53"/>
      <c r="B34" s="65"/>
      <c r="C34" s="5" t="s">
        <v>8</v>
      </c>
      <c r="D34" s="48" t="s">
        <v>177</v>
      </c>
      <c r="E34" s="99" t="n">
        <f aca="false">IFERROR(__xludf.dummyfunction("COUNTA(SPLIT(D34,"" ""))/COUNTA(SPLIT($B$32,"" ""))"),0.298634812286689)</f>
        <v>0.2986348123</v>
      </c>
      <c r="F34" s="5" t="n">
        <v>2</v>
      </c>
      <c r="G34" s="5" t="n">
        <v>5</v>
      </c>
      <c r="H34" s="5" t="n">
        <v>5</v>
      </c>
      <c r="I34" s="5" t="n">
        <v>4</v>
      </c>
      <c r="J34" s="5" t="n">
        <v>5</v>
      </c>
      <c r="K34" s="50"/>
      <c r="L34" s="50"/>
      <c r="M34" s="50"/>
      <c r="N34" s="50"/>
      <c r="O34" s="50"/>
      <c r="P34" s="50"/>
      <c r="Q34" s="50"/>
      <c r="R34" s="50"/>
      <c r="S34" s="50"/>
      <c r="T34" s="50"/>
      <c r="U34" s="50"/>
      <c r="V34" s="50"/>
      <c r="W34" s="50"/>
      <c r="X34" s="50"/>
      <c r="Y34" s="50"/>
      <c r="Z34" s="50"/>
      <c r="AA34" s="50"/>
      <c r="AB34" s="50"/>
    </row>
    <row r="35" customFormat="false" ht="225" hidden="false" customHeight="true" outlineLevel="0" collapsed="false">
      <c r="A35" s="53"/>
      <c r="B35" s="65"/>
      <c r="C35" s="5" t="s">
        <v>20</v>
      </c>
      <c r="D35" s="48" t="s">
        <v>178</v>
      </c>
      <c r="E35" s="63" t="n">
        <f aca="false">IFERROR(__xludf.dummyfunction("COUNTA(SPLIT(D35,"" ""))/COUNTA(SPLIT($B$32,"" ""))"),0.160409556313993)</f>
        <v>0.1604095563</v>
      </c>
      <c r="F35" s="5" t="n">
        <v>5</v>
      </c>
      <c r="G35" s="5" t="n">
        <v>5</v>
      </c>
      <c r="H35" s="5" t="n">
        <v>5</v>
      </c>
      <c r="I35" s="5" t="n">
        <v>5</v>
      </c>
      <c r="J35" s="5" t="n">
        <v>5</v>
      </c>
      <c r="K35" s="50"/>
      <c r="L35" s="50"/>
      <c r="M35" s="50"/>
      <c r="N35" s="50"/>
      <c r="O35" s="50"/>
      <c r="P35" s="50"/>
      <c r="Q35" s="50"/>
      <c r="R35" s="50"/>
      <c r="S35" s="50"/>
      <c r="T35" s="50"/>
      <c r="U35" s="50"/>
      <c r="V35" s="50"/>
      <c r="W35" s="50"/>
      <c r="X35" s="50"/>
      <c r="Y35" s="50"/>
      <c r="Z35" s="50"/>
      <c r="AA35" s="50"/>
      <c r="AB35" s="50"/>
    </row>
    <row r="36" customFormat="false" ht="15.75" hidden="false" customHeight="false" outlineLevel="0" collapsed="false">
      <c r="A36" s="50"/>
      <c r="B36" s="50"/>
      <c r="C36" s="5"/>
      <c r="D36" s="48"/>
      <c r="E36" s="52"/>
      <c r="F36" s="5"/>
      <c r="G36" s="5"/>
      <c r="H36" s="5"/>
      <c r="I36" s="5"/>
      <c r="J36" s="5"/>
      <c r="K36" s="50"/>
      <c r="L36" s="50"/>
      <c r="M36" s="50"/>
      <c r="N36" s="50"/>
      <c r="O36" s="50"/>
      <c r="P36" s="50"/>
      <c r="Q36" s="50"/>
      <c r="R36" s="50"/>
      <c r="S36" s="50"/>
      <c r="T36" s="50"/>
      <c r="U36" s="50"/>
      <c r="V36" s="50"/>
      <c r="W36" s="50"/>
      <c r="X36" s="50"/>
      <c r="Y36" s="50"/>
      <c r="Z36" s="50"/>
      <c r="AA36" s="50"/>
      <c r="AB36" s="50"/>
    </row>
    <row r="37" customFormat="false" ht="225" hidden="false" customHeight="true" outlineLevel="0" collapsed="false">
      <c r="A37" s="53" t="s">
        <v>59</v>
      </c>
      <c r="B37" s="54" t="s">
        <v>60</v>
      </c>
      <c r="C37" s="55" t="s">
        <v>18</v>
      </c>
      <c r="D37" s="56" t="s">
        <v>179</v>
      </c>
      <c r="E37" s="78" t="n">
        <f aca="false">IFERROR(__xludf.dummyfunction("COUNTA(SPLIT(D37,"" ""))/COUNTA(SPLIT($B$37,"" ""))"),0.388739946380697)</f>
        <v>0.3887399464</v>
      </c>
      <c r="F37" s="55" t="n">
        <v>4</v>
      </c>
      <c r="G37" s="55" t="n">
        <v>4</v>
      </c>
      <c r="H37" s="55" t="n">
        <v>4</v>
      </c>
      <c r="I37" s="55" t="n">
        <v>4</v>
      </c>
      <c r="J37" s="55" t="n">
        <v>5</v>
      </c>
      <c r="K37" s="58"/>
      <c r="L37" s="58"/>
      <c r="M37" s="58"/>
      <c r="N37" s="58"/>
      <c r="O37" s="58"/>
      <c r="P37" s="58"/>
      <c r="Q37" s="58"/>
      <c r="R37" s="58"/>
      <c r="S37" s="58"/>
      <c r="T37" s="58"/>
      <c r="U37" s="58"/>
      <c r="V37" s="58"/>
      <c r="W37" s="58"/>
      <c r="X37" s="58"/>
      <c r="Y37" s="58"/>
      <c r="Z37" s="58"/>
      <c r="AA37" s="58"/>
      <c r="AB37" s="58"/>
    </row>
    <row r="38" customFormat="false" ht="225" hidden="false" customHeight="true" outlineLevel="0" collapsed="false">
      <c r="A38" s="53"/>
      <c r="B38" s="53"/>
      <c r="C38" s="5" t="s">
        <v>19</v>
      </c>
      <c r="D38" s="48" t="s">
        <v>180</v>
      </c>
      <c r="E38" s="100" t="n">
        <f aca="false">IFERROR(__xludf.dummyfunction("COUNTA(SPLIT(D38,"" ""))/COUNTA(SPLIT($B$37,"" ""))"),0.193029490616622)</f>
        <v>0.1930294906</v>
      </c>
      <c r="F38" s="5" t="n">
        <v>4</v>
      </c>
      <c r="G38" s="5" t="n">
        <v>4</v>
      </c>
      <c r="H38" s="5" t="n">
        <v>5</v>
      </c>
      <c r="I38" s="5" t="n">
        <v>5</v>
      </c>
      <c r="J38" s="5" t="n">
        <v>4</v>
      </c>
      <c r="K38" s="50"/>
      <c r="L38" s="50"/>
      <c r="M38" s="50"/>
      <c r="N38" s="50"/>
      <c r="O38" s="50"/>
      <c r="P38" s="50"/>
      <c r="Q38" s="50"/>
      <c r="R38" s="50"/>
      <c r="S38" s="50"/>
      <c r="T38" s="50"/>
      <c r="U38" s="50"/>
      <c r="V38" s="50"/>
      <c r="W38" s="50"/>
      <c r="X38" s="50"/>
      <c r="Y38" s="50"/>
      <c r="Z38" s="50"/>
      <c r="AA38" s="50"/>
      <c r="AB38" s="50"/>
    </row>
    <row r="39" customFormat="false" ht="225" hidden="false" customHeight="true" outlineLevel="0" collapsed="false">
      <c r="A39" s="53"/>
      <c r="B39" s="53"/>
      <c r="C39" s="5" t="s">
        <v>8</v>
      </c>
      <c r="D39" s="48" t="s">
        <v>181</v>
      </c>
      <c r="E39" s="87" t="n">
        <f aca="false">IFERROR(__xludf.dummyfunction("COUNTA(SPLIT(D39,"" ""))/COUNTA(SPLIT($B$37,"" ""))"),0.710455764075067)</f>
        <v>0.7104557641</v>
      </c>
      <c r="F39" s="5" t="n">
        <v>2</v>
      </c>
      <c r="G39" s="5" t="n">
        <v>5</v>
      </c>
      <c r="H39" s="5" t="n">
        <v>5</v>
      </c>
      <c r="I39" s="5" t="n">
        <v>4</v>
      </c>
      <c r="J39" s="5" t="n">
        <v>5</v>
      </c>
      <c r="K39" s="50"/>
      <c r="L39" s="50"/>
      <c r="M39" s="50"/>
      <c r="N39" s="50"/>
      <c r="O39" s="50"/>
      <c r="P39" s="50"/>
      <c r="Q39" s="50"/>
      <c r="R39" s="50"/>
      <c r="S39" s="50"/>
      <c r="T39" s="50"/>
      <c r="U39" s="50"/>
      <c r="V39" s="50"/>
      <c r="W39" s="50"/>
      <c r="X39" s="50"/>
      <c r="Y39" s="50"/>
      <c r="Z39" s="50"/>
      <c r="AA39" s="50"/>
      <c r="AB39" s="50"/>
    </row>
    <row r="40" customFormat="false" ht="225" hidden="false" customHeight="true" outlineLevel="0" collapsed="false">
      <c r="A40" s="53"/>
      <c r="B40" s="53"/>
      <c r="C40" s="5" t="s">
        <v>20</v>
      </c>
      <c r="D40" s="48" t="s">
        <v>182</v>
      </c>
      <c r="E40" s="80" t="n">
        <f aca="false">IFERROR(__xludf.dummyfunction("COUNTA(SPLIT(D40,"" ""))/COUNTA(SPLIT($B$37,"" ""))"),0.302949061662198)</f>
        <v>0.3029490617</v>
      </c>
      <c r="F40" s="5" t="n">
        <v>4</v>
      </c>
      <c r="G40" s="5" t="n">
        <v>5</v>
      </c>
      <c r="H40" s="5" t="n">
        <v>4</v>
      </c>
      <c r="I40" s="5" t="n">
        <v>5</v>
      </c>
      <c r="J40" s="5" t="n">
        <v>4</v>
      </c>
      <c r="K40" s="50"/>
      <c r="L40" s="50"/>
      <c r="M40" s="50"/>
      <c r="N40" s="50"/>
      <c r="O40" s="50"/>
      <c r="P40" s="50"/>
      <c r="Q40" s="50"/>
      <c r="R40" s="50"/>
      <c r="S40" s="50"/>
      <c r="T40" s="50"/>
      <c r="U40" s="50"/>
      <c r="V40" s="50"/>
      <c r="W40" s="50"/>
      <c r="X40" s="50"/>
      <c r="Y40" s="50"/>
      <c r="Z40" s="50"/>
      <c r="AA40" s="50"/>
      <c r="AB40" s="50"/>
    </row>
    <row r="41" customFormat="false" ht="15.75" hidden="false" customHeight="false" outlineLevel="0" collapsed="false">
      <c r="A41" s="50"/>
      <c r="B41" s="50"/>
      <c r="C41" s="5"/>
      <c r="D41" s="48"/>
      <c r="E41" s="52"/>
      <c r="F41" s="5"/>
      <c r="G41" s="5"/>
      <c r="H41" s="5"/>
      <c r="I41" s="5"/>
      <c r="J41" s="5"/>
      <c r="K41" s="50"/>
      <c r="L41" s="50"/>
      <c r="M41" s="50"/>
      <c r="N41" s="50"/>
      <c r="O41" s="50"/>
      <c r="P41" s="50"/>
      <c r="Q41" s="50"/>
      <c r="R41" s="50"/>
      <c r="S41" s="50"/>
      <c r="T41" s="50"/>
      <c r="U41" s="50"/>
      <c r="V41" s="50"/>
      <c r="W41" s="50"/>
      <c r="X41" s="50"/>
      <c r="Y41" s="50"/>
      <c r="Z41" s="50"/>
      <c r="AA41" s="50"/>
      <c r="AB41" s="50"/>
    </row>
    <row r="42" customFormat="false" ht="225" hidden="false" customHeight="true" outlineLevel="0" collapsed="false">
      <c r="A42" s="53" t="s">
        <v>63</v>
      </c>
      <c r="B42" s="54" t="s">
        <v>64</v>
      </c>
      <c r="C42" s="55" t="s">
        <v>18</v>
      </c>
      <c r="D42" s="56" t="s">
        <v>183</v>
      </c>
      <c r="E42" s="78" t="n">
        <f aca="false">IFERROR(__xludf.dummyfunction("COUNTA(SPLIT(D42,"" ""))/COUNTA(SPLIT($B$42,"" ""))"),0.985849056603774)</f>
        <v>0.9858490566</v>
      </c>
      <c r="F42" s="55" t="n">
        <v>5</v>
      </c>
      <c r="G42" s="55" t="n">
        <v>5</v>
      </c>
      <c r="H42" s="55" t="n">
        <v>5</v>
      </c>
      <c r="I42" s="55" t="n">
        <v>1</v>
      </c>
      <c r="J42" s="55" t="n">
        <v>5</v>
      </c>
      <c r="K42" s="58"/>
      <c r="L42" s="58"/>
      <c r="M42" s="58"/>
      <c r="N42" s="58"/>
      <c r="O42" s="58"/>
      <c r="P42" s="58"/>
      <c r="Q42" s="58"/>
      <c r="R42" s="58"/>
      <c r="S42" s="58"/>
      <c r="T42" s="58"/>
      <c r="U42" s="58"/>
      <c r="V42" s="58"/>
      <c r="W42" s="58"/>
      <c r="X42" s="58"/>
      <c r="Y42" s="58"/>
      <c r="Z42" s="58"/>
      <c r="AA42" s="58"/>
      <c r="AB42" s="58"/>
    </row>
    <row r="43" customFormat="false" ht="225" hidden="false" customHeight="true" outlineLevel="0" collapsed="false">
      <c r="A43" s="53"/>
      <c r="B43" s="53"/>
      <c r="C43" s="5" t="s">
        <v>19</v>
      </c>
      <c r="D43" s="48" t="s">
        <v>184</v>
      </c>
      <c r="E43" s="78" t="n">
        <f aca="false">IFERROR(__xludf.dummyfunction("COUNTA(SPLIT(D43,"" ""))/COUNTA(SPLIT($B$42,"" ""))"),0.433962264150943)</f>
        <v>0.4339622642</v>
      </c>
      <c r="F43" s="5" t="n">
        <v>4</v>
      </c>
      <c r="G43" s="5" t="n">
        <v>5</v>
      </c>
      <c r="H43" s="5" t="n">
        <v>4</v>
      </c>
      <c r="I43" s="5" t="n">
        <v>4</v>
      </c>
      <c r="J43" s="5" t="n">
        <v>5</v>
      </c>
      <c r="K43" s="50"/>
      <c r="L43" s="50"/>
      <c r="M43" s="50"/>
      <c r="N43" s="50"/>
      <c r="O43" s="50"/>
      <c r="P43" s="50"/>
      <c r="Q43" s="50"/>
      <c r="R43" s="50"/>
      <c r="S43" s="50"/>
      <c r="T43" s="50"/>
      <c r="U43" s="50"/>
      <c r="V43" s="50"/>
      <c r="W43" s="50"/>
      <c r="X43" s="50"/>
      <c r="Y43" s="50"/>
      <c r="Z43" s="50"/>
      <c r="AA43" s="50"/>
      <c r="AB43" s="50"/>
    </row>
    <row r="44" customFormat="false" ht="225" hidden="false" customHeight="true" outlineLevel="0" collapsed="false">
      <c r="A44" s="53"/>
      <c r="B44" s="53"/>
      <c r="C44" s="5" t="s">
        <v>8</v>
      </c>
      <c r="D44" s="48" t="s">
        <v>185</v>
      </c>
      <c r="E44" s="101" t="n">
        <f aca="false">IFERROR(__xludf.dummyfunction("COUNTA(SPLIT(D44,"" ""))/COUNTA(SPLIT($B$42,"" ""))"),0.811320754716981)</f>
        <v>0.8113207547</v>
      </c>
      <c r="F44" s="5" t="n">
        <v>2</v>
      </c>
      <c r="G44" s="5" t="n">
        <v>4</v>
      </c>
      <c r="H44" s="5" t="n">
        <v>4</v>
      </c>
      <c r="I44" s="5" t="n">
        <v>3</v>
      </c>
      <c r="J44" s="5" t="n">
        <v>5</v>
      </c>
      <c r="K44" s="50"/>
      <c r="L44" s="50"/>
      <c r="M44" s="50"/>
      <c r="N44" s="50"/>
      <c r="O44" s="50"/>
      <c r="P44" s="50"/>
      <c r="Q44" s="50"/>
      <c r="R44" s="50"/>
      <c r="S44" s="50"/>
      <c r="T44" s="50"/>
      <c r="U44" s="50"/>
      <c r="V44" s="50"/>
      <c r="W44" s="50"/>
      <c r="X44" s="50"/>
      <c r="Y44" s="50"/>
      <c r="Z44" s="50"/>
      <c r="AA44" s="50"/>
      <c r="AB44" s="50"/>
    </row>
    <row r="45" customFormat="false" ht="225" hidden="false" customHeight="true" outlineLevel="0" collapsed="false">
      <c r="A45" s="53"/>
      <c r="B45" s="53"/>
      <c r="C45" s="5" t="s">
        <v>20</v>
      </c>
      <c r="D45" s="48" t="s">
        <v>186</v>
      </c>
      <c r="E45" s="97" t="n">
        <f aca="false">IFERROR(__xludf.dummyfunction("COUNTA(SPLIT(D45,"" ""))/COUNTA(SPLIT($B$42,"" ""))"),0.39622641509434)</f>
        <v>0.3962264151</v>
      </c>
      <c r="F45" s="5" t="n">
        <v>5</v>
      </c>
      <c r="G45" s="5" t="n">
        <v>5</v>
      </c>
      <c r="H45" s="5" t="n">
        <v>5</v>
      </c>
      <c r="I45" s="5" t="n">
        <v>4</v>
      </c>
      <c r="J45" s="5" t="n">
        <v>5</v>
      </c>
      <c r="K45" s="50"/>
      <c r="L45" s="50"/>
      <c r="M45" s="50"/>
      <c r="N45" s="50"/>
      <c r="O45" s="50"/>
      <c r="P45" s="50"/>
      <c r="Q45" s="50"/>
      <c r="R45" s="50"/>
      <c r="S45" s="50"/>
      <c r="T45" s="50"/>
      <c r="U45" s="50"/>
      <c r="V45" s="50"/>
      <c r="W45" s="50"/>
      <c r="X45" s="50"/>
      <c r="Y45" s="50"/>
      <c r="Z45" s="50"/>
      <c r="AA45" s="50"/>
      <c r="AB45" s="50"/>
    </row>
    <row r="46" customFormat="false" ht="15.75" hidden="false" customHeight="false" outlineLevel="0" collapsed="false">
      <c r="A46" s="50"/>
      <c r="B46" s="50"/>
      <c r="C46" s="5"/>
      <c r="D46" s="48"/>
      <c r="E46" s="52"/>
      <c r="F46" s="5"/>
      <c r="G46" s="5"/>
      <c r="H46" s="5"/>
      <c r="I46" s="5"/>
      <c r="J46" s="5"/>
      <c r="K46" s="50"/>
      <c r="L46" s="50"/>
      <c r="M46" s="50"/>
      <c r="N46" s="50"/>
      <c r="O46" s="50"/>
      <c r="P46" s="50"/>
      <c r="Q46" s="50"/>
      <c r="R46" s="50"/>
      <c r="S46" s="50"/>
      <c r="T46" s="50"/>
      <c r="U46" s="50"/>
      <c r="V46" s="50"/>
      <c r="W46" s="50"/>
      <c r="X46" s="50"/>
      <c r="Y46" s="50"/>
      <c r="Z46" s="50"/>
      <c r="AA46" s="50"/>
      <c r="AB46" s="50"/>
    </row>
    <row r="47" customFormat="false" ht="225" hidden="false" customHeight="true" outlineLevel="0" collapsed="false">
      <c r="A47" s="102" t="s">
        <v>67</v>
      </c>
      <c r="B47" s="54" t="s">
        <v>68</v>
      </c>
      <c r="C47" s="55" t="s">
        <v>18</v>
      </c>
      <c r="D47" s="56" t="s">
        <v>187</v>
      </c>
      <c r="E47" s="103" t="n">
        <f aca="false">IFERROR(__xludf.dummyfunction("COUNTA(SPLIT(D47,"" ""))/COUNTA(SPLIT($B$47,"" ""))"),0.905339805825243)</f>
        <v>0.9053398058</v>
      </c>
      <c r="F47" s="55" t="n">
        <v>5</v>
      </c>
      <c r="G47" s="55" t="n">
        <v>4</v>
      </c>
      <c r="H47" s="55" t="n">
        <v>5</v>
      </c>
      <c r="I47" s="55" t="n">
        <v>1</v>
      </c>
      <c r="J47" s="55" t="n">
        <v>5</v>
      </c>
      <c r="K47" s="58"/>
      <c r="L47" s="58"/>
      <c r="M47" s="58"/>
      <c r="N47" s="58"/>
      <c r="O47" s="58"/>
      <c r="P47" s="58"/>
      <c r="Q47" s="58"/>
      <c r="R47" s="58"/>
      <c r="S47" s="58"/>
      <c r="T47" s="58"/>
      <c r="U47" s="58"/>
      <c r="V47" s="58"/>
      <c r="W47" s="58"/>
      <c r="X47" s="58"/>
      <c r="Y47" s="58"/>
      <c r="Z47" s="58"/>
      <c r="AA47" s="58"/>
      <c r="AB47" s="58"/>
    </row>
    <row r="48" customFormat="false" ht="225" hidden="false" customHeight="true" outlineLevel="0" collapsed="false">
      <c r="A48" s="102"/>
      <c r="B48" s="102"/>
      <c r="C48" s="5" t="s">
        <v>19</v>
      </c>
      <c r="D48" s="48" t="s">
        <v>188</v>
      </c>
      <c r="E48" s="73" t="n">
        <f aca="false">IFERROR(__xludf.dummyfunction("COUNTA(SPLIT(D48,"" ""))/COUNTA(SPLIT($B$47,"" ""))"),0.189320388349515)</f>
        <v>0.1893203883</v>
      </c>
      <c r="F48" s="5" t="n">
        <v>4</v>
      </c>
      <c r="G48" s="5" t="n">
        <v>4</v>
      </c>
      <c r="H48" s="5" t="n">
        <v>4</v>
      </c>
      <c r="I48" s="5" t="n">
        <v>4</v>
      </c>
      <c r="J48" s="5" t="n">
        <v>5</v>
      </c>
      <c r="K48" s="50"/>
      <c r="L48" s="50"/>
      <c r="M48" s="50"/>
      <c r="N48" s="50"/>
      <c r="O48" s="50"/>
      <c r="P48" s="50"/>
      <c r="Q48" s="50"/>
      <c r="R48" s="50"/>
      <c r="S48" s="50"/>
      <c r="T48" s="50"/>
      <c r="U48" s="50"/>
      <c r="V48" s="50"/>
      <c r="W48" s="50"/>
      <c r="X48" s="50"/>
      <c r="Y48" s="50"/>
      <c r="Z48" s="50"/>
      <c r="AA48" s="50"/>
      <c r="AB48" s="50"/>
    </row>
    <row r="49" customFormat="false" ht="225" hidden="false" customHeight="true" outlineLevel="0" collapsed="false">
      <c r="A49" s="102"/>
      <c r="B49" s="102"/>
      <c r="C49" s="5" t="s">
        <v>8</v>
      </c>
      <c r="D49" s="48" t="s">
        <v>189</v>
      </c>
      <c r="E49" s="74" t="n">
        <f aca="false">IFERROR(__xludf.dummyfunction("COUNTA(SPLIT(D49,"" ""))/COUNTA(SPLIT($B$47,"" ""))"),0.29368932038835)</f>
        <v>0.2936893204</v>
      </c>
      <c r="F49" s="5" t="n">
        <v>2</v>
      </c>
      <c r="G49" s="5" t="n">
        <v>4</v>
      </c>
      <c r="H49" s="5" t="n">
        <v>5</v>
      </c>
      <c r="I49" s="5" t="n">
        <v>4</v>
      </c>
      <c r="J49" s="5" t="n">
        <v>5</v>
      </c>
      <c r="K49" s="50"/>
      <c r="L49" s="50"/>
      <c r="M49" s="50"/>
      <c r="N49" s="50"/>
      <c r="O49" s="50"/>
      <c r="P49" s="50"/>
      <c r="Q49" s="50"/>
      <c r="R49" s="50"/>
      <c r="S49" s="50"/>
      <c r="T49" s="50"/>
      <c r="U49" s="50"/>
      <c r="V49" s="50"/>
      <c r="W49" s="50"/>
      <c r="X49" s="50"/>
      <c r="Y49" s="50"/>
      <c r="Z49" s="50"/>
      <c r="AA49" s="50"/>
      <c r="AB49" s="50"/>
    </row>
    <row r="50" customFormat="false" ht="225" hidden="false" customHeight="true" outlineLevel="0" collapsed="false">
      <c r="A50" s="102"/>
      <c r="B50" s="102"/>
      <c r="C50" s="5" t="s">
        <v>20</v>
      </c>
      <c r="D50" s="48" t="s">
        <v>190</v>
      </c>
      <c r="E50" s="75" t="n">
        <f aca="false">IFERROR(__xludf.dummyfunction("COUNTA(SPLIT(D50,"" ""))/COUNTA(SPLIT($B$47,"" ""))"),0.218446601941748)</f>
        <v>0.2184466019</v>
      </c>
      <c r="F50" s="5" t="n">
        <v>4</v>
      </c>
      <c r="G50" s="5" t="n">
        <v>5</v>
      </c>
      <c r="H50" s="5" t="n">
        <v>4</v>
      </c>
      <c r="I50" s="5" t="n">
        <v>4</v>
      </c>
      <c r="J50" s="5" t="n">
        <v>5</v>
      </c>
      <c r="K50" s="50"/>
      <c r="L50" s="50"/>
      <c r="M50" s="50"/>
      <c r="N50" s="50"/>
      <c r="O50" s="50"/>
      <c r="P50" s="50"/>
      <c r="Q50" s="50"/>
      <c r="R50" s="50"/>
      <c r="S50" s="50"/>
      <c r="T50" s="50"/>
      <c r="U50" s="50"/>
      <c r="V50" s="50"/>
      <c r="W50" s="50"/>
      <c r="X50" s="50"/>
      <c r="Y50" s="50"/>
      <c r="Z50" s="50"/>
      <c r="AA50" s="50"/>
      <c r="AB50" s="50"/>
    </row>
    <row r="51" customFormat="false" ht="15.75" hidden="false" customHeight="false" outlineLevel="0" collapsed="false">
      <c r="A51" s="50"/>
      <c r="B51" s="50"/>
      <c r="C51" s="5"/>
      <c r="D51" s="48"/>
      <c r="E51" s="50"/>
      <c r="F51" s="5"/>
      <c r="G51" s="5"/>
      <c r="H51" s="5"/>
      <c r="I51" s="5"/>
      <c r="J51" s="5"/>
      <c r="K51" s="50"/>
      <c r="L51" s="50"/>
      <c r="M51" s="50"/>
      <c r="N51" s="50"/>
      <c r="O51" s="50"/>
      <c r="P51" s="50"/>
      <c r="Q51" s="50"/>
      <c r="R51" s="50"/>
      <c r="S51" s="50"/>
      <c r="T51" s="50"/>
      <c r="U51" s="50"/>
      <c r="V51" s="50"/>
      <c r="W51" s="50"/>
      <c r="X51" s="50"/>
      <c r="Y51" s="50"/>
      <c r="Z51" s="50"/>
      <c r="AA51" s="50"/>
      <c r="AB51" s="50"/>
    </row>
    <row r="52" customFormat="false" ht="15.75" hidden="false" customHeight="false" outlineLevel="0" collapsed="false">
      <c r="A52" s="71"/>
      <c r="B52" s="54"/>
      <c r="C52" s="55" t="s">
        <v>18</v>
      </c>
      <c r="D52" s="56"/>
      <c r="E52" s="72" t="n">
        <f aca="false">IFERROR(__xludf.dummyfunction("COUNTA(SPLIT(D52,"" ""))/COUNTA(SPLIT($B$47,"" ""))"),0.00242718446601942)</f>
        <v>0.002427184466</v>
      </c>
      <c r="F52" s="55"/>
      <c r="G52" s="55"/>
      <c r="H52" s="55"/>
      <c r="I52" s="55"/>
      <c r="J52" s="55"/>
      <c r="K52" s="58"/>
      <c r="L52" s="58"/>
      <c r="M52" s="58"/>
      <c r="N52" s="58"/>
      <c r="O52" s="58"/>
      <c r="P52" s="58"/>
      <c r="Q52" s="58"/>
      <c r="R52" s="58"/>
      <c r="S52" s="58"/>
      <c r="T52" s="58"/>
      <c r="U52" s="58"/>
      <c r="V52" s="58"/>
      <c r="W52" s="58"/>
      <c r="X52" s="58"/>
      <c r="Y52" s="58"/>
      <c r="Z52" s="58"/>
      <c r="AA52" s="58"/>
      <c r="AB52" s="58"/>
    </row>
    <row r="53" customFormat="false" ht="15.75" hidden="false" customHeight="false" outlineLevel="0" collapsed="false">
      <c r="A53" s="71"/>
      <c r="B53" s="71"/>
      <c r="C53" s="5" t="s">
        <v>19</v>
      </c>
      <c r="D53" s="48"/>
      <c r="E53" s="73" t="n">
        <f aca="false">IFERROR(__xludf.dummyfunction("COUNTA(SPLIT(D53,"" ""))/COUNTA(SPLIT($B$47,"" ""))"),0.00242718446601942)</f>
        <v>0.002427184466</v>
      </c>
      <c r="F53" s="5"/>
      <c r="G53" s="5"/>
      <c r="H53" s="5"/>
      <c r="I53" s="5"/>
      <c r="J53" s="5"/>
      <c r="K53" s="50"/>
      <c r="L53" s="50"/>
      <c r="M53" s="50"/>
      <c r="N53" s="50"/>
      <c r="O53" s="50"/>
      <c r="P53" s="50"/>
      <c r="Q53" s="50"/>
      <c r="R53" s="50"/>
      <c r="S53" s="50"/>
      <c r="T53" s="50"/>
      <c r="U53" s="50"/>
      <c r="V53" s="50"/>
      <c r="W53" s="50"/>
      <c r="X53" s="50"/>
      <c r="Y53" s="50"/>
      <c r="Z53" s="50"/>
      <c r="AA53" s="50"/>
      <c r="AB53" s="50"/>
    </row>
    <row r="54" customFormat="false" ht="15.75" hidden="false" customHeight="false" outlineLevel="0" collapsed="false">
      <c r="A54" s="71"/>
      <c r="B54" s="71"/>
      <c r="C54" s="5" t="s">
        <v>8</v>
      </c>
      <c r="D54" s="48"/>
      <c r="E54" s="74" t="n">
        <f aca="false">IFERROR(__xludf.dummyfunction("COUNTA(SPLIT(D54,"" ""))/COUNTA(SPLIT($B$47,"" ""))"),0.00242718446601942)</f>
        <v>0.002427184466</v>
      </c>
      <c r="F54" s="5"/>
      <c r="G54" s="5"/>
      <c r="H54" s="5"/>
      <c r="I54" s="5"/>
      <c r="J54" s="5"/>
      <c r="K54" s="50"/>
      <c r="L54" s="50"/>
      <c r="M54" s="50"/>
      <c r="N54" s="50"/>
      <c r="O54" s="50"/>
      <c r="P54" s="50"/>
      <c r="Q54" s="50"/>
      <c r="R54" s="50"/>
      <c r="S54" s="50"/>
      <c r="T54" s="50"/>
      <c r="U54" s="50"/>
      <c r="V54" s="50"/>
      <c r="W54" s="50"/>
      <c r="X54" s="50"/>
      <c r="Y54" s="50"/>
      <c r="Z54" s="50"/>
      <c r="AA54" s="50"/>
      <c r="AB54" s="50"/>
    </row>
    <row r="55" customFormat="false" ht="15.75" hidden="false" customHeight="false" outlineLevel="0" collapsed="false">
      <c r="A55" s="71"/>
      <c r="B55" s="71"/>
      <c r="C55" s="5" t="s">
        <v>20</v>
      </c>
      <c r="D55" s="48"/>
      <c r="E55" s="75" t="n">
        <f aca="false">IFERROR(__xludf.dummyfunction("COUNTA(SPLIT(D55,"" ""))/COUNTA(SPLIT($B$47,"" ""))"),0.00242718446601942)</f>
        <v>0.002427184466</v>
      </c>
      <c r="F55" s="5"/>
      <c r="G55" s="5"/>
      <c r="H55" s="5"/>
      <c r="I55" s="5"/>
      <c r="J55" s="5"/>
      <c r="K55" s="50"/>
      <c r="L55" s="50"/>
      <c r="M55" s="50"/>
      <c r="N55" s="50"/>
      <c r="O55" s="50"/>
      <c r="P55" s="50"/>
      <c r="Q55" s="50"/>
      <c r="R55" s="50"/>
      <c r="S55" s="50"/>
      <c r="T55" s="50"/>
      <c r="U55" s="50"/>
      <c r="V55" s="50"/>
      <c r="W55" s="50"/>
      <c r="X55" s="50"/>
      <c r="Y55" s="50"/>
      <c r="Z55" s="50"/>
      <c r="AA55" s="50"/>
      <c r="AB55" s="50"/>
    </row>
    <row r="56" customFormat="false" ht="15.75" hidden="false" customHeight="false" outlineLevel="0" collapsed="false">
      <c r="A56" s="50"/>
      <c r="B56" s="50"/>
      <c r="C56" s="5"/>
      <c r="D56" s="48"/>
      <c r="E56" s="50"/>
      <c r="F56" s="5"/>
      <c r="G56" s="5"/>
      <c r="H56" s="5"/>
      <c r="I56" s="5"/>
      <c r="J56" s="5"/>
      <c r="K56" s="50"/>
      <c r="L56" s="50"/>
      <c r="M56" s="50"/>
      <c r="N56" s="50"/>
      <c r="O56" s="50"/>
      <c r="P56" s="50"/>
      <c r="Q56" s="50"/>
      <c r="R56" s="50"/>
      <c r="S56" s="50"/>
      <c r="T56" s="50"/>
      <c r="U56" s="50"/>
      <c r="V56" s="50"/>
      <c r="W56" s="50"/>
      <c r="X56" s="50"/>
      <c r="Y56" s="50"/>
      <c r="Z56" s="50"/>
      <c r="AA56" s="50"/>
      <c r="AB56" s="50"/>
    </row>
    <row r="57" customFormat="false" ht="15.75" hidden="false" customHeight="false" outlineLevel="0" collapsed="false">
      <c r="A57" s="71"/>
      <c r="B57" s="54"/>
      <c r="C57" s="55" t="s">
        <v>18</v>
      </c>
      <c r="D57" s="56"/>
      <c r="E57" s="72" t="n">
        <f aca="false">IFERROR(__xludf.dummyfunction("COUNTA(SPLIT(D57,"" ""))/COUNTA(SPLIT($B$47,"" ""))"),0.00242718446601942)</f>
        <v>0.002427184466</v>
      </c>
      <c r="F57" s="55"/>
      <c r="G57" s="55"/>
      <c r="H57" s="55"/>
      <c r="I57" s="55"/>
      <c r="J57" s="55"/>
      <c r="K57" s="58"/>
      <c r="L57" s="58"/>
      <c r="M57" s="58"/>
      <c r="N57" s="58"/>
      <c r="O57" s="58"/>
      <c r="P57" s="58"/>
      <c r="Q57" s="58"/>
      <c r="R57" s="58"/>
      <c r="S57" s="58"/>
      <c r="T57" s="58"/>
      <c r="U57" s="58"/>
      <c r="V57" s="58"/>
      <c r="W57" s="58"/>
      <c r="X57" s="58"/>
      <c r="Y57" s="58"/>
      <c r="Z57" s="58"/>
      <c r="AA57" s="58"/>
      <c r="AB57" s="58"/>
    </row>
    <row r="58" customFormat="false" ht="15.75" hidden="false" customHeight="false" outlineLevel="0" collapsed="false">
      <c r="A58" s="71"/>
      <c r="B58" s="71"/>
      <c r="C58" s="5" t="s">
        <v>19</v>
      </c>
      <c r="D58" s="48"/>
      <c r="E58" s="73" t="n">
        <f aca="false">IFERROR(__xludf.dummyfunction("COUNTA(SPLIT(D58,"" ""))/COUNTA(SPLIT($B$47,"" ""))"),0.00242718446601942)</f>
        <v>0.002427184466</v>
      </c>
      <c r="F58" s="5"/>
      <c r="G58" s="5"/>
      <c r="H58" s="5"/>
      <c r="I58" s="5"/>
      <c r="J58" s="5"/>
      <c r="K58" s="50"/>
      <c r="L58" s="50"/>
      <c r="M58" s="50"/>
      <c r="N58" s="50"/>
      <c r="O58" s="50"/>
      <c r="P58" s="50"/>
      <c r="Q58" s="50"/>
      <c r="R58" s="50"/>
      <c r="S58" s="50"/>
      <c r="T58" s="50"/>
      <c r="U58" s="50"/>
      <c r="V58" s="50"/>
      <c r="W58" s="50"/>
      <c r="X58" s="50"/>
      <c r="Y58" s="50"/>
      <c r="Z58" s="50"/>
      <c r="AA58" s="50"/>
      <c r="AB58" s="50"/>
    </row>
    <row r="59" customFormat="false" ht="15.75" hidden="false" customHeight="false" outlineLevel="0" collapsed="false">
      <c r="A59" s="71"/>
      <c r="B59" s="71"/>
      <c r="C59" s="5" t="s">
        <v>8</v>
      </c>
      <c r="D59" s="48"/>
      <c r="E59" s="74" t="n">
        <f aca="false">IFERROR(__xludf.dummyfunction("COUNTA(SPLIT(D59,"" ""))/COUNTA(SPLIT($B$47,"" ""))"),0.00242718446601942)</f>
        <v>0.002427184466</v>
      </c>
      <c r="F59" s="5"/>
      <c r="G59" s="5"/>
      <c r="H59" s="5"/>
      <c r="I59" s="5"/>
      <c r="J59" s="5"/>
      <c r="K59" s="50"/>
      <c r="L59" s="50"/>
      <c r="M59" s="50"/>
      <c r="N59" s="50"/>
      <c r="O59" s="50"/>
      <c r="P59" s="50"/>
      <c r="Q59" s="50"/>
      <c r="R59" s="50"/>
      <c r="S59" s="50"/>
      <c r="T59" s="50"/>
      <c r="U59" s="50"/>
      <c r="V59" s="50"/>
      <c r="W59" s="50"/>
      <c r="X59" s="50"/>
      <c r="Y59" s="50"/>
      <c r="Z59" s="50"/>
      <c r="AA59" s="50"/>
      <c r="AB59" s="50"/>
    </row>
    <row r="60" customFormat="false" ht="15.75" hidden="false" customHeight="false" outlineLevel="0" collapsed="false">
      <c r="A60" s="71"/>
      <c r="B60" s="71"/>
      <c r="C60" s="5" t="s">
        <v>20</v>
      </c>
      <c r="D60" s="48"/>
      <c r="E60" s="75" t="n">
        <f aca="false">IFERROR(__xludf.dummyfunction("COUNTA(SPLIT(D60,"" ""))/COUNTA(SPLIT($B$47,"" ""))"),0.00242718446601942)</f>
        <v>0.002427184466</v>
      </c>
      <c r="F60" s="5"/>
      <c r="G60" s="5"/>
      <c r="H60" s="5"/>
      <c r="I60" s="5"/>
      <c r="J60" s="5"/>
      <c r="K60" s="50"/>
      <c r="L60" s="50"/>
      <c r="M60" s="50"/>
      <c r="N60" s="50"/>
      <c r="O60" s="50"/>
      <c r="P60" s="50"/>
      <c r="Q60" s="50"/>
      <c r="R60" s="50"/>
      <c r="S60" s="50"/>
      <c r="T60" s="50"/>
      <c r="U60" s="50"/>
      <c r="V60" s="50"/>
      <c r="W60" s="50"/>
      <c r="X60" s="50"/>
      <c r="Y60" s="50"/>
      <c r="Z60" s="50"/>
      <c r="AA60" s="50"/>
      <c r="AB60" s="50"/>
    </row>
    <row r="61" customFormat="false" ht="15.75" hidden="false" customHeight="false" outlineLevel="0" collapsed="false">
      <c r="A61" s="50"/>
      <c r="B61" s="50"/>
      <c r="C61" s="5"/>
      <c r="D61" s="48"/>
      <c r="E61" s="50"/>
      <c r="F61" s="5"/>
      <c r="G61" s="5"/>
      <c r="H61" s="5"/>
      <c r="I61" s="5"/>
      <c r="J61" s="5"/>
      <c r="K61" s="50"/>
      <c r="L61" s="50"/>
      <c r="M61" s="50"/>
      <c r="N61" s="50"/>
      <c r="O61" s="50"/>
      <c r="P61" s="50"/>
      <c r="Q61" s="50"/>
      <c r="R61" s="50"/>
      <c r="S61" s="50"/>
      <c r="T61" s="50"/>
      <c r="U61" s="50"/>
      <c r="V61" s="50"/>
      <c r="W61" s="50"/>
      <c r="X61" s="50"/>
      <c r="Y61" s="50"/>
      <c r="Z61" s="50"/>
      <c r="AA61" s="50"/>
      <c r="AB61" s="50"/>
    </row>
    <row r="62" customFormat="false" ht="15.75" hidden="false" customHeight="false" outlineLevel="0" collapsed="false">
      <c r="A62" s="71"/>
      <c r="B62" s="54"/>
      <c r="C62" s="55" t="s">
        <v>18</v>
      </c>
      <c r="D62" s="56"/>
      <c r="E62" s="72" t="n">
        <f aca="false">IFERROR(__xludf.dummyfunction("COUNTA(SPLIT(D62,"" ""))/COUNTA(SPLIT($B$47,"" ""))"),0.00242718446601942)</f>
        <v>0.002427184466</v>
      </c>
      <c r="F62" s="55"/>
      <c r="G62" s="55"/>
      <c r="H62" s="55"/>
      <c r="I62" s="55"/>
      <c r="J62" s="55"/>
      <c r="K62" s="58"/>
      <c r="L62" s="58"/>
      <c r="M62" s="58"/>
      <c r="N62" s="58"/>
      <c r="O62" s="58"/>
      <c r="P62" s="58"/>
      <c r="Q62" s="58"/>
      <c r="R62" s="58"/>
      <c r="S62" s="58"/>
      <c r="T62" s="58"/>
      <c r="U62" s="58"/>
      <c r="V62" s="58"/>
      <c r="W62" s="58"/>
      <c r="X62" s="58"/>
      <c r="Y62" s="58"/>
      <c r="Z62" s="58"/>
      <c r="AA62" s="58"/>
      <c r="AB62" s="58"/>
    </row>
    <row r="63" customFormat="false" ht="15.75" hidden="false" customHeight="false" outlineLevel="0" collapsed="false">
      <c r="A63" s="71"/>
      <c r="B63" s="71"/>
      <c r="C63" s="5" t="s">
        <v>19</v>
      </c>
      <c r="D63" s="48"/>
      <c r="E63" s="73" t="n">
        <f aca="false">IFERROR(__xludf.dummyfunction("COUNTA(SPLIT(D63,"" ""))/COUNTA(SPLIT($B$47,"" ""))"),0.00242718446601942)</f>
        <v>0.002427184466</v>
      </c>
      <c r="F63" s="5"/>
      <c r="G63" s="5"/>
      <c r="H63" s="5"/>
      <c r="I63" s="5"/>
      <c r="J63" s="5"/>
      <c r="K63" s="50"/>
      <c r="L63" s="50"/>
      <c r="M63" s="50"/>
      <c r="N63" s="50"/>
      <c r="O63" s="50"/>
      <c r="P63" s="50"/>
      <c r="Q63" s="50"/>
      <c r="R63" s="50"/>
      <c r="S63" s="50"/>
      <c r="T63" s="50"/>
      <c r="U63" s="50"/>
      <c r="V63" s="50"/>
      <c r="W63" s="50"/>
      <c r="X63" s="50"/>
      <c r="Y63" s="50"/>
      <c r="Z63" s="50"/>
      <c r="AA63" s="50"/>
      <c r="AB63" s="50"/>
    </row>
    <row r="64" customFormat="false" ht="15.75" hidden="false" customHeight="false" outlineLevel="0" collapsed="false">
      <c r="A64" s="71"/>
      <c r="B64" s="71"/>
      <c r="C64" s="5" t="s">
        <v>8</v>
      </c>
      <c r="D64" s="48"/>
      <c r="E64" s="74" t="n">
        <f aca="false">IFERROR(__xludf.dummyfunction("COUNTA(SPLIT(D64,"" ""))/COUNTA(SPLIT($B$47,"" ""))"),0.00242718446601942)</f>
        <v>0.002427184466</v>
      </c>
      <c r="F64" s="5"/>
      <c r="G64" s="5"/>
      <c r="H64" s="5"/>
      <c r="I64" s="5"/>
      <c r="J64" s="5"/>
      <c r="K64" s="50"/>
      <c r="L64" s="50"/>
      <c r="M64" s="50"/>
      <c r="N64" s="50"/>
      <c r="O64" s="50"/>
      <c r="P64" s="50"/>
      <c r="Q64" s="50"/>
      <c r="R64" s="50"/>
      <c r="S64" s="50"/>
      <c r="T64" s="50"/>
      <c r="U64" s="50"/>
      <c r="V64" s="50"/>
      <c r="W64" s="50"/>
      <c r="X64" s="50"/>
      <c r="Y64" s="50"/>
      <c r="Z64" s="50"/>
      <c r="AA64" s="50"/>
      <c r="AB64" s="50"/>
    </row>
    <row r="65" customFormat="false" ht="15.75" hidden="false" customHeight="false" outlineLevel="0" collapsed="false">
      <c r="A65" s="71"/>
      <c r="B65" s="71"/>
      <c r="C65" s="5" t="s">
        <v>20</v>
      </c>
      <c r="D65" s="48"/>
      <c r="E65" s="75" t="n">
        <f aca="false">IFERROR(__xludf.dummyfunction("COUNTA(SPLIT(D65,"" ""))/COUNTA(SPLIT($B$47,"" ""))"),0.00242718446601942)</f>
        <v>0.002427184466</v>
      </c>
      <c r="F65" s="5"/>
      <c r="G65" s="5"/>
      <c r="H65" s="5"/>
      <c r="I65" s="5"/>
      <c r="J65" s="5"/>
      <c r="K65" s="50"/>
      <c r="L65" s="50"/>
      <c r="M65" s="50"/>
      <c r="N65" s="50"/>
      <c r="O65" s="50"/>
      <c r="P65" s="50"/>
      <c r="Q65" s="50"/>
      <c r="R65" s="50"/>
      <c r="S65" s="50"/>
      <c r="T65" s="50"/>
      <c r="U65" s="50"/>
      <c r="V65" s="50"/>
      <c r="W65" s="50"/>
      <c r="X65" s="50"/>
      <c r="Y65" s="50"/>
      <c r="Z65" s="50"/>
      <c r="AA65" s="50"/>
      <c r="AB65" s="50"/>
    </row>
    <row r="66" customFormat="false" ht="15.75" hidden="false" customHeight="false" outlineLevel="0" collapsed="false">
      <c r="A66" s="50"/>
      <c r="B66" s="50"/>
      <c r="C66" s="5"/>
      <c r="D66" s="48"/>
      <c r="E66" s="50"/>
      <c r="F66" s="5"/>
      <c r="G66" s="5"/>
      <c r="H66" s="5"/>
      <c r="I66" s="5"/>
      <c r="J66" s="5"/>
      <c r="K66" s="50"/>
      <c r="L66" s="50"/>
      <c r="M66" s="50"/>
      <c r="N66" s="50"/>
      <c r="O66" s="50"/>
      <c r="P66" s="50"/>
      <c r="Q66" s="50"/>
      <c r="R66" s="50"/>
      <c r="S66" s="50"/>
      <c r="T66" s="50"/>
      <c r="U66" s="50"/>
      <c r="V66" s="50"/>
      <c r="W66" s="50"/>
      <c r="X66" s="50"/>
      <c r="Y66" s="50"/>
      <c r="Z66" s="50"/>
      <c r="AA66" s="50"/>
      <c r="AB66" s="50"/>
    </row>
    <row r="67" customFormat="false" ht="15.75" hidden="false" customHeight="false" outlineLevel="0" collapsed="false">
      <c r="A67" s="71"/>
      <c r="B67" s="54"/>
      <c r="C67" s="55" t="s">
        <v>18</v>
      </c>
      <c r="D67" s="56"/>
      <c r="E67" s="72" t="n">
        <f aca="false">IFERROR(__xludf.dummyfunction("COUNTA(SPLIT(D67,"" ""))/COUNTA(SPLIT($B$47,"" ""))"),0.00242718446601942)</f>
        <v>0.002427184466</v>
      </c>
      <c r="F67" s="55"/>
      <c r="G67" s="55"/>
      <c r="H67" s="55"/>
      <c r="I67" s="55"/>
      <c r="J67" s="55"/>
      <c r="K67" s="58"/>
      <c r="L67" s="58"/>
      <c r="M67" s="58"/>
      <c r="N67" s="58"/>
      <c r="O67" s="58"/>
      <c r="P67" s="58"/>
      <c r="Q67" s="58"/>
      <c r="R67" s="58"/>
      <c r="S67" s="58"/>
      <c r="T67" s="58"/>
      <c r="U67" s="58"/>
      <c r="V67" s="58"/>
      <c r="W67" s="58"/>
      <c r="X67" s="58"/>
      <c r="Y67" s="58"/>
      <c r="Z67" s="58"/>
      <c r="AA67" s="58"/>
      <c r="AB67" s="58"/>
    </row>
    <row r="68" customFormat="false" ht="15.75" hidden="false" customHeight="false" outlineLevel="0" collapsed="false">
      <c r="A68" s="71"/>
      <c r="B68" s="71"/>
      <c r="C68" s="5" t="s">
        <v>19</v>
      </c>
      <c r="D68" s="48"/>
      <c r="E68" s="73" t="n">
        <f aca="false">IFERROR(__xludf.dummyfunction("COUNTA(SPLIT(D68,"" ""))/COUNTA(SPLIT($B$47,"" ""))"),0.00242718446601942)</f>
        <v>0.002427184466</v>
      </c>
      <c r="F68" s="5"/>
      <c r="G68" s="5"/>
      <c r="H68" s="5"/>
      <c r="I68" s="5"/>
      <c r="J68" s="5"/>
      <c r="K68" s="50"/>
      <c r="L68" s="50"/>
      <c r="M68" s="50"/>
      <c r="N68" s="50"/>
      <c r="O68" s="50"/>
      <c r="P68" s="50"/>
      <c r="Q68" s="50"/>
      <c r="R68" s="50"/>
      <c r="S68" s="50"/>
      <c r="T68" s="50"/>
      <c r="U68" s="50"/>
      <c r="V68" s="50"/>
      <c r="W68" s="50"/>
      <c r="X68" s="50"/>
      <c r="Y68" s="50"/>
      <c r="Z68" s="50"/>
      <c r="AA68" s="50"/>
      <c r="AB68" s="50"/>
    </row>
    <row r="69" customFormat="false" ht="15.75" hidden="false" customHeight="false" outlineLevel="0" collapsed="false">
      <c r="A69" s="71"/>
      <c r="B69" s="71"/>
      <c r="C69" s="5" t="s">
        <v>8</v>
      </c>
      <c r="D69" s="48"/>
      <c r="E69" s="74" t="n">
        <f aca="false">IFERROR(__xludf.dummyfunction("COUNTA(SPLIT(D69,"" ""))/COUNTA(SPLIT($B$47,"" ""))"),0.00242718446601942)</f>
        <v>0.002427184466</v>
      </c>
      <c r="F69" s="5"/>
      <c r="G69" s="5"/>
      <c r="H69" s="5"/>
      <c r="I69" s="5"/>
      <c r="J69" s="5"/>
      <c r="K69" s="50"/>
      <c r="L69" s="50"/>
      <c r="M69" s="50"/>
      <c r="N69" s="50"/>
      <c r="O69" s="50"/>
      <c r="P69" s="50"/>
      <c r="Q69" s="50"/>
      <c r="R69" s="50"/>
      <c r="S69" s="50"/>
      <c r="T69" s="50"/>
      <c r="U69" s="50"/>
      <c r="V69" s="50"/>
      <c r="W69" s="50"/>
      <c r="X69" s="50"/>
      <c r="Y69" s="50"/>
      <c r="Z69" s="50"/>
      <c r="AA69" s="50"/>
      <c r="AB69" s="50"/>
    </row>
    <row r="70" customFormat="false" ht="15.75" hidden="false" customHeight="false" outlineLevel="0" collapsed="false">
      <c r="A70" s="71"/>
      <c r="B70" s="71"/>
      <c r="C70" s="5" t="s">
        <v>20</v>
      </c>
      <c r="D70" s="48"/>
      <c r="E70" s="75" t="n">
        <f aca="false">IFERROR(__xludf.dummyfunction("COUNTA(SPLIT(D70,"" ""))/COUNTA(SPLIT($B$47,"" ""))"),0.00242718446601942)</f>
        <v>0.002427184466</v>
      </c>
      <c r="F70" s="5"/>
      <c r="G70" s="5"/>
      <c r="H70" s="5"/>
      <c r="I70" s="5"/>
      <c r="J70" s="5"/>
      <c r="K70" s="50"/>
      <c r="L70" s="50"/>
      <c r="M70" s="50"/>
      <c r="N70" s="50"/>
      <c r="O70" s="50"/>
      <c r="P70" s="50"/>
      <c r="Q70" s="50"/>
      <c r="R70" s="50"/>
      <c r="S70" s="50"/>
      <c r="T70" s="50"/>
      <c r="U70" s="50"/>
      <c r="V70" s="50"/>
      <c r="W70" s="50"/>
      <c r="X70" s="50"/>
      <c r="Y70" s="50"/>
      <c r="Z70" s="50"/>
      <c r="AA70" s="50"/>
      <c r="AB70" s="50"/>
    </row>
    <row r="71" customFormat="false" ht="15.75" hidden="false" customHeight="false" outlineLevel="0" collapsed="false">
      <c r="A71" s="50"/>
      <c r="B71" s="50"/>
      <c r="C71" s="5"/>
      <c r="D71" s="48"/>
      <c r="E71" s="50"/>
      <c r="F71" s="5"/>
      <c r="G71" s="5"/>
      <c r="H71" s="5"/>
      <c r="I71" s="5"/>
      <c r="J71" s="5"/>
      <c r="K71" s="50"/>
      <c r="L71" s="50"/>
      <c r="M71" s="50"/>
      <c r="N71" s="50"/>
      <c r="O71" s="50"/>
      <c r="P71" s="50"/>
      <c r="Q71" s="50"/>
      <c r="R71" s="50"/>
      <c r="S71" s="50"/>
      <c r="T71" s="50"/>
      <c r="U71" s="50"/>
      <c r="V71" s="50"/>
      <c r="W71" s="50"/>
      <c r="X71" s="50"/>
      <c r="Y71" s="50"/>
      <c r="Z71" s="50"/>
      <c r="AA71" s="50"/>
      <c r="AB71" s="50"/>
    </row>
    <row r="72" customFormat="false" ht="15.75" hidden="false" customHeight="false" outlineLevel="0" collapsed="false">
      <c r="A72" s="71"/>
      <c r="B72" s="54"/>
      <c r="C72" s="55" t="s">
        <v>18</v>
      </c>
      <c r="D72" s="56"/>
      <c r="E72" s="72" t="n">
        <f aca="false">IFERROR(__xludf.dummyfunction("COUNTA(SPLIT(D72,"" ""))/COUNTA(SPLIT($B$47,"" ""))"),0.00242718446601942)</f>
        <v>0.002427184466</v>
      </c>
      <c r="F72" s="55"/>
      <c r="G72" s="55"/>
      <c r="H72" s="55"/>
      <c r="I72" s="55"/>
      <c r="J72" s="55"/>
      <c r="K72" s="58"/>
      <c r="L72" s="58"/>
      <c r="M72" s="58"/>
      <c r="N72" s="58"/>
      <c r="O72" s="58"/>
      <c r="P72" s="58"/>
      <c r="Q72" s="58"/>
      <c r="R72" s="58"/>
      <c r="S72" s="58"/>
      <c r="T72" s="58"/>
      <c r="U72" s="58"/>
      <c r="V72" s="58"/>
      <c r="W72" s="58"/>
      <c r="X72" s="58"/>
      <c r="Y72" s="58"/>
      <c r="Z72" s="58"/>
      <c r="AA72" s="58"/>
      <c r="AB72" s="58"/>
    </row>
    <row r="73" customFormat="false" ht="15.75" hidden="false" customHeight="false" outlineLevel="0" collapsed="false">
      <c r="A73" s="71"/>
      <c r="B73" s="71"/>
      <c r="C73" s="5" t="s">
        <v>19</v>
      </c>
      <c r="D73" s="48"/>
      <c r="E73" s="73" t="n">
        <f aca="false">IFERROR(__xludf.dummyfunction("COUNTA(SPLIT(D73,"" ""))/COUNTA(SPLIT($B$47,"" ""))"),0.00242718446601942)</f>
        <v>0.002427184466</v>
      </c>
      <c r="F73" s="5"/>
      <c r="G73" s="5"/>
      <c r="H73" s="5"/>
      <c r="I73" s="5"/>
      <c r="J73" s="5"/>
      <c r="K73" s="50"/>
      <c r="L73" s="50"/>
      <c r="M73" s="50"/>
      <c r="N73" s="50"/>
      <c r="O73" s="50"/>
      <c r="P73" s="50"/>
      <c r="Q73" s="50"/>
      <c r="R73" s="50"/>
      <c r="S73" s="50"/>
      <c r="T73" s="50"/>
      <c r="U73" s="50"/>
      <c r="V73" s="50"/>
      <c r="W73" s="50"/>
      <c r="X73" s="50"/>
      <c r="Y73" s="50"/>
      <c r="Z73" s="50"/>
      <c r="AA73" s="50"/>
      <c r="AB73" s="50"/>
    </row>
    <row r="74" customFormat="false" ht="15.75" hidden="false" customHeight="false" outlineLevel="0" collapsed="false">
      <c r="A74" s="71"/>
      <c r="B74" s="71"/>
      <c r="C74" s="5" t="s">
        <v>8</v>
      </c>
      <c r="D74" s="48"/>
      <c r="E74" s="74" t="n">
        <f aca="false">IFERROR(__xludf.dummyfunction("COUNTA(SPLIT(D74,"" ""))/COUNTA(SPLIT($B$47,"" ""))"),0.00242718446601942)</f>
        <v>0.002427184466</v>
      </c>
      <c r="F74" s="5"/>
      <c r="G74" s="5"/>
      <c r="H74" s="5"/>
      <c r="I74" s="5"/>
      <c r="J74" s="5"/>
      <c r="K74" s="50"/>
      <c r="L74" s="50"/>
      <c r="M74" s="50"/>
      <c r="N74" s="50"/>
      <c r="O74" s="50"/>
      <c r="P74" s="50"/>
      <c r="Q74" s="50"/>
      <c r="R74" s="50"/>
      <c r="S74" s="50"/>
      <c r="T74" s="50"/>
      <c r="U74" s="50"/>
      <c r="V74" s="50"/>
      <c r="W74" s="50"/>
      <c r="X74" s="50"/>
      <c r="Y74" s="50"/>
      <c r="Z74" s="50"/>
      <c r="AA74" s="50"/>
      <c r="AB74" s="50"/>
    </row>
    <row r="75" customFormat="false" ht="15.75" hidden="false" customHeight="false" outlineLevel="0" collapsed="false">
      <c r="A75" s="71"/>
      <c r="B75" s="71"/>
      <c r="C75" s="5" t="s">
        <v>20</v>
      </c>
      <c r="D75" s="48"/>
      <c r="E75" s="75" t="n">
        <f aca="false">IFERROR(__xludf.dummyfunction("COUNTA(SPLIT(D75,"" ""))/COUNTA(SPLIT($B$47,"" ""))"),0.00242718446601942)</f>
        <v>0.002427184466</v>
      </c>
      <c r="F75" s="5"/>
      <c r="G75" s="5"/>
      <c r="H75" s="5"/>
      <c r="I75" s="5"/>
      <c r="J75" s="5"/>
      <c r="K75" s="50"/>
      <c r="L75" s="50"/>
      <c r="M75" s="50"/>
      <c r="N75" s="50"/>
      <c r="O75" s="50"/>
      <c r="P75" s="50"/>
      <c r="Q75" s="50"/>
      <c r="R75" s="50"/>
      <c r="S75" s="50"/>
      <c r="T75" s="50"/>
      <c r="U75" s="50"/>
      <c r="V75" s="50"/>
      <c r="W75" s="50"/>
      <c r="X75" s="50"/>
      <c r="Y75" s="50"/>
      <c r="Z75" s="50"/>
      <c r="AA75" s="50"/>
      <c r="AB75" s="50"/>
    </row>
    <row r="76" customFormat="false" ht="15.75" hidden="false" customHeight="false" outlineLevel="0" collapsed="false">
      <c r="A76" s="50"/>
      <c r="B76" s="50"/>
      <c r="C76" s="5"/>
      <c r="D76" s="48"/>
      <c r="E76" s="50"/>
      <c r="F76" s="5"/>
      <c r="G76" s="5"/>
      <c r="H76" s="5"/>
      <c r="I76" s="5"/>
      <c r="J76" s="5"/>
      <c r="K76" s="50"/>
      <c r="L76" s="50"/>
      <c r="M76" s="50"/>
      <c r="N76" s="50"/>
      <c r="O76" s="50"/>
      <c r="P76" s="50"/>
      <c r="Q76" s="50"/>
      <c r="R76" s="50"/>
      <c r="S76" s="50"/>
      <c r="T76" s="50"/>
      <c r="U76" s="50"/>
      <c r="V76" s="50"/>
      <c r="W76" s="50"/>
      <c r="X76" s="50"/>
      <c r="Y76" s="50"/>
      <c r="Z76" s="50"/>
      <c r="AA76" s="50"/>
      <c r="AB76" s="50"/>
    </row>
    <row r="77" customFormat="false" ht="15.75" hidden="false" customHeight="false" outlineLevel="0" collapsed="false">
      <c r="A77" s="71"/>
      <c r="B77" s="54"/>
      <c r="C77" s="55" t="s">
        <v>18</v>
      </c>
      <c r="D77" s="56"/>
      <c r="E77" s="72" t="n">
        <f aca="false">IFERROR(__xludf.dummyfunction("COUNTA(SPLIT(D77,"" ""))/COUNTA(SPLIT($B$47,"" ""))"),0.00242718446601942)</f>
        <v>0.002427184466</v>
      </c>
      <c r="F77" s="55"/>
      <c r="G77" s="55"/>
      <c r="H77" s="55"/>
      <c r="I77" s="55"/>
      <c r="J77" s="55"/>
      <c r="K77" s="58"/>
      <c r="L77" s="58"/>
      <c r="M77" s="58"/>
      <c r="N77" s="58"/>
      <c r="O77" s="58"/>
      <c r="P77" s="58"/>
      <c r="Q77" s="58"/>
      <c r="R77" s="58"/>
      <c r="S77" s="58"/>
      <c r="T77" s="58"/>
      <c r="U77" s="58"/>
      <c r="V77" s="58"/>
      <c r="W77" s="58"/>
      <c r="X77" s="58"/>
      <c r="Y77" s="58"/>
      <c r="Z77" s="58"/>
      <c r="AA77" s="58"/>
      <c r="AB77" s="58"/>
    </row>
    <row r="78" customFormat="false" ht="15.75" hidden="false" customHeight="false" outlineLevel="0" collapsed="false">
      <c r="A78" s="71"/>
      <c r="B78" s="71"/>
      <c r="C78" s="5" t="s">
        <v>19</v>
      </c>
      <c r="D78" s="48"/>
      <c r="E78" s="73" t="n">
        <f aca="false">IFERROR(__xludf.dummyfunction("COUNTA(SPLIT(D78,"" ""))/COUNTA(SPLIT($B$47,"" ""))"),0.00242718446601942)</f>
        <v>0.002427184466</v>
      </c>
      <c r="F78" s="5"/>
      <c r="G78" s="5"/>
      <c r="H78" s="5"/>
      <c r="I78" s="5"/>
      <c r="J78" s="5"/>
      <c r="K78" s="50"/>
      <c r="L78" s="50"/>
      <c r="M78" s="50"/>
      <c r="N78" s="50"/>
      <c r="O78" s="50"/>
      <c r="P78" s="50"/>
      <c r="Q78" s="50"/>
      <c r="R78" s="50"/>
      <c r="S78" s="50"/>
      <c r="T78" s="50"/>
      <c r="U78" s="50"/>
      <c r="V78" s="50"/>
      <c r="W78" s="50"/>
      <c r="X78" s="50"/>
      <c r="Y78" s="50"/>
      <c r="Z78" s="50"/>
      <c r="AA78" s="50"/>
      <c r="AB78" s="50"/>
    </row>
    <row r="79" customFormat="false" ht="15.75" hidden="false" customHeight="false" outlineLevel="0" collapsed="false">
      <c r="A79" s="71"/>
      <c r="B79" s="71"/>
      <c r="C79" s="5" t="s">
        <v>8</v>
      </c>
      <c r="D79" s="48"/>
      <c r="E79" s="74" t="n">
        <f aca="false">IFERROR(__xludf.dummyfunction("COUNTA(SPLIT(D79,"" ""))/COUNTA(SPLIT($B$47,"" ""))"),0.00242718446601942)</f>
        <v>0.002427184466</v>
      </c>
      <c r="F79" s="5"/>
      <c r="G79" s="5"/>
      <c r="H79" s="5"/>
      <c r="I79" s="5"/>
      <c r="J79" s="5"/>
      <c r="K79" s="50"/>
      <c r="L79" s="50"/>
      <c r="M79" s="50"/>
      <c r="N79" s="50"/>
      <c r="O79" s="50"/>
      <c r="P79" s="50"/>
      <c r="Q79" s="50"/>
      <c r="R79" s="50"/>
      <c r="S79" s="50"/>
      <c r="T79" s="50"/>
      <c r="U79" s="50"/>
      <c r="V79" s="50"/>
      <c r="W79" s="50"/>
      <c r="X79" s="50"/>
      <c r="Y79" s="50"/>
      <c r="Z79" s="50"/>
      <c r="AA79" s="50"/>
      <c r="AB79" s="50"/>
    </row>
    <row r="80" customFormat="false" ht="15.75" hidden="false" customHeight="false" outlineLevel="0" collapsed="false">
      <c r="A80" s="71"/>
      <c r="B80" s="71"/>
      <c r="C80" s="5" t="s">
        <v>20</v>
      </c>
      <c r="D80" s="48"/>
      <c r="E80" s="75" t="n">
        <f aca="false">IFERROR(__xludf.dummyfunction("COUNTA(SPLIT(D80,"" ""))/COUNTA(SPLIT($B$47,"" ""))"),0.00242718446601942)</f>
        <v>0.002427184466</v>
      </c>
      <c r="F80" s="5"/>
      <c r="G80" s="5"/>
      <c r="H80" s="5"/>
      <c r="I80" s="5"/>
      <c r="J80" s="5"/>
      <c r="K80" s="50"/>
      <c r="L80" s="50"/>
      <c r="M80" s="50"/>
      <c r="N80" s="50"/>
      <c r="O80" s="50"/>
      <c r="P80" s="50"/>
      <c r="Q80" s="50"/>
      <c r="R80" s="50"/>
      <c r="S80" s="50"/>
      <c r="T80" s="50"/>
      <c r="U80" s="50"/>
      <c r="V80" s="50"/>
      <c r="W80" s="50"/>
      <c r="X80" s="50"/>
      <c r="Y80" s="50"/>
      <c r="Z80" s="50"/>
      <c r="AA80" s="50"/>
      <c r="AB80" s="50"/>
    </row>
    <row r="81" customFormat="false" ht="15.75" hidden="false" customHeight="false" outlineLevel="0" collapsed="false">
      <c r="A81" s="50"/>
      <c r="B81" s="50"/>
      <c r="C81" s="5"/>
      <c r="D81" s="48"/>
      <c r="E81" s="50"/>
      <c r="F81" s="5"/>
      <c r="G81" s="5"/>
      <c r="H81" s="5"/>
      <c r="I81" s="5"/>
      <c r="J81" s="5"/>
      <c r="K81" s="50"/>
      <c r="L81" s="50"/>
      <c r="M81" s="50"/>
      <c r="N81" s="50"/>
      <c r="O81" s="50"/>
      <c r="P81" s="50"/>
      <c r="Q81" s="50"/>
      <c r="R81" s="50"/>
      <c r="S81" s="50"/>
      <c r="T81" s="50"/>
      <c r="U81" s="50"/>
      <c r="V81" s="50"/>
      <c r="W81" s="50"/>
      <c r="X81" s="50"/>
      <c r="Y81" s="50"/>
      <c r="Z81" s="50"/>
      <c r="AA81" s="50"/>
      <c r="AB81" s="50"/>
    </row>
    <row r="82" customFormat="false" ht="15.75" hidden="false" customHeight="false" outlineLevel="0" collapsed="false">
      <c r="A82" s="71"/>
      <c r="B82" s="54"/>
      <c r="C82" s="55" t="s">
        <v>18</v>
      </c>
      <c r="D82" s="56"/>
      <c r="E82" s="72" t="n">
        <f aca="false">IFERROR(__xludf.dummyfunction("COUNTA(SPLIT(D82,"" ""))/COUNTA(SPLIT($B$47,"" ""))"),0.00242718446601942)</f>
        <v>0.002427184466</v>
      </c>
      <c r="F82" s="55"/>
      <c r="G82" s="55"/>
      <c r="H82" s="55"/>
      <c r="I82" s="55"/>
      <c r="J82" s="55"/>
      <c r="K82" s="58"/>
      <c r="L82" s="58"/>
      <c r="M82" s="58"/>
      <c r="N82" s="58"/>
      <c r="O82" s="58"/>
      <c r="P82" s="58"/>
      <c r="Q82" s="58"/>
      <c r="R82" s="58"/>
      <c r="S82" s="58"/>
      <c r="T82" s="58"/>
      <c r="U82" s="58"/>
      <c r="V82" s="58"/>
      <c r="W82" s="58"/>
      <c r="X82" s="58"/>
      <c r="Y82" s="58"/>
      <c r="Z82" s="58"/>
      <c r="AA82" s="58"/>
      <c r="AB82" s="58"/>
    </row>
    <row r="83" customFormat="false" ht="15.75" hidden="false" customHeight="false" outlineLevel="0" collapsed="false">
      <c r="A83" s="71"/>
      <c r="B83" s="71"/>
      <c r="C83" s="5" t="s">
        <v>19</v>
      </c>
      <c r="D83" s="48"/>
      <c r="E83" s="73" t="n">
        <f aca="false">IFERROR(__xludf.dummyfunction("COUNTA(SPLIT(D83,"" ""))/COUNTA(SPLIT($B$47,"" ""))"),0.00242718446601942)</f>
        <v>0.002427184466</v>
      </c>
      <c r="F83" s="5"/>
      <c r="G83" s="5"/>
      <c r="H83" s="5"/>
      <c r="I83" s="5"/>
      <c r="J83" s="5"/>
      <c r="K83" s="50"/>
      <c r="L83" s="50"/>
      <c r="M83" s="50"/>
      <c r="N83" s="50"/>
      <c r="O83" s="50"/>
      <c r="P83" s="50"/>
      <c r="Q83" s="50"/>
      <c r="R83" s="50"/>
      <c r="S83" s="50"/>
      <c r="T83" s="50"/>
      <c r="U83" s="50"/>
      <c r="V83" s="50"/>
      <c r="W83" s="50"/>
      <c r="X83" s="50"/>
      <c r="Y83" s="50"/>
      <c r="Z83" s="50"/>
      <c r="AA83" s="50"/>
      <c r="AB83" s="50"/>
    </row>
    <row r="84" customFormat="false" ht="15.75" hidden="false" customHeight="false" outlineLevel="0" collapsed="false">
      <c r="A84" s="71"/>
      <c r="B84" s="71"/>
      <c r="C84" s="5" t="s">
        <v>8</v>
      </c>
      <c r="D84" s="48"/>
      <c r="E84" s="74" t="n">
        <f aca="false">IFERROR(__xludf.dummyfunction("COUNTA(SPLIT(D84,"" ""))/COUNTA(SPLIT($B$47,"" ""))"),0.00242718446601942)</f>
        <v>0.002427184466</v>
      </c>
      <c r="F84" s="5"/>
      <c r="G84" s="5"/>
      <c r="H84" s="5"/>
      <c r="I84" s="5"/>
      <c r="J84" s="5"/>
      <c r="K84" s="50"/>
      <c r="L84" s="50"/>
      <c r="M84" s="50"/>
      <c r="N84" s="50"/>
      <c r="O84" s="50"/>
      <c r="P84" s="50"/>
      <c r="Q84" s="50"/>
      <c r="R84" s="50"/>
      <c r="S84" s="50"/>
      <c r="T84" s="50"/>
      <c r="U84" s="50"/>
      <c r="V84" s="50"/>
      <c r="W84" s="50"/>
      <c r="X84" s="50"/>
      <c r="Y84" s="50"/>
      <c r="Z84" s="50"/>
      <c r="AA84" s="50"/>
      <c r="AB84" s="50"/>
    </row>
    <row r="85" customFormat="false" ht="15.75" hidden="false" customHeight="false" outlineLevel="0" collapsed="false">
      <c r="A85" s="71"/>
      <c r="B85" s="71"/>
      <c r="C85" s="5" t="s">
        <v>20</v>
      </c>
      <c r="D85" s="48"/>
      <c r="E85" s="75" t="n">
        <f aca="false">IFERROR(__xludf.dummyfunction("COUNTA(SPLIT(D85,"" ""))/COUNTA(SPLIT($B$47,"" ""))"),0.00242718446601942)</f>
        <v>0.002427184466</v>
      </c>
      <c r="F85" s="5"/>
      <c r="G85" s="5"/>
      <c r="H85" s="5"/>
      <c r="I85" s="5"/>
      <c r="J85" s="5"/>
      <c r="K85" s="50"/>
      <c r="L85" s="50"/>
      <c r="M85" s="50"/>
      <c r="N85" s="50"/>
      <c r="O85" s="50"/>
      <c r="P85" s="50"/>
      <c r="Q85" s="50"/>
      <c r="R85" s="50"/>
      <c r="S85" s="50"/>
      <c r="T85" s="50"/>
      <c r="U85" s="50"/>
      <c r="V85" s="50"/>
      <c r="W85" s="50"/>
      <c r="X85" s="50"/>
      <c r="Y85" s="50"/>
      <c r="Z85" s="50"/>
      <c r="AA85" s="50"/>
      <c r="AB85" s="50"/>
    </row>
    <row r="86" customFormat="false" ht="15.75" hidden="false" customHeight="false" outlineLevel="0" collapsed="false">
      <c r="A86" s="50"/>
      <c r="B86" s="50"/>
      <c r="C86" s="5"/>
      <c r="D86" s="48"/>
      <c r="E86" s="50"/>
      <c r="F86" s="5"/>
      <c r="G86" s="5"/>
      <c r="H86" s="5"/>
      <c r="I86" s="5"/>
      <c r="J86" s="5"/>
      <c r="K86" s="50"/>
      <c r="L86" s="50"/>
      <c r="M86" s="50"/>
      <c r="N86" s="50"/>
      <c r="O86" s="50"/>
      <c r="P86" s="50"/>
      <c r="Q86" s="50"/>
      <c r="R86" s="50"/>
      <c r="S86" s="50"/>
      <c r="T86" s="50"/>
      <c r="U86" s="50"/>
      <c r="V86" s="50"/>
      <c r="W86" s="50"/>
      <c r="X86" s="50"/>
      <c r="Y86" s="50"/>
      <c r="Z86" s="50"/>
      <c r="AA86" s="50"/>
      <c r="AB86" s="50"/>
    </row>
    <row r="87" customFormat="false" ht="15.75" hidden="false" customHeight="false" outlineLevel="0" collapsed="false">
      <c r="A87" s="71"/>
      <c r="B87" s="54"/>
      <c r="C87" s="55" t="s">
        <v>18</v>
      </c>
      <c r="D87" s="56"/>
      <c r="E87" s="72" t="n">
        <f aca="false">IFERROR(__xludf.dummyfunction("COUNTA(SPLIT(D87,"" ""))/COUNTA(SPLIT($B$47,"" ""))"),0.00242718446601942)</f>
        <v>0.002427184466</v>
      </c>
      <c r="F87" s="55"/>
      <c r="G87" s="55"/>
      <c r="H87" s="55"/>
      <c r="I87" s="55"/>
      <c r="J87" s="55"/>
      <c r="K87" s="58"/>
      <c r="L87" s="58"/>
      <c r="M87" s="58"/>
      <c r="N87" s="58"/>
      <c r="O87" s="58"/>
      <c r="P87" s="58"/>
      <c r="Q87" s="58"/>
      <c r="R87" s="58"/>
      <c r="S87" s="58"/>
      <c r="T87" s="58"/>
      <c r="U87" s="58"/>
      <c r="V87" s="58"/>
      <c r="W87" s="58"/>
      <c r="X87" s="58"/>
      <c r="Y87" s="58"/>
      <c r="Z87" s="58"/>
      <c r="AA87" s="58"/>
      <c r="AB87" s="58"/>
    </row>
    <row r="88" customFormat="false" ht="15.75" hidden="false" customHeight="false" outlineLevel="0" collapsed="false">
      <c r="A88" s="71"/>
      <c r="B88" s="71"/>
      <c r="C88" s="5" t="s">
        <v>19</v>
      </c>
      <c r="D88" s="48"/>
      <c r="E88" s="73" t="n">
        <f aca="false">IFERROR(__xludf.dummyfunction("COUNTA(SPLIT(D88,"" ""))/COUNTA(SPLIT($B$47,"" ""))"),0.00242718446601942)</f>
        <v>0.002427184466</v>
      </c>
      <c r="F88" s="5"/>
      <c r="G88" s="5"/>
      <c r="H88" s="5"/>
      <c r="I88" s="5"/>
      <c r="J88" s="5"/>
      <c r="K88" s="50"/>
      <c r="L88" s="50"/>
      <c r="M88" s="50"/>
      <c r="N88" s="50"/>
      <c r="O88" s="50"/>
      <c r="P88" s="50"/>
      <c r="Q88" s="50"/>
      <c r="R88" s="50"/>
      <c r="S88" s="50"/>
      <c r="T88" s="50"/>
      <c r="U88" s="50"/>
      <c r="V88" s="50"/>
      <c r="W88" s="50"/>
      <c r="X88" s="50"/>
      <c r="Y88" s="50"/>
      <c r="Z88" s="50"/>
      <c r="AA88" s="50"/>
      <c r="AB88" s="50"/>
    </row>
    <row r="89" customFormat="false" ht="15.75" hidden="false" customHeight="false" outlineLevel="0" collapsed="false">
      <c r="A89" s="71"/>
      <c r="B89" s="71"/>
      <c r="C89" s="5" t="s">
        <v>8</v>
      </c>
      <c r="D89" s="48"/>
      <c r="E89" s="74" t="n">
        <f aca="false">IFERROR(__xludf.dummyfunction("COUNTA(SPLIT(D89,"" ""))/COUNTA(SPLIT($B$47,"" ""))"),0.00242718446601942)</f>
        <v>0.002427184466</v>
      </c>
      <c r="F89" s="5"/>
      <c r="G89" s="5"/>
      <c r="H89" s="5"/>
      <c r="I89" s="5"/>
      <c r="J89" s="5"/>
      <c r="K89" s="50"/>
      <c r="L89" s="50"/>
      <c r="M89" s="50"/>
      <c r="N89" s="50"/>
      <c r="O89" s="50"/>
      <c r="P89" s="50"/>
      <c r="Q89" s="50"/>
      <c r="R89" s="50"/>
      <c r="S89" s="50"/>
      <c r="T89" s="50"/>
      <c r="U89" s="50"/>
      <c r="V89" s="50"/>
      <c r="W89" s="50"/>
      <c r="X89" s="50"/>
      <c r="Y89" s="50"/>
      <c r="Z89" s="50"/>
      <c r="AA89" s="50"/>
      <c r="AB89" s="50"/>
    </row>
    <row r="90" customFormat="false" ht="15.75" hidden="false" customHeight="false" outlineLevel="0" collapsed="false">
      <c r="A90" s="71"/>
      <c r="B90" s="71"/>
      <c r="C90" s="5" t="s">
        <v>20</v>
      </c>
      <c r="D90" s="48"/>
      <c r="E90" s="75" t="n">
        <f aca="false">IFERROR(__xludf.dummyfunction("COUNTA(SPLIT(D90,"" ""))/COUNTA(SPLIT($B$47,"" ""))"),0.00242718446601942)</f>
        <v>0.002427184466</v>
      </c>
      <c r="F90" s="5"/>
      <c r="G90" s="5"/>
      <c r="H90" s="5"/>
      <c r="I90" s="5"/>
      <c r="J90" s="5"/>
      <c r="K90" s="50"/>
      <c r="L90" s="50"/>
      <c r="M90" s="50"/>
      <c r="N90" s="50"/>
      <c r="O90" s="50"/>
      <c r="P90" s="50"/>
      <c r="Q90" s="50"/>
      <c r="R90" s="50"/>
      <c r="S90" s="50"/>
      <c r="T90" s="50"/>
      <c r="U90" s="50"/>
      <c r="V90" s="50"/>
      <c r="W90" s="50"/>
      <c r="X90" s="50"/>
      <c r="Y90" s="50"/>
      <c r="Z90" s="50"/>
      <c r="AA90" s="50"/>
      <c r="AB90" s="50"/>
    </row>
    <row r="91" customFormat="false" ht="15.75" hidden="false" customHeight="false" outlineLevel="0" collapsed="false">
      <c r="A91" s="50"/>
      <c r="B91" s="50"/>
      <c r="C91" s="5"/>
      <c r="D91" s="48"/>
      <c r="E91" s="50"/>
      <c r="F91" s="5"/>
      <c r="G91" s="5"/>
      <c r="H91" s="5"/>
      <c r="I91" s="5"/>
      <c r="J91" s="5"/>
      <c r="K91" s="50"/>
      <c r="L91" s="50"/>
      <c r="M91" s="50"/>
      <c r="N91" s="50"/>
      <c r="O91" s="50"/>
      <c r="P91" s="50"/>
      <c r="Q91" s="50"/>
      <c r="R91" s="50"/>
      <c r="S91" s="50"/>
      <c r="T91" s="50"/>
      <c r="U91" s="50"/>
      <c r="V91" s="50"/>
      <c r="W91" s="50"/>
      <c r="X91" s="50"/>
      <c r="Y91" s="50"/>
      <c r="Z91" s="50"/>
      <c r="AA91" s="50"/>
      <c r="AB91" s="50"/>
    </row>
    <row r="92" customFormat="false" ht="15.75" hidden="false" customHeight="false" outlineLevel="0" collapsed="false">
      <c r="A92" s="71"/>
      <c r="B92" s="54"/>
      <c r="C92" s="55" t="s">
        <v>18</v>
      </c>
      <c r="D92" s="56"/>
      <c r="E92" s="72" t="n">
        <f aca="false">IFERROR(__xludf.dummyfunction("COUNTA(SPLIT(D92,"" ""))/COUNTA(SPLIT($B$47,"" ""))"),0.00242718446601942)</f>
        <v>0.002427184466</v>
      </c>
      <c r="F92" s="55"/>
      <c r="G92" s="55"/>
      <c r="H92" s="55"/>
      <c r="I92" s="55"/>
      <c r="J92" s="55"/>
      <c r="K92" s="58"/>
      <c r="L92" s="58"/>
      <c r="M92" s="58"/>
      <c r="N92" s="58"/>
      <c r="O92" s="58"/>
      <c r="P92" s="58"/>
      <c r="Q92" s="58"/>
      <c r="R92" s="58"/>
      <c r="S92" s="58"/>
      <c r="T92" s="58"/>
      <c r="U92" s="58"/>
      <c r="V92" s="58"/>
      <c r="W92" s="58"/>
      <c r="X92" s="58"/>
      <c r="Y92" s="58"/>
      <c r="Z92" s="58"/>
      <c r="AA92" s="58"/>
      <c r="AB92" s="58"/>
    </row>
    <row r="93" customFormat="false" ht="15.75" hidden="false" customHeight="false" outlineLevel="0" collapsed="false">
      <c r="A93" s="71"/>
      <c r="B93" s="71"/>
      <c r="C93" s="5" t="s">
        <v>19</v>
      </c>
      <c r="D93" s="48"/>
      <c r="E93" s="73" t="n">
        <f aca="false">IFERROR(__xludf.dummyfunction("COUNTA(SPLIT(D93,"" ""))/COUNTA(SPLIT($B$47,"" ""))"),0.00242718446601942)</f>
        <v>0.002427184466</v>
      </c>
      <c r="F93" s="5"/>
      <c r="G93" s="5"/>
      <c r="H93" s="5"/>
      <c r="I93" s="5"/>
      <c r="J93" s="5"/>
      <c r="K93" s="50"/>
      <c r="L93" s="50"/>
      <c r="M93" s="50"/>
      <c r="N93" s="50"/>
      <c r="O93" s="50"/>
      <c r="P93" s="50"/>
      <c r="Q93" s="50"/>
      <c r="R93" s="50"/>
      <c r="S93" s="50"/>
      <c r="T93" s="50"/>
      <c r="U93" s="50"/>
      <c r="V93" s="50"/>
      <c r="W93" s="50"/>
      <c r="X93" s="50"/>
      <c r="Y93" s="50"/>
      <c r="Z93" s="50"/>
      <c r="AA93" s="50"/>
      <c r="AB93" s="50"/>
    </row>
    <row r="94" customFormat="false" ht="15.75" hidden="false" customHeight="false" outlineLevel="0" collapsed="false">
      <c r="A94" s="71"/>
      <c r="B94" s="71"/>
      <c r="C94" s="5" t="s">
        <v>8</v>
      </c>
      <c r="D94" s="48"/>
      <c r="E94" s="74" t="n">
        <f aca="false">IFERROR(__xludf.dummyfunction("COUNTA(SPLIT(D94,"" ""))/COUNTA(SPLIT($B$47,"" ""))"),0.00242718446601942)</f>
        <v>0.002427184466</v>
      </c>
      <c r="F94" s="5"/>
      <c r="G94" s="5"/>
      <c r="H94" s="5"/>
      <c r="I94" s="5"/>
      <c r="J94" s="5"/>
      <c r="K94" s="50"/>
      <c r="L94" s="50"/>
      <c r="M94" s="50"/>
      <c r="N94" s="50"/>
      <c r="O94" s="50"/>
      <c r="P94" s="50"/>
      <c r="Q94" s="50"/>
      <c r="R94" s="50"/>
      <c r="S94" s="50"/>
      <c r="T94" s="50"/>
      <c r="U94" s="50"/>
      <c r="V94" s="50"/>
      <c r="W94" s="50"/>
      <c r="X94" s="50"/>
      <c r="Y94" s="50"/>
      <c r="Z94" s="50"/>
      <c r="AA94" s="50"/>
      <c r="AB94" s="50"/>
    </row>
    <row r="95" customFormat="false" ht="15.75" hidden="false" customHeight="false" outlineLevel="0" collapsed="false">
      <c r="A95" s="71"/>
      <c r="B95" s="71"/>
      <c r="C95" s="5" t="s">
        <v>20</v>
      </c>
      <c r="D95" s="48"/>
      <c r="E95" s="75" t="n">
        <f aca="false">IFERROR(__xludf.dummyfunction("COUNTA(SPLIT(D95,"" ""))/COUNTA(SPLIT($B$47,"" ""))"),0.00242718446601942)</f>
        <v>0.002427184466</v>
      </c>
      <c r="F95" s="5"/>
      <c r="G95" s="5"/>
      <c r="H95" s="5"/>
      <c r="I95" s="5"/>
      <c r="J95" s="5"/>
      <c r="K95" s="50"/>
      <c r="L95" s="50"/>
      <c r="M95" s="50"/>
      <c r="N95" s="50"/>
      <c r="O95" s="50"/>
      <c r="P95" s="50"/>
      <c r="Q95" s="50"/>
      <c r="R95" s="50"/>
      <c r="S95" s="50"/>
      <c r="T95" s="50"/>
      <c r="U95" s="50"/>
      <c r="V95" s="50"/>
      <c r="W95" s="50"/>
      <c r="X95" s="50"/>
      <c r="Y95" s="50"/>
      <c r="Z95" s="50"/>
      <c r="AA95" s="50"/>
      <c r="AB95" s="50"/>
    </row>
    <row r="96" customFormat="false" ht="15.75" hidden="false" customHeight="false" outlineLevel="0" collapsed="false">
      <c r="A96" s="50"/>
      <c r="B96" s="50"/>
      <c r="C96" s="5"/>
      <c r="D96" s="48"/>
      <c r="E96" s="50"/>
      <c r="F96" s="5"/>
      <c r="G96" s="5"/>
      <c r="H96" s="5"/>
      <c r="I96" s="5"/>
      <c r="J96" s="5"/>
      <c r="K96" s="50"/>
      <c r="L96" s="50"/>
      <c r="M96" s="50"/>
      <c r="N96" s="50"/>
      <c r="O96" s="50"/>
      <c r="P96" s="50"/>
      <c r="Q96" s="50"/>
      <c r="R96" s="50"/>
      <c r="S96" s="50"/>
      <c r="T96" s="50"/>
      <c r="U96" s="50"/>
      <c r="V96" s="50"/>
      <c r="W96" s="50"/>
      <c r="X96" s="50"/>
      <c r="Y96" s="50"/>
      <c r="Z96" s="50"/>
      <c r="AA96" s="50"/>
      <c r="AB96" s="50"/>
    </row>
    <row r="97" customFormat="false" ht="15.75" hidden="false" customHeight="false" outlineLevel="0" collapsed="false">
      <c r="A97" s="71"/>
      <c r="B97" s="54"/>
      <c r="C97" s="55" t="s">
        <v>18</v>
      </c>
      <c r="D97" s="56"/>
      <c r="E97" s="72" t="n">
        <f aca="false">IFERROR(__xludf.dummyfunction("COUNTA(SPLIT(D97,"" ""))/COUNTA(SPLIT($B$47,"" ""))"),0.00242718446601942)</f>
        <v>0.002427184466</v>
      </c>
      <c r="F97" s="55"/>
      <c r="G97" s="55"/>
      <c r="H97" s="55"/>
      <c r="I97" s="55"/>
      <c r="J97" s="55"/>
      <c r="K97" s="58"/>
      <c r="L97" s="58"/>
      <c r="M97" s="58"/>
      <c r="N97" s="58"/>
      <c r="O97" s="58"/>
      <c r="P97" s="58"/>
      <c r="Q97" s="58"/>
      <c r="R97" s="58"/>
      <c r="S97" s="58"/>
      <c r="T97" s="58"/>
      <c r="U97" s="58"/>
      <c r="V97" s="58"/>
      <c r="W97" s="58"/>
      <c r="X97" s="58"/>
      <c r="Y97" s="58"/>
      <c r="Z97" s="58"/>
      <c r="AA97" s="58"/>
      <c r="AB97" s="58"/>
    </row>
    <row r="98" customFormat="false" ht="15.75" hidden="false" customHeight="false" outlineLevel="0" collapsed="false">
      <c r="A98" s="71"/>
      <c r="B98" s="71"/>
      <c r="C98" s="5" t="s">
        <v>19</v>
      </c>
      <c r="D98" s="48"/>
      <c r="E98" s="73" t="n">
        <f aca="false">IFERROR(__xludf.dummyfunction("COUNTA(SPLIT(D98,"" ""))/COUNTA(SPLIT($B$47,"" ""))"),0.00242718446601942)</f>
        <v>0.002427184466</v>
      </c>
      <c r="F98" s="5"/>
      <c r="G98" s="5"/>
      <c r="H98" s="5"/>
      <c r="I98" s="5"/>
      <c r="J98" s="5"/>
      <c r="K98" s="50"/>
      <c r="L98" s="50"/>
      <c r="M98" s="50"/>
      <c r="N98" s="50"/>
      <c r="O98" s="50"/>
      <c r="P98" s="50"/>
      <c r="Q98" s="50"/>
      <c r="R98" s="50"/>
      <c r="S98" s="50"/>
      <c r="T98" s="50"/>
      <c r="U98" s="50"/>
      <c r="V98" s="50"/>
      <c r="W98" s="50"/>
      <c r="X98" s="50"/>
      <c r="Y98" s="50"/>
      <c r="Z98" s="50"/>
      <c r="AA98" s="50"/>
      <c r="AB98" s="50"/>
    </row>
    <row r="99" customFormat="false" ht="15.75" hidden="false" customHeight="false" outlineLevel="0" collapsed="false">
      <c r="A99" s="71"/>
      <c r="B99" s="71"/>
      <c r="C99" s="5" t="s">
        <v>8</v>
      </c>
      <c r="D99" s="48"/>
      <c r="E99" s="74" t="n">
        <f aca="false">IFERROR(__xludf.dummyfunction("COUNTA(SPLIT(D99,"" ""))/COUNTA(SPLIT($B$47,"" ""))"),0.00242718446601942)</f>
        <v>0.002427184466</v>
      </c>
      <c r="F99" s="5"/>
      <c r="G99" s="5"/>
      <c r="H99" s="5"/>
      <c r="I99" s="5"/>
      <c r="J99" s="5"/>
      <c r="K99" s="50"/>
      <c r="L99" s="50"/>
      <c r="M99" s="50"/>
      <c r="N99" s="50"/>
      <c r="O99" s="50"/>
      <c r="P99" s="50"/>
      <c r="Q99" s="50"/>
      <c r="R99" s="50"/>
      <c r="S99" s="50"/>
      <c r="T99" s="50"/>
      <c r="U99" s="50"/>
      <c r="V99" s="50"/>
      <c r="W99" s="50"/>
      <c r="X99" s="50"/>
      <c r="Y99" s="50"/>
      <c r="Z99" s="50"/>
      <c r="AA99" s="50"/>
      <c r="AB99" s="50"/>
    </row>
    <row r="100" customFormat="false" ht="15.75" hidden="false" customHeight="false" outlineLevel="0" collapsed="false">
      <c r="A100" s="71"/>
      <c r="B100" s="71"/>
      <c r="C100" s="5" t="s">
        <v>20</v>
      </c>
      <c r="D100" s="48"/>
      <c r="E100" s="75" t="n">
        <f aca="false">IFERROR(__xludf.dummyfunction("COUNTA(SPLIT(D100,"" ""))/COUNTA(SPLIT($B$47,"" ""))"),0.00242718446601942)</f>
        <v>0.002427184466</v>
      </c>
      <c r="F100" s="5"/>
      <c r="G100" s="5"/>
      <c r="H100" s="5"/>
      <c r="I100" s="5"/>
      <c r="J100" s="5"/>
      <c r="K100" s="50"/>
      <c r="L100" s="50"/>
      <c r="M100" s="50"/>
      <c r="N100" s="50"/>
      <c r="O100" s="50"/>
      <c r="P100" s="50"/>
      <c r="Q100" s="50"/>
      <c r="R100" s="50"/>
      <c r="S100" s="50"/>
      <c r="T100" s="50"/>
      <c r="U100" s="50"/>
      <c r="V100" s="50"/>
      <c r="W100" s="50"/>
      <c r="X100" s="50"/>
      <c r="Y100" s="50"/>
      <c r="Z100" s="50"/>
      <c r="AA100" s="50"/>
      <c r="AB100" s="50"/>
    </row>
    <row r="101" customFormat="false" ht="15.75" hidden="false" customHeight="false" outlineLevel="0" collapsed="false">
      <c r="A101" s="50"/>
      <c r="B101" s="50"/>
      <c r="C101" s="5"/>
      <c r="D101" s="48"/>
      <c r="E101" s="50"/>
      <c r="F101" s="5"/>
      <c r="G101" s="5"/>
      <c r="H101" s="5"/>
      <c r="I101" s="5"/>
      <c r="J101" s="5"/>
      <c r="K101" s="50"/>
      <c r="L101" s="50"/>
      <c r="M101" s="50"/>
      <c r="N101" s="50"/>
      <c r="O101" s="50"/>
      <c r="P101" s="50"/>
      <c r="Q101" s="50"/>
      <c r="R101" s="50"/>
      <c r="S101" s="50"/>
      <c r="T101" s="50"/>
      <c r="U101" s="50"/>
      <c r="V101" s="50"/>
      <c r="W101" s="50"/>
      <c r="X101" s="50"/>
      <c r="Y101" s="50"/>
      <c r="Z101" s="50"/>
      <c r="AA101" s="50"/>
      <c r="AB101" s="50"/>
    </row>
    <row r="102" customFormat="false" ht="15.75" hidden="false" customHeight="false" outlineLevel="0" collapsed="false">
      <c r="A102" s="71"/>
      <c r="B102" s="54"/>
      <c r="C102" s="55" t="s">
        <v>18</v>
      </c>
      <c r="D102" s="56"/>
      <c r="E102" s="72" t="n">
        <f aca="false">IFERROR(__xludf.dummyfunction("COUNTA(SPLIT(D102,"" ""))/COUNTA(SPLIT($B$47,"" ""))"),0.00242718446601942)</f>
        <v>0.002427184466</v>
      </c>
      <c r="F102" s="55"/>
      <c r="G102" s="55"/>
      <c r="H102" s="55"/>
      <c r="I102" s="55"/>
      <c r="J102" s="55"/>
      <c r="K102" s="58"/>
      <c r="L102" s="58"/>
      <c r="M102" s="58"/>
      <c r="N102" s="58"/>
      <c r="O102" s="58"/>
      <c r="P102" s="58"/>
      <c r="Q102" s="58"/>
      <c r="R102" s="58"/>
      <c r="S102" s="58"/>
      <c r="T102" s="58"/>
      <c r="U102" s="58"/>
      <c r="V102" s="58"/>
      <c r="W102" s="58"/>
      <c r="X102" s="58"/>
      <c r="Y102" s="58"/>
      <c r="Z102" s="58"/>
      <c r="AA102" s="58"/>
      <c r="AB102" s="58"/>
    </row>
    <row r="103" customFormat="false" ht="15.75" hidden="false" customHeight="false" outlineLevel="0" collapsed="false">
      <c r="A103" s="71"/>
      <c r="B103" s="71"/>
      <c r="C103" s="5" t="s">
        <v>19</v>
      </c>
      <c r="D103" s="48"/>
      <c r="E103" s="73" t="n">
        <f aca="false">IFERROR(__xludf.dummyfunction("COUNTA(SPLIT(D103,"" ""))/COUNTA(SPLIT($B$47,"" ""))"),0.00242718446601942)</f>
        <v>0.002427184466</v>
      </c>
      <c r="F103" s="5"/>
      <c r="G103" s="5"/>
      <c r="H103" s="5"/>
      <c r="I103" s="5"/>
      <c r="J103" s="5"/>
      <c r="K103" s="50"/>
      <c r="L103" s="50"/>
      <c r="M103" s="50"/>
      <c r="N103" s="50"/>
      <c r="O103" s="50"/>
      <c r="P103" s="50"/>
      <c r="Q103" s="50"/>
      <c r="R103" s="50"/>
      <c r="S103" s="50"/>
      <c r="T103" s="50"/>
      <c r="U103" s="50"/>
      <c r="V103" s="50"/>
      <c r="W103" s="50"/>
      <c r="X103" s="50"/>
      <c r="Y103" s="50"/>
      <c r="Z103" s="50"/>
      <c r="AA103" s="50"/>
      <c r="AB103" s="50"/>
    </row>
    <row r="104" customFormat="false" ht="15.75" hidden="false" customHeight="false" outlineLevel="0" collapsed="false">
      <c r="A104" s="71"/>
      <c r="B104" s="71"/>
      <c r="C104" s="5" t="s">
        <v>8</v>
      </c>
      <c r="D104" s="48"/>
      <c r="E104" s="74" t="n">
        <f aca="false">IFERROR(__xludf.dummyfunction("COUNTA(SPLIT(D104,"" ""))/COUNTA(SPLIT($B$47,"" ""))"),0.00242718446601942)</f>
        <v>0.002427184466</v>
      </c>
      <c r="F104" s="5"/>
      <c r="G104" s="5"/>
      <c r="H104" s="5"/>
      <c r="I104" s="5"/>
      <c r="J104" s="5"/>
      <c r="K104" s="50"/>
      <c r="L104" s="50"/>
      <c r="M104" s="50"/>
      <c r="N104" s="50"/>
      <c r="O104" s="50"/>
      <c r="P104" s="50"/>
      <c r="Q104" s="50"/>
      <c r="R104" s="50"/>
      <c r="S104" s="50"/>
      <c r="T104" s="50"/>
      <c r="U104" s="50"/>
      <c r="V104" s="50"/>
      <c r="W104" s="50"/>
      <c r="X104" s="50"/>
      <c r="Y104" s="50"/>
      <c r="Z104" s="50"/>
      <c r="AA104" s="50"/>
      <c r="AB104" s="50"/>
    </row>
    <row r="105" customFormat="false" ht="15.75" hidden="false" customHeight="false" outlineLevel="0" collapsed="false">
      <c r="A105" s="71"/>
      <c r="B105" s="71"/>
      <c r="C105" s="5" t="s">
        <v>20</v>
      </c>
      <c r="D105" s="48"/>
      <c r="E105" s="75" t="n">
        <f aca="false">IFERROR(__xludf.dummyfunction("COUNTA(SPLIT(D105,"" ""))/COUNTA(SPLIT($B$47,"" ""))"),0.00242718446601942)</f>
        <v>0.002427184466</v>
      </c>
      <c r="F105" s="5"/>
      <c r="G105" s="5"/>
      <c r="H105" s="5"/>
      <c r="I105" s="5"/>
      <c r="J105" s="5"/>
      <c r="K105" s="50"/>
      <c r="L105" s="50"/>
      <c r="M105" s="50"/>
      <c r="N105" s="50"/>
      <c r="O105" s="50"/>
      <c r="P105" s="50"/>
      <c r="Q105" s="50"/>
      <c r="R105" s="50"/>
      <c r="S105" s="50"/>
      <c r="T105" s="50"/>
      <c r="U105" s="50"/>
      <c r="V105" s="50"/>
      <c r="W105" s="50"/>
      <c r="X105" s="50"/>
      <c r="Y105" s="50"/>
      <c r="Z105" s="50"/>
      <c r="AA105" s="50"/>
      <c r="AB105" s="50"/>
    </row>
    <row r="106" customFormat="false" ht="15.75" hidden="false" customHeight="false" outlineLevel="0" collapsed="false">
      <c r="A106" s="50"/>
      <c r="B106" s="50"/>
      <c r="C106" s="5"/>
      <c r="D106" s="48"/>
      <c r="E106" s="50"/>
      <c r="F106" s="5"/>
      <c r="G106" s="5"/>
      <c r="H106" s="5"/>
      <c r="I106" s="5"/>
      <c r="J106" s="5"/>
      <c r="K106" s="50"/>
      <c r="L106" s="50"/>
      <c r="M106" s="50"/>
      <c r="N106" s="50"/>
      <c r="O106" s="50"/>
      <c r="P106" s="50"/>
      <c r="Q106" s="50"/>
      <c r="R106" s="50"/>
      <c r="S106" s="50"/>
      <c r="T106" s="50"/>
      <c r="U106" s="50"/>
      <c r="V106" s="50"/>
      <c r="W106" s="50"/>
      <c r="X106" s="50"/>
      <c r="Y106" s="50"/>
      <c r="Z106" s="50"/>
      <c r="AA106" s="50"/>
      <c r="AB106" s="50"/>
    </row>
    <row r="107" customFormat="false" ht="15.75" hidden="false" customHeight="false" outlineLevel="0" collapsed="false">
      <c r="A107" s="71"/>
      <c r="B107" s="54"/>
      <c r="C107" s="55" t="s">
        <v>18</v>
      </c>
      <c r="D107" s="56"/>
      <c r="E107" s="72" t="n">
        <f aca="false">IFERROR(__xludf.dummyfunction("COUNTA(SPLIT(D107,"" ""))/COUNTA(SPLIT($B$47,"" ""))"),0.00242718446601942)</f>
        <v>0.002427184466</v>
      </c>
      <c r="F107" s="55"/>
      <c r="G107" s="55"/>
      <c r="H107" s="55"/>
      <c r="I107" s="55"/>
      <c r="J107" s="55"/>
      <c r="K107" s="58"/>
      <c r="L107" s="58"/>
      <c r="M107" s="58"/>
      <c r="N107" s="58"/>
      <c r="O107" s="58"/>
      <c r="P107" s="58"/>
      <c r="Q107" s="58"/>
      <c r="R107" s="58"/>
      <c r="S107" s="58"/>
      <c r="T107" s="58"/>
      <c r="U107" s="58"/>
      <c r="V107" s="58"/>
      <c r="W107" s="58"/>
      <c r="X107" s="58"/>
      <c r="Y107" s="58"/>
      <c r="Z107" s="58"/>
      <c r="AA107" s="58"/>
      <c r="AB107" s="58"/>
    </row>
    <row r="108" customFormat="false" ht="15.75" hidden="false" customHeight="false" outlineLevel="0" collapsed="false">
      <c r="A108" s="71"/>
      <c r="B108" s="71"/>
      <c r="C108" s="5" t="s">
        <v>19</v>
      </c>
      <c r="D108" s="48"/>
      <c r="E108" s="73" t="n">
        <f aca="false">IFERROR(__xludf.dummyfunction("COUNTA(SPLIT(D108,"" ""))/COUNTA(SPLIT($B$47,"" ""))"),0.00242718446601942)</f>
        <v>0.002427184466</v>
      </c>
      <c r="F108" s="5"/>
      <c r="G108" s="5"/>
      <c r="H108" s="5"/>
      <c r="I108" s="5"/>
      <c r="J108" s="5"/>
      <c r="K108" s="50"/>
      <c r="L108" s="50"/>
      <c r="M108" s="50"/>
      <c r="N108" s="50"/>
      <c r="O108" s="50"/>
      <c r="P108" s="50"/>
      <c r="Q108" s="50"/>
      <c r="R108" s="50"/>
      <c r="S108" s="50"/>
      <c r="T108" s="50"/>
      <c r="U108" s="50"/>
      <c r="V108" s="50"/>
      <c r="W108" s="50"/>
      <c r="X108" s="50"/>
      <c r="Y108" s="50"/>
      <c r="Z108" s="50"/>
      <c r="AA108" s="50"/>
      <c r="AB108" s="50"/>
    </row>
    <row r="109" customFormat="false" ht="15.75" hidden="false" customHeight="false" outlineLevel="0" collapsed="false">
      <c r="A109" s="71"/>
      <c r="B109" s="71"/>
      <c r="C109" s="5" t="s">
        <v>8</v>
      </c>
      <c r="D109" s="48"/>
      <c r="E109" s="74" t="n">
        <f aca="false">IFERROR(__xludf.dummyfunction("COUNTA(SPLIT(D109,"" ""))/COUNTA(SPLIT($B$47,"" ""))"),0.00242718446601942)</f>
        <v>0.002427184466</v>
      </c>
      <c r="F109" s="5"/>
      <c r="G109" s="5"/>
      <c r="H109" s="5"/>
      <c r="I109" s="5"/>
      <c r="J109" s="5"/>
      <c r="K109" s="50"/>
      <c r="L109" s="50"/>
      <c r="M109" s="50"/>
      <c r="N109" s="50"/>
      <c r="O109" s="50"/>
      <c r="P109" s="50"/>
      <c r="Q109" s="50"/>
      <c r="R109" s="50"/>
      <c r="S109" s="50"/>
      <c r="T109" s="50"/>
      <c r="U109" s="50"/>
      <c r="V109" s="50"/>
      <c r="W109" s="50"/>
      <c r="X109" s="50"/>
      <c r="Y109" s="50"/>
      <c r="Z109" s="50"/>
      <c r="AA109" s="50"/>
      <c r="AB109" s="50"/>
    </row>
    <row r="110" customFormat="false" ht="15.75" hidden="false" customHeight="false" outlineLevel="0" collapsed="false">
      <c r="A110" s="71"/>
      <c r="B110" s="71"/>
      <c r="C110" s="5" t="s">
        <v>20</v>
      </c>
      <c r="D110" s="48"/>
      <c r="E110" s="75" t="n">
        <f aca="false">IFERROR(__xludf.dummyfunction("COUNTA(SPLIT(D110,"" ""))/COUNTA(SPLIT($B$47,"" ""))"),0.00242718446601942)</f>
        <v>0.002427184466</v>
      </c>
      <c r="F110" s="5"/>
      <c r="G110" s="5"/>
      <c r="H110" s="5"/>
      <c r="I110" s="5"/>
      <c r="J110" s="5"/>
      <c r="K110" s="50"/>
      <c r="L110" s="50"/>
      <c r="M110" s="50"/>
      <c r="N110" s="50"/>
      <c r="O110" s="50"/>
      <c r="P110" s="50"/>
      <c r="Q110" s="50"/>
      <c r="R110" s="50"/>
      <c r="S110" s="50"/>
      <c r="T110" s="50"/>
      <c r="U110" s="50"/>
      <c r="V110" s="50"/>
      <c r="W110" s="50"/>
      <c r="X110" s="50"/>
      <c r="Y110" s="50"/>
      <c r="Z110" s="50"/>
      <c r="AA110" s="50"/>
      <c r="AB110" s="50"/>
    </row>
    <row r="111" customFormat="false" ht="15.75" hidden="false" customHeight="false" outlineLevel="0" collapsed="false">
      <c r="A111" s="50"/>
      <c r="B111" s="50"/>
      <c r="C111" s="5"/>
      <c r="D111" s="48"/>
      <c r="E111" s="50"/>
      <c r="F111" s="5"/>
      <c r="G111" s="5"/>
      <c r="H111" s="5"/>
      <c r="I111" s="5"/>
      <c r="J111" s="5"/>
      <c r="K111" s="50"/>
      <c r="L111" s="50"/>
      <c r="M111" s="50"/>
      <c r="N111" s="50"/>
      <c r="O111" s="50"/>
      <c r="P111" s="50"/>
      <c r="Q111" s="50"/>
      <c r="R111" s="50"/>
      <c r="S111" s="50"/>
      <c r="T111" s="50"/>
      <c r="U111" s="50"/>
      <c r="V111" s="50"/>
      <c r="W111" s="50"/>
      <c r="X111" s="50"/>
      <c r="Y111" s="50"/>
      <c r="Z111" s="50"/>
      <c r="AA111" s="50"/>
      <c r="AB111" s="50"/>
    </row>
    <row r="112" customFormat="false" ht="15.75" hidden="false" customHeight="false" outlineLevel="0" collapsed="false">
      <c r="A112" s="71"/>
      <c r="B112" s="54"/>
      <c r="C112" s="55" t="s">
        <v>18</v>
      </c>
      <c r="D112" s="56"/>
      <c r="E112" s="72" t="n">
        <f aca="false">IFERROR(__xludf.dummyfunction("COUNTA(SPLIT(D112,"" ""))/COUNTA(SPLIT($B$47,"" ""))"),0.00242718446601942)</f>
        <v>0.002427184466</v>
      </c>
      <c r="F112" s="55"/>
      <c r="G112" s="55"/>
      <c r="H112" s="55"/>
      <c r="I112" s="55"/>
      <c r="J112" s="55"/>
      <c r="K112" s="58"/>
      <c r="L112" s="58"/>
      <c r="M112" s="58"/>
      <c r="N112" s="58"/>
      <c r="O112" s="58"/>
      <c r="P112" s="58"/>
      <c r="Q112" s="58"/>
      <c r="R112" s="58"/>
      <c r="S112" s="58"/>
      <c r="T112" s="58"/>
      <c r="U112" s="58"/>
      <c r="V112" s="58"/>
      <c r="W112" s="58"/>
      <c r="X112" s="58"/>
      <c r="Y112" s="58"/>
      <c r="Z112" s="58"/>
      <c r="AA112" s="58"/>
      <c r="AB112" s="58"/>
    </row>
    <row r="113" customFormat="false" ht="15.75" hidden="false" customHeight="false" outlineLevel="0" collapsed="false">
      <c r="A113" s="71"/>
      <c r="B113" s="71"/>
      <c r="C113" s="5" t="s">
        <v>19</v>
      </c>
      <c r="D113" s="48"/>
      <c r="E113" s="73" t="n">
        <f aca="false">IFERROR(__xludf.dummyfunction("COUNTA(SPLIT(D113,"" ""))/COUNTA(SPLIT($B$47,"" ""))"),0.00242718446601942)</f>
        <v>0.002427184466</v>
      </c>
      <c r="F113" s="5"/>
      <c r="G113" s="5"/>
      <c r="H113" s="5"/>
      <c r="I113" s="5"/>
      <c r="J113" s="5"/>
      <c r="K113" s="50"/>
      <c r="L113" s="50"/>
      <c r="M113" s="50"/>
      <c r="N113" s="50"/>
      <c r="O113" s="50"/>
      <c r="P113" s="50"/>
      <c r="Q113" s="50"/>
      <c r="R113" s="50"/>
      <c r="S113" s="50"/>
      <c r="T113" s="50"/>
      <c r="U113" s="50"/>
      <c r="V113" s="50"/>
      <c r="W113" s="50"/>
      <c r="X113" s="50"/>
      <c r="Y113" s="50"/>
      <c r="Z113" s="50"/>
      <c r="AA113" s="50"/>
      <c r="AB113" s="50"/>
    </row>
    <row r="114" customFormat="false" ht="15.75" hidden="false" customHeight="false" outlineLevel="0" collapsed="false">
      <c r="A114" s="71"/>
      <c r="B114" s="71"/>
      <c r="C114" s="5" t="s">
        <v>8</v>
      </c>
      <c r="D114" s="48"/>
      <c r="E114" s="74" t="n">
        <f aca="false">IFERROR(__xludf.dummyfunction("COUNTA(SPLIT(D114,"" ""))/COUNTA(SPLIT($B$47,"" ""))"),0.00242718446601942)</f>
        <v>0.002427184466</v>
      </c>
      <c r="F114" s="5"/>
      <c r="G114" s="5"/>
      <c r="H114" s="5"/>
      <c r="I114" s="5"/>
      <c r="J114" s="5"/>
      <c r="K114" s="50"/>
      <c r="L114" s="50"/>
      <c r="M114" s="50"/>
      <c r="N114" s="50"/>
      <c r="O114" s="50"/>
      <c r="P114" s="50"/>
      <c r="Q114" s="50"/>
      <c r="R114" s="50"/>
      <c r="S114" s="50"/>
      <c r="T114" s="50"/>
      <c r="U114" s="50"/>
      <c r="V114" s="50"/>
      <c r="W114" s="50"/>
      <c r="X114" s="50"/>
      <c r="Y114" s="50"/>
      <c r="Z114" s="50"/>
      <c r="AA114" s="50"/>
      <c r="AB114" s="50"/>
    </row>
    <row r="115" customFormat="false" ht="15.75" hidden="false" customHeight="false" outlineLevel="0" collapsed="false">
      <c r="A115" s="71"/>
      <c r="B115" s="71"/>
      <c r="C115" s="5" t="s">
        <v>20</v>
      </c>
      <c r="D115" s="48"/>
      <c r="E115" s="75" t="n">
        <f aca="false">IFERROR(__xludf.dummyfunction("COUNTA(SPLIT(D115,"" ""))/COUNTA(SPLIT($B$47,"" ""))"),0.00242718446601942)</f>
        <v>0.002427184466</v>
      </c>
      <c r="F115" s="5"/>
      <c r="G115" s="5"/>
      <c r="H115" s="5"/>
      <c r="I115" s="5"/>
      <c r="J115" s="5"/>
      <c r="K115" s="50"/>
      <c r="L115" s="50"/>
      <c r="M115" s="50"/>
      <c r="N115" s="50"/>
      <c r="O115" s="50"/>
      <c r="P115" s="50"/>
      <c r="Q115" s="50"/>
      <c r="R115" s="50"/>
      <c r="S115" s="50"/>
      <c r="T115" s="50"/>
      <c r="U115" s="50"/>
      <c r="V115" s="50"/>
      <c r="W115" s="50"/>
      <c r="X115" s="50"/>
      <c r="Y115" s="50"/>
      <c r="Z115" s="50"/>
      <c r="AA115" s="50"/>
      <c r="AB115" s="50"/>
    </row>
    <row r="116" customFormat="false" ht="15.75" hidden="false" customHeight="false" outlineLevel="0" collapsed="false">
      <c r="A116" s="50"/>
      <c r="B116" s="50"/>
      <c r="C116" s="5"/>
      <c r="D116" s="48"/>
      <c r="E116" s="50"/>
      <c r="F116" s="5"/>
      <c r="G116" s="5"/>
      <c r="H116" s="5"/>
      <c r="I116" s="5"/>
      <c r="J116" s="5"/>
      <c r="K116" s="50"/>
      <c r="L116" s="50"/>
      <c r="M116" s="50"/>
      <c r="N116" s="50"/>
      <c r="O116" s="50"/>
      <c r="P116" s="50"/>
      <c r="Q116" s="50"/>
      <c r="R116" s="50"/>
      <c r="S116" s="50"/>
      <c r="T116" s="50"/>
      <c r="U116" s="50"/>
      <c r="V116" s="50"/>
      <c r="W116" s="50"/>
      <c r="X116" s="50"/>
      <c r="Y116" s="50"/>
      <c r="Z116" s="50"/>
      <c r="AA116" s="50"/>
      <c r="AB116" s="50"/>
    </row>
    <row r="117" customFormat="false" ht="15.75" hidden="false" customHeight="false" outlineLevel="0" collapsed="false">
      <c r="A117" s="71"/>
      <c r="B117" s="54"/>
      <c r="C117" s="55" t="s">
        <v>18</v>
      </c>
      <c r="D117" s="56"/>
      <c r="E117" s="72" t="n">
        <f aca="false">IFERROR(__xludf.dummyfunction("COUNTA(SPLIT(D117,"" ""))/COUNTA(SPLIT($B$47,"" ""))"),0.00242718446601942)</f>
        <v>0.002427184466</v>
      </c>
      <c r="F117" s="55"/>
      <c r="G117" s="55"/>
      <c r="H117" s="55"/>
      <c r="I117" s="55"/>
      <c r="J117" s="55"/>
      <c r="K117" s="58"/>
      <c r="L117" s="58"/>
      <c r="M117" s="58"/>
      <c r="N117" s="58"/>
      <c r="O117" s="58"/>
      <c r="P117" s="58"/>
      <c r="Q117" s="58"/>
      <c r="R117" s="58"/>
      <c r="S117" s="58"/>
      <c r="T117" s="58"/>
      <c r="U117" s="58"/>
      <c r="V117" s="58"/>
      <c r="W117" s="58"/>
      <c r="X117" s="58"/>
      <c r="Y117" s="58"/>
      <c r="Z117" s="58"/>
      <c r="AA117" s="58"/>
      <c r="AB117" s="58"/>
    </row>
    <row r="118" customFormat="false" ht="15.75" hidden="false" customHeight="false" outlineLevel="0" collapsed="false">
      <c r="A118" s="71"/>
      <c r="B118" s="71"/>
      <c r="C118" s="5" t="s">
        <v>19</v>
      </c>
      <c r="D118" s="48"/>
      <c r="E118" s="73" t="n">
        <f aca="false">IFERROR(__xludf.dummyfunction("COUNTA(SPLIT(D118,"" ""))/COUNTA(SPLIT($B$47,"" ""))"),0.00242718446601942)</f>
        <v>0.002427184466</v>
      </c>
      <c r="F118" s="5"/>
      <c r="G118" s="5"/>
      <c r="H118" s="5"/>
      <c r="I118" s="5"/>
      <c r="J118" s="5"/>
      <c r="K118" s="50"/>
      <c r="L118" s="50"/>
      <c r="M118" s="50"/>
      <c r="N118" s="50"/>
      <c r="O118" s="50"/>
      <c r="P118" s="50"/>
      <c r="Q118" s="50"/>
      <c r="R118" s="50"/>
      <c r="S118" s="50"/>
      <c r="T118" s="50"/>
      <c r="U118" s="50"/>
      <c r="V118" s="50"/>
      <c r="W118" s="50"/>
      <c r="X118" s="50"/>
      <c r="Y118" s="50"/>
      <c r="Z118" s="50"/>
      <c r="AA118" s="50"/>
      <c r="AB118" s="50"/>
    </row>
    <row r="119" customFormat="false" ht="15.75" hidden="false" customHeight="false" outlineLevel="0" collapsed="false">
      <c r="A119" s="71"/>
      <c r="B119" s="71"/>
      <c r="C119" s="5" t="s">
        <v>8</v>
      </c>
      <c r="D119" s="48"/>
      <c r="E119" s="74" t="n">
        <f aca="false">IFERROR(__xludf.dummyfunction("COUNTA(SPLIT(D119,"" ""))/COUNTA(SPLIT($B$47,"" ""))"),0.00242718446601942)</f>
        <v>0.002427184466</v>
      </c>
      <c r="F119" s="5"/>
      <c r="G119" s="5"/>
      <c r="H119" s="5"/>
      <c r="I119" s="5"/>
      <c r="J119" s="5"/>
      <c r="K119" s="50"/>
      <c r="L119" s="50"/>
      <c r="M119" s="50"/>
      <c r="N119" s="50"/>
      <c r="O119" s="50"/>
      <c r="P119" s="50"/>
      <c r="Q119" s="50"/>
      <c r="R119" s="50"/>
      <c r="S119" s="50"/>
      <c r="T119" s="50"/>
      <c r="U119" s="50"/>
      <c r="V119" s="50"/>
      <c r="W119" s="50"/>
      <c r="X119" s="50"/>
      <c r="Y119" s="50"/>
      <c r="Z119" s="50"/>
      <c r="AA119" s="50"/>
      <c r="AB119" s="50"/>
    </row>
    <row r="120" customFormat="false" ht="15.75" hidden="false" customHeight="false" outlineLevel="0" collapsed="false">
      <c r="A120" s="71"/>
      <c r="B120" s="71"/>
      <c r="C120" s="5" t="s">
        <v>20</v>
      </c>
      <c r="D120" s="48"/>
      <c r="E120" s="75" t="n">
        <f aca="false">IFERROR(__xludf.dummyfunction("COUNTA(SPLIT(D120,"" ""))/COUNTA(SPLIT($B$47,"" ""))"),0.00242718446601942)</f>
        <v>0.002427184466</v>
      </c>
      <c r="F120" s="5"/>
      <c r="G120" s="5"/>
      <c r="H120" s="5"/>
      <c r="I120" s="5"/>
      <c r="J120" s="5"/>
      <c r="K120" s="50"/>
      <c r="L120" s="50"/>
      <c r="M120" s="50"/>
      <c r="N120" s="50"/>
      <c r="O120" s="50"/>
      <c r="P120" s="50"/>
      <c r="Q120" s="50"/>
      <c r="R120" s="50"/>
      <c r="S120" s="50"/>
      <c r="T120" s="50"/>
      <c r="U120" s="50"/>
      <c r="V120" s="50"/>
      <c r="W120" s="50"/>
      <c r="X120" s="50"/>
      <c r="Y120" s="50"/>
      <c r="Z120" s="50"/>
      <c r="AA120" s="50"/>
      <c r="AB120" s="50"/>
    </row>
    <row r="121" customFormat="false" ht="15.75" hidden="false" customHeight="false" outlineLevel="0" collapsed="false">
      <c r="A121" s="50"/>
      <c r="B121" s="50"/>
      <c r="C121" s="5"/>
      <c r="D121" s="48"/>
      <c r="E121" s="50"/>
      <c r="F121" s="5"/>
      <c r="G121" s="5"/>
      <c r="H121" s="5"/>
      <c r="I121" s="5"/>
      <c r="J121" s="5"/>
      <c r="K121" s="50"/>
      <c r="L121" s="50"/>
      <c r="M121" s="50"/>
      <c r="N121" s="50"/>
      <c r="O121" s="50"/>
      <c r="P121" s="50"/>
      <c r="Q121" s="50"/>
      <c r="R121" s="50"/>
      <c r="S121" s="50"/>
      <c r="T121" s="50"/>
      <c r="U121" s="50"/>
      <c r="V121" s="50"/>
      <c r="W121" s="50"/>
      <c r="X121" s="50"/>
      <c r="Y121" s="50"/>
      <c r="Z121" s="50"/>
      <c r="AA121" s="50"/>
      <c r="AB121" s="50"/>
    </row>
    <row r="122" customFormat="false" ht="15.75" hidden="false" customHeight="false" outlineLevel="0" collapsed="false">
      <c r="A122" s="71"/>
      <c r="B122" s="54"/>
      <c r="C122" s="55" t="s">
        <v>18</v>
      </c>
      <c r="D122" s="56"/>
      <c r="E122" s="72" t="n">
        <f aca="false">IFERROR(__xludf.dummyfunction("COUNTA(SPLIT(D122,"" ""))/COUNTA(SPLIT($B$47,"" ""))"),0.00242718446601942)</f>
        <v>0.002427184466</v>
      </c>
      <c r="F122" s="55"/>
      <c r="G122" s="55"/>
      <c r="H122" s="55"/>
      <c r="I122" s="55"/>
      <c r="J122" s="55"/>
      <c r="K122" s="58"/>
      <c r="L122" s="58"/>
      <c r="M122" s="58"/>
      <c r="N122" s="58"/>
      <c r="O122" s="58"/>
      <c r="P122" s="58"/>
      <c r="Q122" s="58"/>
      <c r="R122" s="58"/>
      <c r="S122" s="58"/>
      <c r="T122" s="58"/>
      <c r="U122" s="58"/>
      <c r="V122" s="58"/>
      <c r="W122" s="58"/>
      <c r="X122" s="58"/>
      <c r="Y122" s="58"/>
      <c r="Z122" s="58"/>
      <c r="AA122" s="58"/>
      <c r="AB122" s="58"/>
    </row>
    <row r="123" customFormat="false" ht="15.75" hidden="false" customHeight="false" outlineLevel="0" collapsed="false">
      <c r="A123" s="71"/>
      <c r="B123" s="71"/>
      <c r="C123" s="5" t="s">
        <v>19</v>
      </c>
      <c r="D123" s="48"/>
      <c r="E123" s="73" t="n">
        <f aca="false">IFERROR(__xludf.dummyfunction("COUNTA(SPLIT(D123,"" ""))/COUNTA(SPLIT($B$47,"" ""))"),0.00242718446601942)</f>
        <v>0.002427184466</v>
      </c>
      <c r="F123" s="5"/>
      <c r="G123" s="5"/>
      <c r="H123" s="5"/>
      <c r="I123" s="5"/>
      <c r="J123" s="5"/>
      <c r="K123" s="50"/>
      <c r="L123" s="50"/>
      <c r="M123" s="50"/>
      <c r="N123" s="50"/>
      <c r="O123" s="50"/>
      <c r="P123" s="50"/>
      <c r="Q123" s="50"/>
      <c r="R123" s="50"/>
      <c r="S123" s="50"/>
      <c r="T123" s="50"/>
      <c r="U123" s="50"/>
      <c r="V123" s="50"/>
      <c r="W123" s="50"/>
      <c r="X123" s="50"/>
      <c r="Y123" s="50"/>
      <c r="Z123" s="50"/>
      <c r="AA123" s="50"/>
      <c r="AB123" s="50"/>
    </row>
    <row r="124" customFormat="false" ht="15.75" hidden="false" customHeight="false" outlineLevel="0" collapsed="false">
      <c r="A124" s="71"/>
      <c r="B124" s="71"/>
      <c r="C124" s="5" t="s">
        <v>8</v>
      </c>
      <c r="D124" s="48"/>
      <c r="E124" s="74" t="n">
        <f aca="false">IFERROR(__xludf.dummyfunction("COUNTA(SPLIT(D124,"" ""))/COUNTA(SPLIT($B$47,"" ""))"),0.00242718446601942)</f>
        <v>0.002427184466</v>
      </c>
      <c r="F124" s="5"/>
      <c r="G124" s="5"/>
      <c r="H124" s="5"/>
      <c r="I124" s="5"/>
      <c r="J124" s="5"/>
      <c r="K124" s="50"/>
      <c r="L124" s="50"/>
      <c r="M124" s="50"/>
      <c r="N124" s="50"/>
      <c r="O124" s="50"/>
      <c r="P124" s="50"/>
      <c r="Q124" s="50"/>
      <c r="R124" s="50"/>
      <c r="S124" s="50"/>
      <c r="T124" s="50"/>
      <c r="U124" s="50"/>
      <c r="V124" s="50"/>
      <c r="W124" s="50"/>
      <c r="X124" s="50"/>
      <c r="Y124" s="50"/>
      <c r="Z124" s="50"/>
      <c r="AA124" s="50"/>
      <c r="AB124" s="50"/>
    </row>
    <row r="125" customFormat="false" ht="15.75" hidden="false" customHeight="false" outlineLevel="0" collapsed="false">
      <c r="A125" s="71"/>
      <c r="B125" s="71"/>
      <c r="C125" s="5" t="s">
        <v>20</v>
      </c>
      <c r="D125" s="48"/>
      <c r="E125" s="75" t="n">
        <f aca="false">IFERROR(__xludf.dummyfunction("COUNTA(SPLIT(D125,"" ""))/COUNTA(SPLIT($B$47,"" ""))"),0.00242718446601942)</f>
        <v>0.002427184466</v>
      </c>
      <c r="F125" s="5"/>
      <c r="G125" s="5"/>
      <c r="H125" s="5"/>
      <c r="I125" s="5"/>
      <c r="J125" s="5"/>
      <c r="K125" s="50"/>
      <c r="L125" s="50"/>
      <c r="M125" s="50"/>
      <c r="N125" s="50"/>
      <c r="O125" s="50"/>
      <c r="P125" s="50"/>
      <c r="Q125" s="50"/>
      <c r="R125" s="50"/>
      <c r="S125" s="50"/>
      <c r="T125" s="50"/>
      <c r="U125" s="50"/>
      <c r="V125" s="50"/>
      <c r="W125" s="50"/>
      <c r="X125" s="50"/>
      <c r="Y125" s="50"/>
      <c r="Z125" s="50"/>
      <c r="AA125" s="50"/>
      <c r="AB125" s="50"/>
    </row>
    <row r="126" customFormat="false" ht="15.75" hidden="false" customHeight="false" outlineLevel="0" collapsed="false">
      <c r="A126" s="50"/>
      <c r="B126" s="50"/>
      <c r="C126" s="5"/>
      <c r="D126" s="48"/>
      <c r="E126" s="50"/>
      <c r="F126" s="5"/>
      <c r="G126" s="5"/>
      <c r="H126" s="5"/>
      <c r="I126" s="5"/>
      <c r="J126" s="5"/>
      <c r="K126" s="50"/>
      <c r="L126" s="50"/>
      <c r="M126" s="50"/>
      <c r="N126" s="50"/>
      <c r="O126" s="50"/>
      <c r="P126" s="50"/>
      <c r="Q126" s="50"/>
      <c r="R126" s="50"/>
      <c r="S126" s="50"/>
      <c r="T126" s="50"/>
      <c r="U126" s="50"/>
      <c r="V126" s="50"/>
      <c r="W126" s="50"/>
      <c r="X126" s="50"/>
      <c r="Y126" s="50"/>
      <c r="Z126" s="50"/>
      <c r="AA126" s="50"/>
      <c r="AB126" s="50"/>
    </row>
    <row r="127" customFormat="false" ht="15.75" hidden="false" customHeight="false" outlineLevel="0" collapsed="false">
      <c r="A127" s="71"/>
      <c r="B127" s="54"/>
      <c r="C127" s="55" t="s">
        <v>18</v>
      </c>
      <c r="D127" s="56"/>
      <c r="E127" s="72" t="n">
        <f aca="false">IFERROR(__xludf.dummyfunction("COUNTA(SPLIT(D127,"" ""))/COUNTA(SPLIT($B$47,"" ""))"),0.00242718446601942)</f>
        <v>0.002427184466</v>
      </c>
      <c r="F127" s="55"/>
      <c r="G127" s="55"/>
      <c r="H127" s="55"/>
      <c r="I127" s="55"/>
      <c r="J127" s="55"/>
      <c r="K127" s="58"/>
      <c r="L127" s="58"/>
      <c r="M127" s="58"/>
      <c r="N127" s="58"/>
      <c r="O127" s="58"/>
      <c r="P127" s="58"/>
      <c r="Q127" s="58"/>
      <c r="R127" s="58"/>
      <c r="S127" s="58"/>
      <c r="T127" s="58"/>
      <c r="U127" s="58"/>
      <c r="V127" s="58"/>
      <c r="W127" s="58"/>
      <c r="X127" s="58"/>
      <c r="Y127" s="58"/>
      <c r="Z127" s="58"/>
      <c r="AA127" s="58"/>
      <c r="AB127" s="58"/>
    </row>
    <row r="128" customFormat="false" ht="15.75" hidden="false" customHeight="false" outlineLevel="0" collapsed="false">
      <c r="A128" s="71"/>
      <c r="B128" s="71"/>
      <c r="C128" s="5" t="s">
        <v>19</v>
      </c>
      <c r="D128" s="48"/>
      <c r="E128" s="73" t="n">
        <f aca="false">IFERROR(__xludf.dummyfunction("COUNTA(SPLIT(D128,"" ""))/COUNTA(SPLIT($B$47,"" ""))"),0.00242718446601942)</f>
        <v>0.002427184466</v>
      </c>
      <c r="F128" s="5"/>
      <c r="G128" s="5"/>
      <c r="H128" s="5"/>
      <c r="I128" s="5"/>
      <c r="J128" s="5"/>
      <c r="K128" s="50"/>
      <c r="L128" s="50"/>
      <c r="M128" s="50"/>
      <c r="N128" s="50"/>
      <c r="O128" s="50"/>
      <c r="P128" s="50"/>
      <c r="Q128" s="50"/>
      <c r="R128" s="50"/>
      <c r="S128" s="50"/>
      <c r="T128" s="50"/>
      <c r="U128" s="50"/>
      <c r="V128" s="50"/>
      <c r="W128" s="50"/>
      <c r="X128" s="50"/>
      <c r="Y128" s="50"/>
      <c r="Z128" s="50"/>
      <c r="AA128" s="50"/>
      <c r="AB128" s="50"/>
    </row>
    <row r="129" customFormat="false" ht="15.75" hidden="false" customHeight="false" outlineLevel="0" collapsed="false">
      <c r="A129" s="71"/>
      <c r="B129" s="71"/>
      <c r="C129" s="5" t="s">
        <v>8</v>
      </c>
      <c r="D129" s="48"/>
      <c r="E129" s="74" t="n">
        <f aca="false">IFERROR(__xludf.dummyfunction("COUNTA(SPLIT(D129,"" ""))/COUNTA(SPLIT($B$47,"" ""))"),0.00242718446601942)</f>
        <v>0.002427184466</v>
      </c>
      <c r="F129" s="5"/>
      <c r="G129" s="5"/>
      <c r="H129" s="5"/>
      <c r="I129" s="5"/>
      <c r="J129" s="5"/>
      <c r="K129" s="50"/>
      <c r="L129" s="50"/>
      <c r="M129" s="50"/>
      <c r="N129" s="50"/>
      <c r="O129" s="50"/>
      <c r="P129" s="50"/>
      <c r="Q129" s="50"/>
      <c r="R129" s="50"/>
      <c r="S129" s="50"/>
      <c r="T129" s="50"/>
      <c r="U129" s="50"/>
      <c r="V129" s="50"/>
      <c r="W129" s="50"/>
      <c r="X129" s="50"/>
      <c r="Y129" s="50"/>
      <c r="Z129" s="50"/>
      <c r="AA129" s="50"/>
      <c r="AB129" s="50"/>
    </row>
    <row r="130" customFormat="false" ht="15.75" hidden="false" customHeight="false" outlineLevel="0" collapsed="false">
      <c r="A130" s="71"/>
      <c r="B130" s="71"/>
      <c r="C130" s="5" t="s">
        <v>20</v>
      </c>
      <c r="D130" s="48"/>
      <c r="E130" s="75" t="n">
        <f aca="false">IFERROR(__xludf.dummyfunction("COUNTA(SPLIT(D130,"" ""))/COUNTA(SPLIT($B$47,"" ""))"),0.00242718446601942)</f>
        <v>0.002427184466</v>
      </c>
      <c r="F130" s="5"/>
      <c r="G130" s="5"/>
      <c r="H130" s="5"/>
      <c r="I130" s="5"/>
      <c r="J130" s="5"/>
      <c r="K130" s="50"/>
      <c r="L130" s="50"/>
      <c r="M130" s="50"/>
      <c r="N130" s="50"/>
      <c r="O130" s="50"/>
      <c r="P130" s="50"/>
      <c r="Q130" s="50"/>
      <c r="R130" s="50"/>
      <c r="S130" s="50"/>
      <c r="T130" s="50"/>
      <c r="U130" s="50"/>
      <c r="V130" s="50"/>
      <c r="W130" s="50"/>
      <c r="X130" s="50"/>
      <c r="Y130" s="50"/>
      <c r="Z130" s="50"/>
      <c r="AA130" s="50"/>
      <c r="AB130" s="50"/>
    </row>
    <row r="131" customFormat="false" ht="15.75" hidden="false" customHeight="false" outlineLevel="0" collapsed="false">
      <c r="A131" s="50"/>
      <c r="B131" s="50"/>
      <c r="C131" s="5"/>
      <c r="D131" s="48"/>
      <c r="E131" s="50"/>
      <c r="F131" s="5"/>
      <c r="G131" s="5"/>
      <c r="H131" s="5"/>
      <c r="I131" s="5"/>
      <c r="J131" s="5"/>
      <c r="K131" s="50"/>
      <c r="L131" s="50"/>
      <c r="M131" s="50"/>
      <c r="N131" s="50"/>
      <c r="O131" s="50"/>
      <c r="P131" s="50"/>
      <c r="Q131" s="50"/>
      <c r="R131" s="50"/>
      <c r="S131" s="50"/>
      <c r="T131" s="50"/>
      <c r="U131" s="50"/>
      <c r="V131" s="50"/>
      <c r="W131" s="50"/>
      <c r="X131" s="50"/>
      <c r="Y131" s="50"/>
      <c r="Z131" s="50"/>
      <c r="AA131" s="50"/>
      <c r="AB131" s="50"/>
    </row>
    <row r="132" customFormat="false" ht="15.75" hidden="false" customHeight="false" outlineLevel="0" collapsed="false">
      <c r="A132" s="71"/>
      <c r="B132" s="54"/>
      <c r="C132" s="55" t="s">
        <v>18</v>
      </c>
      <c r="D132" s="56"/>
      <c r="E132" s="72" t="n">
        <f aca="false">IFERROR(__xludf.dummyfunction("COUNTA(SPLIT(D132,"" ""))/COUNTA(SPLIT($B$47,"" ""))"),0.00242718446601942)</f>
        <v>0.002427184466</v>
      </c>
      <c r="F132" s="55"/>
      <c r="G132" s="55"/>
      <c r="H132" s="55"/>
      <c r="I132" s="55"/>
      <c r="J132" s="55"/>
      <c r="K132" s="58"/>
      <c r="L132" s="58"/>
      <c r="M132" s="58"/>
      <c r="N132" s="58"/>
      <c r="O132" s="58"/>
      <c r="P132" s="58"/>
      <c r="Q132" s="58"/>
      <c r="R132" s="58"/>
      <c r="S132" s="58"/>
      <c r="T132" s="58"/>
      <c r="U132" s="58"/>
      <c r="V132" s="58"/>
      <c r="W132" s="58"/>
      <c r="X132" s="58"/>
      <c r="Y132" s="58"/>
      <c r="Z132" s="58"/>
      <c r="AA132" s="58"/>
      <c r="AB132" s="58"/>
    </row>
    <row r="133" customFormat="false" ht="15.75" hidden="false" customHeight="false" outlineLevel="0" collapsed="false">
      <c r="A133" s="71"/>
      <c r="B133" s="71"/>
      <c r="C133" s="5" t="s">
        <v>19</v>
      </c>
      <c r="D133" s="48"/>
      <c r="E133" s="73" t="n">
        <f aca="false">IFERROR(__xludf.dummyfunction("COUNTA(SPLIT(D133,"" ""))/COUNTA(SPLIT($B$47,"" ""))"),0.00242718446601942)</f>
        <v>0.002427184466</v>
      </c>
      <c r="F133" s="5"/>
      <c r="G133" s="5"/>
      <c r="H133" s="5"/>
      <c r="I133" s="5"/>
      <c r="J133" s="5"/>
      <c r="K133" s="50"/>
      <c r="L133" s="50"/>
      <c r="M133" s="50"/>
      <c r="N133" s="50"/>
      <c r="O133" s="50"/>
      <c r="P133" s="50"/>
      <c r="Q133" s="50"/>
      <c r="R133" s="50"/>
      <c r="S133" s="50"/>
      <c r="T133" s="50"/>
      <c r="U133" s="50"/>
      <c r="V133" s="50"/>
      <c r="W133" s="50"/>
      <c r="X133" s="50"/>
      <c r="Y133" s="50"/>
      <c r="Z133" s="50"/>
      <c r="AA133" s="50"/>
      <c r="AB133" s="50"/>
    </row>
    <row r="134" customFormat="false" ht="15.75" hidden="false" customHeight="false" outlineLevel="0" collapsed="false">
      <c r="A134" s="71"/>
      <c r="B134" s="71"/>
      <c r="C134" s="5" t="s">
        <v>8</v>
      </c>
      <c r="D134" s="48"/>
      <c r="E134" s="74" t="n">
        <f aca="false">IFERROR(__xludf.dummyfunction("COUNTA(SPLIT(D134,"" ""))/COUNTA(SPLIT($B$47,"" ""))"),0.00242718446601942)</f>
        <v>0.002427184466</v>
      </c>
      <c r="F134" s="5"/>
      <c r="G134" s="5"/>
      <c r="H134" s="5"/>
      <c r="I134" s="5"/>
      <c r="J134" s="5"/>
      <c r="K134" s="50"/>
      <c r="L134" s="50"/>
      <c r="M134" s="50"/>
      <c r="N134" s="50"/>
      <c r="O134" s="50"/>
      <c r="P134" s="50"/>
      <c r="Q134" s="50"/>
      <c r="R134" s="50"/>
      <c r="S134" s="50"/>
      <c r="T134" s="50"/>
      <c r="U134" s="50"/>
      <c r="V134" s="50"/>
      <c r="W134" s="50"/>
      <c r="X134" s="50"/>
      <c r="Y134" s="50"/>
      <c r="Z134" s="50"/>
      <c r="AA134" s="50"/>
      <c r="AB134" s="50"/>
    </row>
    <row r="135" customFormat="false" ht="15.75" hidden="false" customHeight="false" outlineLevel="0" collapsed="false">
      <c r="A135" s="71"/>
      <c r="B135" s="71"/>
      <c r="C135" s="5" t="s">
        <v>20</v>
      </c>
      <c r="D135" s="48"/>
      <c r="E135" s="75" t="n">
        <f aca="false">IFERROR(__xludf.dummyfunction("COUNTA(SPLIT(D135,"" ""))/COUNTA(SPLIT($B$47,"" ""))"),0.00242718446601942)</f>
        <v>0.002427184466</v>
      </c>
      <c r="F135" s="5"/>
      <c r="G135" s="5"/>
      <c r="H135" s="5"/>
      <c r="I135" s="5"/>
      <c r="J135" s="5"/>
      <c r="K135" s="50"/>
      <c r="L135" s="50"/>
      <c r="M135" s="50"/>
      <c r="N135" s="50"/>
      <c r="O135" s="50"/>
      <c r="P135" s="50"/>
      <c r="Q135" s="50"/>
      <c r="R135" s="50"/>
      <c r="S135" s="50"/>
      <c r="T135" s="50"/>
      <c r="U135" s="50"/>
      <c r="V135" s="50"/>
      <c r="W135" s="50"/>
      <c r="X135" s="50"/>
      <c r="Y135" s="50"/>
      <c r="Z135" s="50"/>
      <c r="AA135" s="50"/>
      <c r="AB135" s="50"/>
    </row>
    <row r="136" customFormat="false" ht="15.75" hidden="false" customHeight="false" outlineLevel="0" collapsed="false">
      <c r="A136" s="50"/>
      <c r="B136" s="50"/>
      <c r="C136" s="5"/>
      <c r="D136" s="48"/>
      <c r="E136" s="50"/>
      <c r="F136" s="5"/>
      <c r="G136" s="5"/>
      <c r="H136" s="5"/>
      <c r="I136" s="5"/>
      <c r="J136" s="5"/>
      <c r="K136" s="50"/>
      <c r="L136" s="50"/>
      <c r="M136" s="50"/>
      <c r="N136" s="50"/>
      <c r="O136" s="50"/>
      <c r="P136" s="50"/>
      <c r="Q136" s="50"/>
      <c r="R136" s="50"/>
      <c r="S136" s="50"/>
      <c r="T136" s="50"/>
      <c r="U136" s="50"/>
      <c r="V136" s="50"/>
      <c r="W136" s="50"/>
      <c r="X136" s="50"/>
      <c r="Y136" s="50"/>
      <c r="Z136" s="50"/>
      <c r="AA136" s="50"/>
      <c r="AB136" s="50"/>
    </row>
    <row r="137" customFormat="false" ht="15.75" hidden="false" customHeight="false" outlineLevel="0" collapsed="false">
      <c r="A137" s="71"/>
      <c r="B137" s="54"/>
      <c r="C137" s="55" t="s">
        <v>18</v>
      </c>
      <c r="D137" s="56"/>
      <c r="E137" s="72" t="n">
        <f aca="false">IFERROR(__xludf.dummyfunction("COUNTA(SPLIT(D137,"" ""))/COUNTA(SPLIT($B$47,"" ""))"),0.00242718446601942)</f>
        <v>0.002427184466</v>
      </c>
      <c r="F137" s="55"/>
      <c r="G137" s="55"/>
      <c r="H137" s="55"/>
      <c r="I137" s="55"/>
      <c r="J137" s="55"/>
      <c r="K137" s="58"/>
      <c r="L137" s="58"/>
      <c r="M137" s="58"/>
      <c r="N137" s="58"/>
      <c r="O137" s="58"/>
      <c r="P137" s="58"/>
      <c r="Q137" s="58"/>
      <c r="R137" s="58"/>
      <c r="S137" s="58"/>
      <c r="T137" s="58"/>
      <c r="U137" s="58"/>
      <c r="V137" s="58"/>
      <c r="W137" s="58"/>
      <c r="X137" s="58"/>
      <c r="Y137" s="58"/>
      <c r="Z137" s="58"/>
      <c r="AA137" s="58"/>
      <c r="AB137" s="58"/>
    </row>
    <row r="138" customFormat="false" ht="15.75" hidden="false" customHeight="false" outlineLevel="0" collapsed="false">
      <c r="A138" s="71"/>
      <c r="B138" s="71"/>
      <c r="C138" s="5" t="s">
        <v>19</v>
      </c>
      <c r="D138" s="48"/>
      <c r="E138" s="73" t="n">
        <f aca="false">IFERROR(__xludf.dummyfunction("COUNTA(SPLIT(D138,"" ""))/COUNTA(SPLIT($B$47,"" ""))"),0.00242718446601942)</f>
        <v>0.002427184466</v>
      </c>
      <c r="F138" s="5"/>
      <c r="G138" s="5"/>
      <c r="H138" s="5"/>
      <c r="I138" s="5"/>
      <c r="J138" s="5"/>
      <c r="K138" s="50"/>
      <c r="L138" s="50"/>
      <c r="M138" s="50"/>
      <c r="N138" s="50"/>
      <c r="O138" s="50"/>
      <c r="P138" s="50"/>
      <c r="Q138" s="50"/>
      <c r="R138" s="50"/>
      <c r="S138" s="50"/>
      <c r="T138" s="50"/>
      <c r="U138" s="50"/>
      <c r="V138" s="50"/>
      <c r="W138" s="50"/>
      <c r="X138" s="50"/>
      <c r="Y138" s="50"/>
      <c r="Z138" s="50"/>
      <c r="AA138" s="50"/>
      <c r="AB138" s="50"/>
    </row>
    <row r="139" customFormat="false" ht="15.75" hidden="false" customHeight="false" outlineLevel="0" collapsed="false">
      <c r="A139" s="71"/>
      <c r="B139" s="71"/>
      <c r="C139" s="5" t="s">
        <v>8</v>
      </c>
      <c r="D139" s="48"/>
      <c r="E139" s="74" t="n">
        <f aca="false">IFERROR(__xludf.dummyfunction("COUNTA(SPLIT(D139,"" ""))/COUNTA(SPLIT($B$47,"" ""))"),0.00242718446601942)</f>
        <v>0.002427184466</v>
      </c>
      <c r="F139" s="5"/>
      <c r="G139" s="5"/>
      <c r="H139" s="5"/>
      <c r="I139" s="5"/>
      <c r="J139" s="5"/>
      <c r="K139" s="50"/>
      <c r="L139" s="50"/>
      <c r="M139" s="50"/>
      <c r="N139" s="50"/>
      <c r="O139" s="50"/>
      <c r="P139" s="50"/>
      <c r="Q139" s="50"/>
      <c r="R139" s="50"/>
      <c r="S139" s="50"/>
      <c r="T139" s="50"/>
      <c r="U139" s="50"/>
      <c r="V139" s="50"/>
      <c r="W139" s="50"/>
      <c r="X139" s="50"/>
      <c r="Y139" s="50"/>
      <c r="Z139" s="50"/>
      <c r="AA139" s="50"/>
      <c r="AB139" s="50"/>
    </row>
    <row r="140" customFormat="false" ht="15.75" hidden="false" customHeight="false" outlineLevel="0" collapsed="false">
      <c r="A140" s="71"/>
      <c r="B140" s="71"/>
      <c r="C140" s="5" t="s">
        <v>20</v>
      </c>
      <c r="D140" s="48"/>
      <c r="E140" s="75" t="n">
        <f aca="false">IFERROR(__xludf.dummyfunction("COUNTA(SPLIT(D140,"" ""))/COUNTA(SPLIT($B$47,"" ""))"),0.00242718446601942)</f>
        <v>0.002427184466</v>
      </c>
      <c r="F140" s="5"/>
      <c r="G140" s="5"/>
      <c r="H140" s="5"/>
      <c r="I140" s="5"/>
      <c r="J140" s="5"/>
      <c r="K140" s="50"/>
      <c r="L140" s="50"/>
      <c r="M140" s="50"/>
      <c r="N140" s="50"/>
      <c r="O140" s="50"/>
      <c r="P140" s="50"/>
      <c r="Q140" s="50"/>
      <c r="R140" s="50"/>
      <c r="S140" s="50"/>
      <c r="T140" s="50"/>
      <c r="U140" s="50"/>
      <c r="V140" s="50"/>
      <c r="W140" s="50"/>
      <c r="X140" s="50"/>
      <c r="Y140" s="50"/>
      <c r="Z140" s="50"/>
      <c r="AA140" s="50"/>
      <c r="AB140" s="50"/>
    </row>
    <row r="141" customFormat="false" ht="15.75" hidden="false" customHeight="false" outlineLevel="0" collapsed="false">
      <c r="A141" s="50"/>
      <c r="B141" s="50"/>
      <c r="C141" s="5"/>
      <c r="D141" s="48"/>
      <c r="E141" s="50"/>
      <c r="F141" s="5"/>
      <c r="G141" s="5"/>
      <c r="H141" s="5"/>
      <c r="I141" s="5"/>
      <c r="J141" s="5"/>
      <c r="K141" s="50"/>
      <c r="L141" s="50"/>
      <c r="M141" s="50"/>
      <c r="N141" s="50"/>
      <c r="O141" s="50"/>
      <c r="P141" s="50"/>
      <c r="Q141" s="50"/>
      <c r="R141" s="50"/>
      <c r="S141" s="50"/>
      <c r="T141" s="50"/>
      <c r="U141" s="50"/>
      <c r="V141" s="50"/>
      <c r="W141" s="50"/>
      <c r="X141" s="50"/>
      <c r="Y141" s="50"/>
      <c r="Z141" s="50"/>
      <c r="AA141" s="50"/>
      <c r="AB141" s="50"/>
    </row>
    <row r="142" customFormat="false" ht="15.75" hidden="false" customHeight="false" outlineLevel="0" collapsed="false">
      <c r="A142" s="71"/>
      <c r="B142" s="54"/>
      <c r="C142" s="55" t="s">
        <v>18</v>
      </c>
      <c r="D142" s="56"/>
      <c r="E142" s="72" t="n">
        <f aca="false">IFERROR(__xludf.dummyfunction("COUNTA(SPLIT(D142,"" ""))/COUNTA(SPLIT($B$47,"" ""))"),0.00242718446601942)</f>
        <v>0.002427184466</v>
      </c>
      <c r="F142" s="55"/>
      <c r="G142" s="55"/>
      <c r="H142" s="55"/>
      <c r="I142" s="55"/>
      <c r="J142" s="55"/>
      <c r="K142" s="58"/>
      <c r="L142" s="58"/>
      <c r="M142" s="58"/>
      <c r="N142" s="58"/>
      <c r="O142" s="58"/>
      <c r="P142" s="58"/>
      <c r="Q142" s="58"/>
      <c r="R142" s="58"/>
      <c r="S142" s="58"/>
      <c r="T142" s="58"/>
      <c r="U142" s="58"/>
      <c r="V142" s="58"/>
      <c r="W142" s="58"/>
      <c r="X142" s="58"/>
      <c r="Y142" s="58"/>
      <c r="Z142" s="58"/>
      <c r="AA142" s="58"/>
      <c r="AB142" s="58"/>
    </row>
    <row r="143" customFormat="false" ht="15.75" hidden="false" customHeight="false" outlineLevel="0" collapsed="false">
      <c r="A143" s="71"/>
      <c r="B143" s="71"/>
      <c r="C143" s="5" t="s">
        <v>19</v>
      </c>
      <c r="D143" s="48"/>
      <c r="E143" s="73" t="n">
        <f aca="false">IFERROR(__xludf.dummyfunction("COUNTA(SPLIT(D143,"" ""))/COUNTA(SPLIT($B$47,"" ""))"),0.00242718446601942)</f>
        <v>0.002427184466</v>
      </c>
      <c r="F143" s="5"/>
      <c r="G143" s="5"/>
      <c r="H143" s="5"/>
      <c r="I143" s="5"/>
      <c r="J143" s="5"/>
      <c r="K143" s="50"/>
      <c r="L143" s="50"/>
      <c r="M143" s="50"/>
      <c r="N143" s="50"/>
      <c r="O143" s="50"/>
      <c r="P143" s="50"/>
      <c r="Q143" s="50"/>
      <c r="R143" s="50"/>
      <c r="S143" s="50"/>
      <c r="T143" s="50"/>
      <c r="U143" s="50"/>
      <c r="V143" s="50"/>
      <c r="W143" s="50"/>
      <c r="X143" s="50"/>
      <c r="Y143" s="50"/>
      <c r="Z143" s="50"/>
      <c r="AA143" s="50"/>
      <c r="AB143" s="50"/>
    </row>
    <row r="144" customFormat="false" ht="15.75" hidden="false" customHeight="false" outlineLevel="0" collapsed="false">
      <c r="A144" s="71"/>
      <c r="B144" s="71"/>
      <c r="C144" s="5" t="s">
        <v>8</v>
      </c>
      <c r="D144" s="48"/>
      <c r="E144" s="74" t="n">
        <f aca="false">IFERROR(__xludf.dummyfunction("COUNTA(SPLIT(D144,"" ""))/COUNTA(SPLIT($B$47,"" ""))"),0.00242718446601942)</f>
        <v>0.002427184466</v>
      </c>
      <c r="F144" s="5"/>
      <c r="G144" s="5"/>
      <c r="H144" s="5"/>
      <c r="I144" s="5"/>
      <c r="J144" s="5"/>
      <c r="K144" s="50"/>
      <c r="L144" s="50"/>
      <c r="M144" s="50"/>
      <c r="N144" s="50"/>
      <c r="O144" s="50"/>
      <c r="P144" s="50"/>
      <c r="Q144" s="50"/>
      <c r="R144" s="50"/>
      <c r="S144" s="50"/>
      <c r="T144" s="50"/>
      <c r="U144" s="50"/>
      <c r="V144" s="50"/>
      <c r="W144" s="50"/>
      <c r="X144" s="50"/>
      <c r="Y144" s="50"/>
      <c r="Z144" s="50"/>
      <c r="AA144" s="50"/>
      <c r="AB144" s="50"/>
    </row>
    <row r="145" customFormat="false" ht="15.75" hidden="false" customHeight="false" outlineLevel="0" collapsed="false">
      <c r="A145" s="71"/>
      <c r="B145" s="71"/>
      <c r="C145" s="5" t="s">
        <v>20</v>
      </c>
      <c r="D145" s="48"/>
      <c r="E145" s="75" t="n">
        <f aca="false">IFERROR(__xludf.dummyfunction("COUNTA(SPLIT(D145,"" ""))/COUNTA(SPLIT($B$47,"" ""))"),0.00242718446601942)</f>
        <v>0.002427184466</v>
      </c>
      <c r="F145" s="5"/>
      <c r="G145" s="5"/>
      <c r="H145" s="5"/>
      <c r="I145" s="5"/>
      <c r="J145" s="5"/>
      <c r="K145" s="50"/>
      <c r="L145" s="50"/>
      <c r="M145" s="50"/>
      <c r="N145" s="50"/>
      <c r="O145" s="50"/>
      <c r="P145" s="50"/>
      <c r="Q145" s="50"/>
      <c r="R145" s="50"/>
      <c r="S145" s="50"/>
      <c r="T145" s="50"/>
      <c r="U145" s="50"/>
      <c r="V145" s="50"/>
      <c r="W145" s="50"/>
      <c r="X145" s="50"/>
      <c r="Y145" s="50"/>
      <c r="Z145" s="50"/>
      <c r="AA145" s="50"/>
      <c r="AB145" s="50"/>
    </row>
    <row r="146" customFormat="false" ht="15.75" hidden="false" customHeight="false" outlineLevel="0" collapsed="false">
      <c r="A146" s="50"/>
      <c r="B146" s="50"/>
      <c r="C146" s="5"/>
      <c r="D146" s="48"/>
      <c r="E146" s="50"/>
      <c r="F146" s="5"/>
      <c r="G146" s="5"/>
      <c r="H146" s="5"/>
      <c r="I146" s="5"/>
      <c r="J146" s="5"/>
      <c r="K146" s="50"/>
      <c r="L146" s="50"/>
      <c r="M146" s="50"/>
      <c r="N146" s="50"/>
      <c r="O146" s="50"/>
      <c r="P146" s="50"/>
      <c r="Q146" s="50"/>
      <c r="R146" s="50"/>
      <c r="S146" s="50"/>
      <c r="T146" s="50"/>
      <c r="U146" s="50"/>
      <c r="V146" s="50"/>
      <c r="W146" s="50"/>
      <c r="X146" s="50"/>
      <c r="Y146" s="50"/>
      <c r="Z146" s="50"/>
      <c r="AA146" s="50"/>
      <c r="AB146" s="50"/>
    </row>
    <row r="147" customFormat="false" ht="15.75" hidden="false" customHeight="false" outlineLevel="0" collapsed="false">
      <c r="A147" s="71"/>
      <c r="B147" s="54"/>
      <c r="C147" s="55" t="s">
        <v>18</v>
      </c>
      <c r="D147" s="56"/>
      <c r="E147" s="72" t="n">
        <f aca="false">IFERROR(__xludf.dummyfunction("COUNTA(SPLIT(D147,"" ""))/COUNTA(SPLIT($B$47,"" ""))"),0.00242718446601942)</f>
        <v>0.002427184466</v>
      </c>
      <c r="F147" s="55"/>
      <c r="G147" s="55"/>
      <c r="H147" s="55"/>
      <c r="I147" s="55"/>
      <c r="J147" s="55"/>
      <c r="K147" s="58"/>
      <c r="L147" s="58"/>
      <c r="M147" s="58"/>
      <c r="N147" s="58"/>
      <c r="O147" s="58"/>
      <c r="P147" s="58"/>
      <c r="Q147" s="58"/>
      <c r="R147" s="58"/>
      <c r="S147" s="58"/>
      <c r="T147" s="58"/>
      <c r="U147" s="58"/>
      <c r="V147" s="58"/>
      <c r="W147" s="58"/>
      <c r="X147" s="58"/>
      <c r="Y147" s="58"/>
      <c r="Z147" s="58"/>
      <c r="AA147" s="58"/>
      <c r="AB147" s="58"/>
    </row>
    <row r="148" customFormat="false" ht="15.75" hidden="false" customHeight="false" outlineLevel="0" collapsed="false">
      <c r="A148" s="71"/>
      <c r="B148" s="71"/>
      <c r="C148" s="5" t="s">
        <v>19</v>
      </c>
      <c r="D148" s="48"/>
      <c r="E148" s="73" t="n">
        <f aca="false">IFERROR(__xludf.dummyfunction("COUNTA(SPLIT(D148,"" ""))/COUNTA(SPLIT($B$47,"" ""))"),0.00242718446601942)</f>
        <v>0.002427184466</v>
      </c>
      <c r="F148" s="5"/>
      <c r="G148" s="5"/>
      <c r="H148" s="5"/>
      <c r="I148" s="5"/>
      <c r="J148" s="5"/>
      <c r="K148" s="50"/>
      <c r="L148" s="50"/>
      <c r="M148" s="50"/>
      <c r="N148" s="50"/>
      <c r="O148" s="50"/>
      <c r="P148" s="50"/>
      <c r="Q148" s="50"/>
      <c r="R148" s="50"/>
      <c r="S148" s="50"/>
      <c r="T148" s="50"/>
      <c r="U148" s="50"/>
      <c r="V148" s="50"/>
      <c r="W148" s="50"/>
      <c r="X148" s="50"/>
      <c r="Y148" s="50"/>
      <c r="Z148" s="50"/>
      <c r="AA148" s="50"/>
      <c r="AB148" s="50"/>
    </row>
    <row r="149" customFormat="false" ht="15.75" hidden="false" customHeight="false" outlineLevel="0" collapsed="false">
      <c r="A149" s="71"/>
      <c r="B149" s="71"/>
      <c r="C149" s="5" t="s">
        <v>8</v>
      </c>
      <c r="D149" s="48"/>
      <c r="E149" s="74" t="n">
        <f aca="false">IFERROR(__xludf.dummyfunction("COUNTA(SPLIT(D149,"" ""))/COUNTA(SPLIT($B$47,"" ""))"),0.00242718446601942)</f>
        <v>0.002427184466</v>
      </c>
      <c r="F149" s="5"/>
      <c r="G149" s="5"/>
      <c r="H149" s="5"/>
      <c r="I149" s="5"/>
      <c r="J149" s="5"/>
      <c r="K149" s="50"/>
      <c r="L149" s="50"/>
      <c r="M149" s="50"/>
      <c r="N149" s="50"/>
      <c r="O149" s="50"/>
      <c r="P149" s="50"/>
      <c r="Q149" s="50"/>
      <c r="R149" s="50"/>
      <c r="S149" s="50"/>
      <c r="T149" s="50"/>
      <c r="U149" s="50"/>
      <c r="V149" s="50"/>
      <c r="W149" s="50"/>
      <c r="X149" s="50"/>
      <c r="Y149" s="50"/>
      <c r="Z149" s="50"/>
      <c r="AA149" s="50"/>
      <c r="AB149" s="50"/>
    </row>
    <row r="150" customFormat="false" ht="15.75" hidden="false" customHeight="false" outlineLevel="0" collapsed="false">
      <c r="A150" s="71"/>
      <c r="B150" s="71"/>
      <c r="C150" s="5" t="s">
        <v>20</v>
      </c>
      <c r="D150" s="48"/>
      <c r="E150" s="75" t="n">
        <f aca="false">IFERROR(__xludf.dummyfunction("COUNTA(SPLIT(D150,"" ""))/COUNTA(SPLIT($B$47,"" ""))"),0.00242718446601942)</f>
        <v>0.002427184466</v>
      </c>
      <c r="F150" s="5"/>
      <c r="G150" s="5"/>
      <c r="H150" s="5"/>
      <c r="I150" s="5"/>
      <c r="J150" s="5"/>
      <c r="K150" s="50"/>
      <c r="L150" s="50"/>
      <c r="M150" s="50"/>
      <c r="N150" s="50"/>
      <c r="O150" s="50"/>
      <c r="P150" s="50"/>
      <c r="Q150" s="50"/>
      <c r="R150" s="50"/>
      <c r="S150" s="50"/>
      <c r="T150" s="50"/>
      <c r="U150" s="50"/>
      <c r="V150" s="50"/>
      <c r="W150" s="50"/>
      <c r="X150" s="50"/>
      <c r="Y150" s="50"/>
      <c r="Z150" s="50"/>
      <c r="AA150" s="50"/>
      <c r="AB150" s="50"/>
    </row>
    <row r="151" customFormat="false" ht="15.75" hidden="false" customHeight="false" outlineLevel="0" collapsed="false">
      <c r="A151" s="50"/>
      <c r="B151" s="50"/>
      <c r="C151" s="5"/>
      <c r="D151" s="48"/>
      <c r="E151" s="50"/>
      <c r="F151" s="5"/>
      <c r="G151" s="5"/>
      <c r="H151" s="5"/>
      <c r="I151" s="5"/>
      <c r="J151" s="5"/>
      <c r="K151" s="50"/>
      <c r="L151" s="50"/>
      <c r="M151" s="50"/>
      <c r="N151" s="50"/>
      <c r="O151" s="50"/>
      <c r="P151" s="50"/>
      <c r="Q151" s="50"/>
      <c r="R151" s="50"/>
      <c r="S151" s="50"/>
      <c r="T151" s="50"/>
      <c r="U151" s="50"/>
      <c r="V151" s="50"/>
      <c r="W151" s="50"/>
      <c r="X151" s="50"/>
      <c r="Y151" s="50"/>
      <c r="Z151" s="50"/>
      <c r="AA151" s="50"/>
      <c r="AB151" s="50"/>
    </row>
    <row r="152" customFormat="false" ht="15.75" hidden="false" customHeight="false" outlineLevel="0" collapsed="false">
      <c r="A152" s="71"/>
      <c r="B152" s="54"/>
      <c r="C152" s="55" t="s">
        <v>18</v>
      </c>
      <c r="D152" s="56"/>
      <c r="E152" s="72" t="n">
        <f aca="false">IFERROR(__xludf.dummyfunction("COUNTA(SPLIT(D152,"" ""))/COUNTA(SPLIT($B$47,"" ""))"),0.00242718446601942)</f>
        <v>0.002427184466</v>
      </c>
      <c r="F152" s="55"/>
      <c r="G152" s="55"/>
      <c r="H152" s="55"/>
      <c r="I152" s="55"/>
      <c r="J152" s="55"/>
      <c r="K152" s="58"/>
      <c r="L152" s="58"/>
      <c r="M152" s="58"/>
      <c r="N152" s="58"/>
      <c r="O152" s="58"/>
      <c r="P152" s="58"/>
      <c r="Q152" s="58"/>
      <c r="R152" s="58"/>
      <c r="S152" s="58"/>
      <c r="T152" s="58"/>
      <c r="U152" s="58"/>
      <c r="V152" s="58"/>
      <c r="W152" s="58"/>
      <c r="X152" s="58"/>
      <c r="Y152" s="58"/>
      <c r="Z152" s="58"/>
      <c r="AA152" s="58"/>
      <c r="AB152" s="58"/>
    </row>
    <row r="153" customFormat="false" ht="15.75" hidden="false" customHeight="false" outlineLevel="0" collapsed="false">
      <c r="A153" s="71"/>
      <c r="B153" s="71"/>
      <c r="C153" s="5" t="s">
        <v>19</v>
      </c>
      <c r="D153" s="48"/>
      <c r="E153" s="73" t="n">
        <f aca="false">IFERROR(__xludf.dummyfunction("COUNTA(SPLIT(D153,"" ""))/COUNTA(SPLIT($B$47,"" ""))"),0.00242718446601942)</f>
        <v>0.002427184466</v>
      </c>
      <c r="F153" s="5"/>
      <c r="G153" s="5"/>
      <c r="H153" s="5"/>
      <c r="I153" s="5"/>
      <c r="J153" s="5"/>
      <c r="K153" s="50"/>
      <c r="L153" s="50"/>
      <c r="M153" s="50"/>
      <c r="N153" s="50"/>
      <c r="O153" s="50"/>
      <c r="P153" s="50"/>
      <c r="Q153" s="50"/>
      <c r="R153" s="50"/>
      <c r="S153" s="50"/>
      <c r="T153" s="50"/>
      <c r="U153" s="50"/>
      <c r="V153" s="50"/>
      <c r="W153" s="50"/>
      <c r="X153" s="50"/>
      <c r="Y153" s="50"/>
      <c r="Z153" s="50"/>
      <c r="AA153" s="50"/>
      <c r="AB153" s="50"/>
    </row>
    <row r="154" customFormat="false" ht="15.75" hidden="false" customHeight="false" outlineLevel="0" collapsed="false">
      <c r="A154" s="71"/>
      <c r="B154" s="71"/>
      <c r="C154" s="5" t="s">
        <v>8</v>
      </c>
      <c r="D154" s="48"/>
      <c r="E154" s="74" t="n">
        <f aca="false">IFERROR(__xludf.dummyfunction("COUNTA(SPLIT(D154,"" ""))/COUNTA(SPLIT($B$47,"" ""))"),0.00242718446601942)</f>
        <v>0.002427184466</v>
      </c>
      <c r="F154" s="5"/>
      <c r="G154" s="5"/>
      <c r="H154" s="5"/>
      <c r="I154" s="5"/>
      <c r="J154" s="5"/>
      <c r="K154" s="50"/>
      <c r="L154" s="50"/>
      <c r="M154" s="50"/>
      <c r="N154" s="50"/>
      <c r="O154" s="50"/>
      <c r="P154" s="50"/>
      <c r="Q154" s="50"/>
      <c r="R154" s="50"/>
      <c r="S154" s="50"/>
      <c r="T154" s="50"/>
      <c r="U154" s="50"/>
      <c r="V154" s="50"/>
      <c r="W154" s="50"/>
      <c r="X154" s="50"/>
      <c r="Y154" s="50"/>
      <c r="Z154" s="50"/>
      <c r="AA154" s="50"/>
      <c r="AB154" s="50"/>
    </row>
    <row r="155" customFormat="false" ht="15.75" hidden="false" customHeight="false" outlineLevel="0" collapsed="false">
      <c r="A155" s="71"/>
      <c r="B155" s="71"/>
      <c r="C155" s="5" t="s">
        <v>20</v>
      </c>
      <c r="D155" s="48"/>
      <c r="E155" s="75" t="n">
        <f aca="false">IFERROR(__xludf.dummyfunction("COUNTA(SPLIT(D155,"" ""))/COUNTA(SPLIT($B$47,"" ""))"),0.00242718446601942)</f>
        <v>0.002427184466</v>
      </c>
      <c r="F155" s="5"/>
      <c r="G155" s="5"/>
      <c r="H155" s="5"/>
      <c r="I155" s="5"/>
      <c r="J155" s="5"/>
      <c r="K155" s="50"/>
      <c r="L155" s="50"/>
      <c r="M155" s="50"/>
      <c r="N155" s="50"/>
      <c r="O155" s="50"/>
      <c r="P155" s="50"/>
      <c r="Q155" s="50"/>
      <c r="R155" s="50"/>
      <c r="S155" s="50"/>
      <c r="T155" s="50"/>
      <c r="U155" s="50"/>
      <c r="V155" s="50"/>
      <c r="W155" s="50"/>
      <c r="X155" s="50"/>
      <c r="Y155" s="50"/>
      <c r="Z155" s="50"/>
      <c r="AA155" s="50"/>
      <c r="AB155" s="50"/>
    </row>
    <row r="156" customFormat="false" ht="15.75" hidden="false" customHeight="false" outlineLevel="0" collapsed="false">
      <c r="A156" s="50"/>
      <c r="B156" s="50"/>
      <c r="C156" s="5"/>
      <c r="D156" s="48"/>
      <c r="E156" s="50"/>
      <c r="F156" s="5"/>
      <c r="G156" s="5"/>
      <c r="H156" s="5"/>
      <c r="I156" s="5"/>
      <c r="J156" s="5"/>
      <c r="K156" s="50"/>
      <c r="L156" s="50"/>
      <c r="M156" s="50"/>
      <c r="N156" s="50"/>
      <c r="O156" s="50"/>
      <c r="P156" s="50"/>
      <c r="Q156" s="50"/>
      <c r="R156" s="50"/>
      <c r="S156" s="50"/>
      <c r="T156" s="50"/>
      <c r="U156" s="50"/>
      <c r="V156" s="50"/>
      <c r="W156" s="50"/>
      <c r="X156" s="50"/>
      <c r="Y156" s="50"/>
      <c r="Z156" s="50"/>
      <c r="AA156" s="50"/>
      <c r="AB156" s="50"/>
    </row>
    <row r="157" customFormat="false" ht="15.75" hidden="false" customHeight="false" outlineLevel="0" collapsed="false">
      <c r="A157" s="71"/>
      <c r="B157" s="54"/>
      <c r="C157" s="55" t="s">
        <v>18</v>
      </c>
      <c r="D157" s="56"/>
      <c r="E157" s="72" t="n">
        <f aca="false">IFERROR(__xludf.dummyfunction("COUNTA(SPLIT(D157,"" ""))/COUNTA(SPLIT($B$47,"" ""))"),0.00242718446601942)</f>
        <v>0.002427184466</v>
      </c>
      <c r="F157" s="55"/>
      <c r="G157" s="55"/>
      <c r="H157" s="55"/>
      <c r="I157" s="55"/>
      <c r="J157" s="55"/>
      <c r="K157" s="58"/>
      <c r="L157" s="58"/>
      <c r="M157" s="58"/>
      <c r="N157" s="58"/>
      <c r="O157" s="58"/>
      <c r="P157" s="58"/>
      <c r="Q157" s="58"/>
      <c r="R157" s="58"/>
      <c r="S157" s="58"/>
      <c r="T157" s="58"/>
      <c r="U157" s="58"/>
      <c r="V157" s="58"/>
      <c r="W157" s="58"/>
      <c r="X157" s="58"/>
      <c r="Y157" s="58"/>
      <c r="Z157" s="58"/>
      <c r="AA157" s="58"/>
      <c r="AB157" s="58"/>
    </row>
    <row r="158" customFormat="false" ht="15.75" hidden="false" customHeight="false" outlineLevel="0" collapsed="false">
      <c r="A158" s="71"/>
      <c r="B158" s="71"/>
      <c r="C158" s="5" t="s">
        <v>19</v>
      </c>
      <c r="D158" s="48"/>
      <c r="E158" s="73" t="n">
        <f aca="false">IFERROR(__xludf.dummyfunction("COUNTA(SPLIT(D158,"" ""))/COUNTA(SPLIT($B$47,"" ""))"),0.00242718446601942)</f>
        <v>0.002427184466</v>
      </c>
      <c r="F158" s="5"/>
      <c r="G158" s="5"/>
      <c r="H158" s="5"/>
      <c r="I158" s="5"/>
      <c r="J158" s="5"/>
      <c r="K158" s="50"/>
      <c r="L158" s="50"/>
      <c r="M158" s="50"/>
      <c r="N158" s="50"/>
      <c r="O158" s="50"/>
      <c r="P158" s="50"/>
      <c r="Q158" s="50"/>
      <c r="R158" s="50"/>
      <c r="S158" s="50"/>
      <c r="T158" s="50"/>
      <c r="U158" s="50"/>
      <c r="V158" s="50"/>
      <c r="W158" s="50"/>
      <c r="X158" s="50"/>
      <c r="Y158" s="50"/>
      <c r="Z158" s="50"/>
      <c r="AA158" s="50"/>
      <c r="AB158" s="50"/>
    </row>
    <row r="159" customFormat="false" ht="15.75" hidden="false" customHeight="false" outlineLevel="0" collapsed="false">
      <c r="A159" s="71"/>
      <c r="B159" s="71"/>
      <c r="C159" s="5" t="s">
        <v>8</v>
      </c>
      <c r="D159" s="48"/>
      <c r="E159" s="74" t="n">
        <f aca="false">IFERROR(__xludf.dummyfunction("COUNTA(SPLIT(D159,"" ""))/COUNTA(SPLIT($B$47,"" ""))"),0.00242718446601942)</f>
        <v>0.002427184466</v>
      </c>
      <c r="F159" s="5"/>
      <c r="G159" s="5"/>
      <c r="H159" s="5"/>
      <c r="I159" s="5"/>
      <c r="J159" s="5"/>
      <c r="K159" s="50"/>
      <c r="L159" s="50"/>
      <c r="M159" s="50"/>
      <c r="N159" s="50"/>
      <c r="O159" s="50"/>
      <c r="P159" s="50"/>
      <c r="Q159" s="50"/>
      <c r="R159" s="50"/>
      <c r="S159" s="50"/>
      <c r="T159" s="50"/>
      <c r="U159" s="50"/>
      <c r="V159" s="50"/>
      <c r="W159" s="50"/>
      <c r="X159" s="50"/>
      <c r="Y159" s="50"/>
      <c r="Z159" s="50"/>
      <c r="AA159" s="50"/>
      <c r="AB159" s="50"/>
    </row>
    <row r="160" customFormat="false" ht="15.75" hidden="false" customHeight="false" outlineLevel="0" collapsed="false">
      <c r="A160" s="71"/>
      <c r="B160" s="71"/>
      <c r="C160" s="5" t="s">
        <v>20</v>
      </c>
      <c r="D160" s="48"/>
      <c r="E160" s="75" t="n">
        <f aca="false">IFERROR(__xludf.dummyfunction("COUNTA(SPLIT(D160,"" ""))/COUNTA(SPLIT($B$47,"" ""))"),0.00242718446601942)</f>
        <v>0.002427184466</v>
      </c>
      <c r="F160" s="5"/>
      <c r="G160" s="5"/>
      <c r="H160" s="5"/>
      <c r="I160" s="5"/>
      <c r="J160" s="5"/>
      <c r="K160" s="50"/>
      <c r="L160" s="50"/>
      <c r="M160" s="50"/>
      <c r="N160" s="50"/>
      <c r="O160" s="50"/>
      <c r="P160" s="50"/>
      <c r="Q160" s="50"/>
      <c r="R160" s="50"/>
      <c r="S160" s="50"/>
      <c r="T160" s="50"/>
      <c r="U160" s="50"/>
      <c r="V160" s="50"/>
      <c r="W160" s="50"/>
      <c r="X160" s="50"/>
      <c r="Y160" s="50"/>
      <c r="Z160" s="50"/>
      <c r="AA160" s="50"/>
      <c r="AB160" s="50"/>
    </row>
    <row r="161" customFormat="false" ht="15.75" hidden="false" customHeight="false" outlineLevel="0" collapsed="false">
      <c r="A161" s="50"/>
      <c r="B161" s="50"/>
      <c r="C161" s="5"/>
      <c r="D161" s="48"/>
      <c r="E161" s="50"/>
      <c r="F161" s="5"/>
      <c r="G161" s="5"/>
      <c r="H161" s="5"/>
      <c r="I161" s="5"/>
      <c r="J161" s="5"/>
      <c r="K161" s="50"/>
      <c r="L161" s="50"/>
      <c r="M161" s="50"/>
      <c r="N161" s="50"/>
      <c r="O161" s="50"/>
      <c r="P161" s="50"/>
      <c r="Q161" s="50"/>
      <c r="R161" s="50"/>
      <c r="S161" s="50"/>
      <c r="T161" s="50"/>
      <c r="U161" s="50"/>
      <c r="V161" s="50"/>
      <c r="W161" s="50"/>
      <c r="X161" s="50"/>
      <c r="Y161" s="50"/>
      <c r="Z161" s="50"/>
      <c r="AA161" s="50"/>
      <c r="AB161" s="50"/>
    </row>
    <row r="162" customFormat="false" ht="15.75" hidden="false" customHeight="false" outlineLevel="0" collapsed="false">
      <c r="A162" s="71"/>
      <c r="B162" s="54"/>
      <c r="C162" s="55" t="s">
        <v>18</v>
      </c>
      <c r="D162" s="56"/>
      <c r="E162" s="72" t="n">
        <f aca="false">IFERROR(__xludf.dummyfunction("COUNTA(SPLIT(D162,"" ""))/COUNTA(SPLIT($B$47,"" ""))"),0.00242718446601942)</f>
        <v>0.002427184466</v>
      </c>
      <c r="F162" s="55"/>
      <c r="G162" s="55"/>
      <c r="H162" s="55"/>
      <c r="I162" s="55"/>
      <c r="J162" s="55"/>
      <c r="K162" s="58"/>
      <c r="L162" s="58"/>
      <c r="M162" s="58"/>
      <c r="N162" s="58"/>
      <c r="O162" s="58"/>
      <c r="P162" s="58"/>
      <c r="Q162" s="58"/>
      <c r="R162" s="58"/>
      <c r="S162" s="58"/>
      <c r="T162" s="58"/>
      <c r="U162" s="58"/>
      <c r="V162" s="58"/>
      <c r="W162" s="58"/>
      <c r="X162" s="58"/>
      <c r="Y162" s="58"/>
      <c r="Z162" s="58"/>
      <c r="AA162" s="58"/>
      <c r="AB162" s="58"/>
    </row>
    <row r="163" customFormat="false" ht="15.75" hidden="false" customHeight="false" outlineLevel="0" collapsed="false">
      <c r="A163" s="71"/>
      <c r="B163" s="71"/>
      <c r="C163" s="5" t="s">
        <v>19</v>
      </c>
      <c r="D163" s="48"/>
      <c r="E163" s="73" t="n">
        <f aca="false">IFERROR(__xludf.dummyfunction("COUNTA(SPLIT(D163,"" ""))/COUNTA(SPLIT($B$47,"" ""))"),0.00242718446601942)</f>
        <v>0.002427184466</v>
      </c>
      <c r="F163" s="5"/>
      <c r="G163" s="5"/>
      <c r="H163" s="5"/>
      <c r="I163" s="5"/>
      <c r="J163" s="5"/>
      <c r="K163" s="50"/>
      <c r="L163" s="50"/>
      <c r="M163" s="50"/>
      <c r="N163" s="50"/>
      <c r="O163" s="50"/>
      <c r="P163" s="50"/>
      <c r="Q163" s="50"/>
      <c r="R163" s="50"/>
      <c r="S163" s="50"/>
      <c r="T163" s="50"/>
      <c r="U163" s="50"/>
      <c r="V163" s="50"/>
      <c r="W163" s="50"/>
      <c r="X163" s="50"/>
      <c r="Y163" s="50"/>
      <c r="Z163" s="50"/>
      <c r="AA163" s="50"/>
      <c r="AB163" s="50"/>
    </row>
    <row r="164" customFormat="false" ht="15.75" hidden="false" customHeight="false" outlineLevel="0" collapsed="false">
      <c r="A164" s="71"/>
      <c r="B164" s="71"/>
      <c r="C164" s="5" t="s">
        <v>8</v>
      </c>
      <c r="D164" s="48"/>
      <c r="E164" s="74" t="n">
        <f aca="false">IFERROR(__xludf.dummyfunction("COUNTA(SPLIT(D164,"" ""))/COUNTA(SPLIT($B$47,"" ""))"),0.00242718446601942)</f>
        <v>0.002427184466</v>
      </c>
      <c r="F164" s="5"/>
      <c r="G164" s="5"/>
      <c r="H164" s="5"/>
      <c r="I164" s="5"/>
      <c r="J164" s="5"/>
      <c r="K164" s="50"/>
      <c r="L164" s="50"/>
      <c r="M164" s="50"/>
      <c r="N164" s="50"/>
      <c r="O164" s="50"/>
      <c r="P164" s="50"/>
      <c r="Q164" s="50"/>
      <c r="R164" s="50"/>
      <c r="S164" s="50"/>
      <c r="T164" s="50"/>
      <c r="U164" s="50"/>
      <c r="V164" s="50"/>
      <c r="W164" s="50"/>
      <c r="X164" s="50"/>
      <c r="Y164" s="50"/>
      <c r="Z164" s="50"/>
      <c r="AA164" s="50"/>
      <c r="AB164" s="50"/>
    </row>
    <row r="165" customFormat="false" ht="15.75" hidden="false" customHeight="false" outlineLevel="0" collapsed="false">
      <c r="A165" s="71"/>
      <c r="B165" s="71"/>
      <c r="C165" s="5" t="s">
        <v>20</v>
      </c>
      <c r="D165" s="48"/>
      <c r="E165" s="75" t="n">
        <f aca="false">IFERROR(__xludf.dummyfunction("COUNTA(SPLIT(D165,"" ""))/COUNTA(SPLIT($B$47,"" ""))"),0.00242718446601942)</f>
        <v>0.002427184466</v>
      </c>
      <c r="F165" s="5"/>
      <c r="G165" s="5"/>
      <c r="H165" s="5"/>
      <c r="I165" s="5"/>
      <c r="J165" s="5"/>
      <c r="K165" s="50"/>
      <c r="L165" s="50"/>
      <c r="M165" s="50"/>
      <c r="N165" s="50"/>
      <c r="O165" s="50"/>
      <c r="P165" s="50"/>
      <c r="Q165" s="50"/>
      <c r="R165" s="50"/>
      <c r="S165" s="50"/>
      <c r="T165" s="50"/>
      <c r="U165" s="50"/>
      <c r="V165" s="50"/>
      <c r="W165" s="50"/>
      <c r="X165" s="50"/>
      <c r="Y165" s="50"/>
      <c r="Z165" s="50"/>
      <c r="AA165" s="50"/>
      <c r="AB165" s="50"/>
    </row>
    <row r="166" customFormat="false" ht="15.75" hidden="false" customHeight="false" outlineLevel="0" collapsed="false">
      <c r="A166" s="50"/>
      <c r="B166" s="50"/>
      <c r="C166" s="5"/>
      <c r="D166" s="48"/>
      <c r="E166" s="50"/>
      <c r="F166" s="5"/>
      <c r="G166" s="5"/>
      <c r="H166" s="5"/>
      <c r="I166" s="5"/>
      <c r="J166" s="5"/>
      <c r="K166" s="50"/>
      <c r="L166" s="50"/>
      <c r="M166" s="50"/>
      <c r="N166" s="50"/>
      <c r="O166" s="50"/>
      <c r="P166" s="50"/>
      <c r="Q166" s="50"/>
      <c r="R166" s="50"/>
      <c r="S166" s="50"/>
      <c r="T166" s="50"/>
      <c r="U166" s="50"/>
      <c r="V166" s="50"/>
      <c r="W166" s="50"/>
      <c r="X166" s="50"/>
      <c r="Y166" s="50"/>
      <c r="Z166" s="50"/>
      <c r="AA166" s="50"/>
      <c r="AB166" s="50"/>
    </row>
    <row r="167" customFormat="false" ht="15.75" hidden="false" customHeight="false" outlineLevel="0" collapsed="false">
      <c r="A167" s="50"/>
      <c r="B167" s="50"/>
      <c r="C167" s="5"/>
      <c r="D167" s="48"/>
      <c r="E167" s="50"/>
      <c r="F167" s="5"/>
      <c r="G167" s="5"/>
      <c r="H167" s="5"/>
      <c r="I167" s="5"/>
      <c r="J167" s="5"/>
      <c r="K167" s="50"/>
      <c r="L167" s="50"/>
      <c r="M167" s="50"/>
      <c r="N167" s="50"/>
      <c r="O167" s="50"/>
      <c r="P167" s="50"/>
      <c r="Q167" s="50"/>
      <c r="R167" s="50"/>
      <c r="S167" s="50"/>
      <c r="T167" s="50"/>
      <c r="U167" s="50"/>
      <c r="V167" s="50"/>
      <c r="W167" s="50"/>
      <c r="X167" s="50"/>
      <c r="Y167" s="50"/>
      <c r="Z167" s="50"/>
      <c r="AA167" s="50"/>
      <c r="AB167" s="50"/>
    </row>
    <row r="168" customFormat="false" ht="15.75" hidden="false" customHeight="false" outlineLevel="0" collapsed="false">
      <c r="A168" s="50"/>
      <c r="B168" s="50"/>
      <c r="C168" s="5"/>
      <c r="D168" s="48"/>
      <c r="E168" s="50"/>
      <c r="F168" s="5"/>
      <c r="G168" s="5"/>
      <c r="H168" s="5"/>
      <c r="I168" s="5"/>
      <c r="J168" s="5"/>
      <c r="K168" s="50"/>
      <c r="L168" s="50"/>
      <c r="M168" s="50"/>
      <c r="N168" s="50"/>
      <c r="O168" s="50"/>
      <c r="P168" s="50"/>
      <c r="Q168" s="50"/>
      <c r="R168" s="50"/>
      <c r="S168" s="50"/>
      <c r="T168" s="50"/>
      <c r="U168" s="50"/>
      <c r="V168" s="50"/>
      <c r="W168" s="50"/>
      <c r="X168" s="50"/>
      <c r="Y168" s="50"/>
      <c r="Z168" s="50"/>
      <c r="AA168" s="50"/>
      <c r="AB168" s="50"/>
    </row>
    <row r="169" customFormat="false" ht="15.75" hidden="false" customHeight="false" outlineLevel="0" collapsed="false">
      <c r="A169" s="50"/>
      <c r="B169" s="50"/>
      <c r="C169" s="5"/>
      <c r="D169" s="48"/>
      <c r="E169" s="50"/>
      <c r="F169" s="5"/>
      <c r="G169" s="5"/>
      <c r="H169" s="5"/>
      <c r="I169" s="5"/>
      <c r="J169" s="5"/>
      <c r="K169" s="50"/>
      <c r="L169" s="50"/>
      <c r="M169" s="50"/>
      <c r="N169" s="50"/>
      <c r="O169" s="50"/>
      <c r="P169" s="50"/>
      <c r="Q169" s="50"/>
      <c r="R169" s="50"/>
      <c r="S169" s="50"/>
      <c r="T169" s="50"/>
      <c r="U169" s="50"/>
      <c r="V169" s="50"/>
      <c r="W169" s="50"/>
      <c r="X169" s="50"/>
      <c r="Y169" s="50"/>
      <c r="Z169" s="50"/>
      <c r="AA169" s="50"/>
      <c r="AB169" s="50"/>
    </row>
    <row r="170" customFormat="false" ht="15.75" hidden="false" customHeight="false" outlineLevel="0" collapsed="false">
      <c r="A170" s="50"/>
      <c r="B170" s="50"/>
      <c r="C170" s="5"/>
      <c r="D170" s="48"/>
      <c r="E170" s="50"/>
      <c r="F170" s="5"/>
      <c r="G170" s="5"/>
      <c r="H170" s="5"/>
      <c r="I170" s="5"/>
      <c r="J170" s="5"/>
      <c r="K170" s="50"/>
      <c r="L170" s="50"/>
      <c r="M170" s="50"/>
      <c r="N170" s="50"/>
      <c r="O170" s="50"/>
      <c r="P170" s="50"/>
      <c r="Q170" s="50"/>
      <c r="R170" s="50"/>
      <c r="S170" s="50"/>
      <c r="T170" s="50"/>
      <c r="U170" s="50"/>
      <c r="V170" s="50"/>
      <c r="W170" s="50"/>
      <c r="X170" s="50"/>
      <c r="Y170" s="50"/>
      <c r="Z170" s="50"/>
      <c r="AA170" s="50"/>
      <c r="AB170" s="50"/>
    </row>
    <row r="171" customFormat="false" ht="15.75" hidden="false" customHeight="false" outlineLevel="0" collapsed="false">
      <c r="A171" s="50"/>
      <c r="B171" s="50"/>
      <c r="C171" s="5"/>
      <c r="D171" s="48"/>
      <c r="E171" s="50"/>
      <c r="F171" s="5"/>
      <c r="G171" s="5"/>
      <c r="H171" s="5"/>
      <c r="I171" s="5"/>
      <c r="J171" s="5"/>
      <c r="K171" s="50"/>
      <c r="L171" s="50"/>
      <c r="M171" s="50"/>
      <c r="N171" s="50"/>
      <c r="O171" s="50"/>
      <c r="P171" s="50"/>
      <c r="Q171" s="50"/>
      <c r="R171" s="50"/>
      <c r="S171" s="50"/>
      <c r="T171" s="50"/>
      <c r="U171" s="50"/>
      <c r="V171" s="50"/>
      <c r="W171" s="50"/>
      <c r="X171" s="50"/>
      <c r="Y171" s="50"/>
      <c r="Z171" s="50"/>
      <c r="AA171" s="50"/>
      <c r="AB171" s="50"/>
    </row>
    <row r="172" customFormat="false" ht="15.75" hidden="false" customHeight="false" outlineLevel="0" collapsed="false">
      <c r="A172" s="50"/>
      <c r="B172" s="50"/>
      <c r="C172" s="5"/>
      <c r="D172" s="48"/>
      <c r="E172" s="50"/>
      <c r="F172" s="5"/>
      <c r="G172" s="5"/>
      <c r="H172" s="5"/>
      <c r="I172" s="5"/>
      <c r="J172" s="5"/>
      <c r="K172" s="50"/>
      <c r="L172" s="50"/>
      <c r="M172" s="50"/>
      <c r="N172" s="50"/>
      <c r="O172" s="50"/>
      <c r="P172" s="50"/>
      <c r="Q172" s="50"/>
      <c r="R172" s="50"/>
      <c r="S172" s="50"/>
      <c r="T172" s="50"/>
      <c r="U172" s="50"/>
      <c r="V172" s="50"/>
      <c r="W172" s="50"/>
      <c r="X172" s="50"/>
      <c r="Y172" s="50"/>
      <c r="Z172" s="50"/>
      <c r="AA172" s="50"/>
      <c r="AB172" s="50"/>
    </row>
    <row r="173" customFormat="false" ht="15.75" hidden="false" customHeight="false" outlineLevel="0" collapsed="false">
      <c r="A173" s="50"/>
      <c r="B173" s="50"/>
      <c r="C173" s="5"/>
      <c r="D173" s="48"/>
      <c r="E173" s="50"/>
      <c r="F173" s="5"/>
      <c r="G173" s="5"/>
      <c r="H173" s="5"/>
      <c r="I173" s="5"/>
      <c r="J173" s="5"/>
      <c r="K173" s="50"/>
      <c r="L173" s="50"/>
      <c r="M173" s="50"/>
      <c r="N173" s="50"/>
      <c r="O173" s="50"/>
      <c r="P173" s="50"/>
      <c r="Q173" s="50"/>
      <c r="R173" s="50"/>
      <c r="S173" s="50"/>
      <c r="T173" s="50"/>
      <c r="U173" s="50"/>
      <c r="V173" s="50"/>
      <c r="W173" s="50"/>
      <c r="X173" s="50"/>
      <c r="Y173" s="50"/>
      <c r="Z173" s="50"/>
      <c r="AA173" s="50"/>
      <c r="AB173" s="50"/>
    </row>
    <row r="174" customFormat="false" ht="15.75" hidden="false" customHeight="false" outlineLevel="0" collapsed="false">
      <c r="A174" s="50"/>
      <c r="B174" s="50"/>
      <c r="C174" s="5"/>
      <c r="D174" s="48"/>
      <c r="E174" s="50"/>
      <c r="F174" s="5"/>
      <c r="G174" s="5"/>
      <c r="H174" s="5"/>
      <c r="I174" s="5"/>
      <c r="J174" s="5"/>
      <c r="K174" s="50"/>
      <c r="L174" s="50"/>
      <c r="M174" s="50"/>
      <c r="N174" s="50"/>
      <c r="O174" s="50"/>
      <c r="P174" s="50"/>
      <c r="Q174" s="50"/>
      <c r="R174" s="50"/>
      <c r="S174" s="50"/>
      <c r="T174" s="50"/>
      <c r="U174" s="50"/>
      <c r="V174" s="50"/>
      <c r="W174" s="50"/>
      <c r="X174" s="50"/>
      <c r="Y174" s="50"/>
      <c r="Z174" s="50"/>
      <c r="AA174" s="50"/>
      <c r="AB174" s="50"/>
    </row>
    <row r="175" customFormat="false" ht="15.75" hidden="false" customHeight="false" outlineLevel="0" collapsed="false">
      <c r="A175" s="50"/>
      <c r="B175" s="50"/>
      <c r="C175" s="5"/>
      <c r="D175" s="48"/>
      <c r="E175" s="50"/>
      <c r="F175" s="5"/>
      <c r="G175" s="5"/>
      <c r="H175" s="5"/>
      <c r="I175" s="5"/>
      <c r="J175" s="5"/>
      <c r="K175" s="50"/>
      <c r="L175" s="50"/>
      <c r="M175" s="50"/>
      <c r="N175" s="50"/>
      <c r="O175" s="50"/>
      <c r="P175" s="50"/>
      <c r="Q175" s="50"/>
      <c r="R175" s="50"/>
      <c r="S175" s="50"/>
      <c r="T175" s="50"/>
      <c r="U175" s="50"/>
      <c r="V175" s="50"/>
      <c r="W175" s="50"/>
      <c r="X175" s="50"/>
      <c r="Y175" s="50"/>
      <c r="Z175" s="50"/>
      <c r="AA175" s="50"/>
      <c r="AB175" s="50"/>
    </row>
    <row r="176" customFormat="false" ht="15.75" hidden="false" customHeight="false" outlineLevel="0" collapsed="false">
      <c r="A176" s="50"/>
      <c r="B176" s="50"/>
      <c r="C176" s="5"/>
      <c r="D176" s="48"/>
      <c r="E176" s="50"/>
      <c r="F176" s="5"/>
      <c r="G176" s="5"/>
      <c r="H176" s="5"/>
      <c r="I176" s="5"/>
      <c r="J176" s="5"/>
      <c r="K176" s="50"/>
      <c r="L176" s="50"/>
      <c r="M176" s="50"/>
      <c r="N176" s="50"/>
      <c r="O176" s="50"/>
      <c r="P176" s="50"/>
      <c r="Q176" s="50"/>
      <c r="R176" s="50"/>
      <c r="S176" s="50"/>
      <c r="T176" s="50"/>
      <c r="U176" s="50"/>
      <c r="V176" s="50"/>
      <c r="W176" s="50"/>
      <c r="X176" s="50"/>
      <c r="Y176" s="50"/>
      <c r="Z176" s="50"/>
      <c r="AA176" s="50"/>
      <c r="AB176" s="50"/>
    </row>
    <row r="177" customFormat="false" ht="15.75" hidden="false" customHeight="false" outlineLevel="0" collapsed="false">
      <c r="A177" s="50"/>
      <c r="B177" s="50"/>
      <c r="C177" s="5"/>
      <c r="D177" s="48"/>
      <c r="E177" s="50"/>
      <c r="F177" s="5"/>
      <c r="G177" s="5"/>
      <c r="H177" s="5"/>
      <c r="I177" s="5"/>
      <c r="J177" s="5"/>
      <c r="K177" s="50"/>
      <c r="L177" s="50"/>
      <c r="M177" s="50"/>
      <c r="N177" s="50"/>
      <c r="O177" s="50"/>
      <c r="P177" s="50"/>
      <c r="Q177" s="50"/>
      <c r="R177" s="50"/>
      <c r="S177" s="50"/>
      <c r="T177" s="50"/>
      <c r="U177" s="50"/>
      <c r="V177" s="50"/>
      <c r="W177" s="50"/>
      <c r="X177" s="50"/>
      <c r="Y177" s="50"/>
      <c r="Z177" s="50"/>
      <c r="AA177" s="50"/>
      <c r="AB177" s="50"/>
    </row>
    <row r="178" customFormat="false" ht="15.75" hidden="false" customHeight="false" outlineLevel="0" collapsed="false">
      <c r="A178" s="50"/>
      <c r="B178" s="50"/>
      <c r="C178" s="5"/>
      <c r="D178" s="48"/>
      <c r="E178" s="50"/>
      <c r="F178" s="5"/>
      <c r="G178" s="5"/>
      <c r="H178" s="5"/>
      <c r="I178" s="5"/>
      <c r="J178" s="5"/>
      <c r="K178" s="50"/>
      <c r="L178" s="50"/>
      <c r="M178" s="50"/>
      <c r="N178" s="50"/>
      <c r="O178" s="50"/>
      <c r="P178" s="50"/>
      <c r="Q178" s="50"/>
      <c r="R178" s="50"/>
      <c r="S178" s="50"/>
      <c r="T178" s="50"/>
      <c r="U178" s="50"/>
      <c r="V178" s="50"/>
      <c r="W178" s="50"/>
      <c r="X178" s="50"/>
      <c r="Y178" s="50"/>
      <c r="Z178" s="50"/>
      <c r="AA178" s="50"/>
      <c r="AB178" s="50"/>
    </row>
    <row r="179" customFormat="false" ht="15.75" hidden="false" customHeight="false" outlineLevel="0" collapsed="false">
      <c r="A179" s="50"/>
      <c r="B179" s="50"/>
      <c r="C179" s="5"/>
      <c r="D179" s="48"/>
      <c r="E179" s="50"/>
      <c r="F179" s="5"/>
      <c r="G179" s="5"/>
      <c r="H179" s="5"/>
      <c r="I179" s="5"/>
      <c r="J179" s="5"/>
      <c r="K179" s="50"/>
      <c r="L179" s="50"/>
      <c r="M179" s="50"/>
      <c r="N179" s="50"/>
      <c r="O179" s="50"/>
      <c r="P179" s="50"/>
      <c r="Q179" s="50"/>
      <c r="R179" s="50"/>
      <c r="S179" s="50"/>
      <c r="T179" s="50"/>
      <c r="U179" s="50"/>
      <c r="V179" s="50"/>
      <c r="W179" s="50"/>
      <c r="X179" s="50"/>
      <c r="Y179" s="50"/>
      <c r="Z179" s="50"/>
      <c r="AA179" s="50"/>
      <c r="AB179" s="50"/>
    </row>
    <row r="180" customFormat="false" ht="15.75" hidden="false" customHeight="false" outlineLevel="0" collapsed="false">
      <c r="A180" s="50"/>
      <c r="B180" s="50"/>
      <c r="C180" s="5"/>
      <c r="D180" s="48"/>
      <c r="E180" s="50"/>
      <c r="F180" s="5"/>
      <c r="G180" s="5"/>
      <c r="H180" s="5"/>
      <c r="I180" s="5"/>
      <c r="J180" s="5"/>
      <c r="K180" s="50"/>
      <c r="L180" s="50"/>
      <c r="M180" s="50"/>
      <c r="N180" s="50"/>
      <c r="O180" s="50"/>
      <c r="P180" s="50"/>
      <c r="Q180" s="50"/>
      <c r="R180" s="50"/>
      <c r="S180" s="50"/>
      <c r="T180" s="50"/>
      <c r="U180" s="50"/>
      <c r="V180" s="50"/>
      <c r="W180" s="50"/>
      <c r="X180" s="50"/>
      <c r="Y180" s="50"/>
      <c r="Z180" s="50"/>
      <c r="AA180" s="50"/>
      <c r="AB180" s="50"/>
    </row>
    <row r="181" customFormat="false" ht="15.75" hidden="false" customHeight="false" outlineLevel="0" collapsed="false">
      <c r="A181" s="50"/>
      <c r="B181" s="50"/>
      <c r="C181" s="5"/>
      <c r="D181" s="48"/>
      <c r="E181" s="50"/>
      <c r="F181" s="5"/>
      <c r="G181" s="5"/>
      <c r="H181" s="5"/>
      <c r="I181" s="5"/>
      <c r="J181" s="5"/>
      <c r="K181" s="50"/>
      <c r="L181" s="50"/>
      <c r="M181" s="50"/>
      <c r="N181" s="50"/>
      <c r="O181" s="50"/>
      <c r="P181" s="50"/>
      <c r="Q181" s="50"/>
      <c r="R181" s="50"/>
      <c r="S181" s="50"/>
      <c r="T181" s="50"/>
      <c r="U181" s="50"/>
      <c r="V181" s="50"/>
      <c r="W181" s="50"/>
      <c r="X181" s="50"/>
      <c r="Y181" s="50"/>
      <c r="Z181" s="50"/>
      <c r="AA181" s="50"/>
      <c r="AB181" s="50"/>
    </row>
    <row r="182" customFormat="false" ht="15.75" hidden="false" customHeight="false" outlineLevel="0" collapsed="false">
      <c r="A182" s="50"/>
      <c r="B182" s="50"/>
      <c r="C182" s="5"/>
      <c r="D182" s="48"/>
      <c r="E182" s="50"/>
      <c r="F182" s="5"/>
      <c r="G182" s="5"/>
      <c r="H182" s="5"/>
      <c r="I182" s="5"/>
      <c r="J182" s="5"/>
      <c r="K182" s="50"/>
      <c r="L182" s="50"/>
      <c r="M182" s="50"/>
      <c r="N182" s="50"/>
      <c r="O182" s="50"/>
      <c r="P182" s="50"/>
      <c r="Q182" s="50"/>
      <c r="R182" s="50"/>
      <c r="S182" s="50"/>
      <c r="T182" s="50"/>
      <c r="U182" s="50"/>
      <c r="V182" s="50"/>
      <c r="W182" s="50"/>
      <c r="X182" s="50"/>
      <c r="Y182" s="50"/>
      <c r="Z182" s="50"/>
      <c r="AA182" s="50"/>
      <c r="AB182" s="50"/>
    </row>
    <row r="183" customFormat="false" ht="15.75" hidden="false" customHeight="false" outlineLevel="0" collapsed="false">
      <c r="A183" s="50"/>
      <c r="B183" s="50"/>
      <c r="C183" s="5"/>
      <c r="D183" s="48"/>
      <c r="E183" s="50"/>
      <c r="F183" s="5"/>
      <c r="G183" s="5"/>
      <c r="H183" s="5"/>
      <c r="I183" s="5"/>
      <c r="J183" s="5"/>
      <c r="K183" s="50"/>
      <c r="L183" s="50"/>
      <c r="M183" s="50"/>
      <c r="N183" s="50"/>
      <c r="O183" s="50"/>
      <c r="P183" s="50"/>
      <c r="Q183" s="50"/>
      <c r="R183" s="50"/>
      <c r="S183" s="50"/>
      <c r="T183" s="50"/>
      <c r="U183" s="50"/>
      <c r="V183" s="50"/>
      <c r="W183" s="50"/>
      <c r="X183" s="50"/>
      <c r="Y183" s="50"/>
      <c r="Z183" s="50"/>
      <c r="AA183" s="50"/>
      <c r="AB183" s="50"/>
    </row>
    <row r="184" customFormat="false" ht="15.75" hidden="false" customHeight="false" outlineLevel="0" collapsed="false">
      <c r="A184" s="50"/>
      <c r="B184" s="50"/>
      <c r="C184" s="5"/>
      <c r="D184" s="48"/>
      <c r="E184" s="50"/>
      <c r="F184" s="5"/>
      <c r="G184" s="5"/>
      <c r="H184" s="5"/>
      <c r="I184" s="5"/>
      <c r="J184" s="5"/>
      <c r="K184" s="50"/>
      <c r="L184" s="50"/>
      <c r="M184" s="50"/>
      <c r="N184" s="50"/>
      <c r="O184" s="50"/>
      <c r="P184" s="50"/>
      <c r="Q184" s="50"/>
      <c r="R184" s="50"/>
      <c r="S184" s="50"/>
      <c r="T184" s="50"/>
      <c r="U184" s="50"/>
      <c r="V184" s="50"/>
      <c r="W184" s="50"/>
      <c r="X184" s="50"/>
      <c r="Y184" s="50"/>
      <c r="Z184" s="50"/>
      <c r="AA184" s="50"/>
      <c r="AB184" s="50"/>
    </row>
    <row r="185" customFormat="false" ht="15.75" hidden="false" customHeight="false" outlineLevel="0" collapsed="false">
      <c r="A185" s="50"/>
      <c r="B185" s="50"/>
      <c r="C185" s="5"/>
      <c r="D185" s="48"/>
      <c r="E185" s="50"/>
      <c r="F185" s="5"/>
      <c r="G185" s="5"/>
      <c r="H185" s="5"/>
      <c r="I185" s="5"/>
      <c r="J185" s="5"/>
      <c r="K185" s="50"/>
      <c r="L185" s="50"/>
      <c r="M185" s="50"/>
      <c r="N185" s="50"/>
      <c r="O185" s="50"/>
      <c r="P185" s="50"/>
      <c r="Q185" s="50"/>
      <c r="R185" s="50"/>
      <c r="S185" s="50"/>
      <c r="T185" s="50"/>
      <c r="U185" s="50"/>
      <c r="V185" s="50"/>
      <c r="W185" s="50"/>
      <c r="X185" s="50"/>
      <c r="Y185" s="50"/>
      <c r="Z185" s="50"/>
      <c r="AA185" s="50"/>
      <c r="AB185" s="50"/>
    </row>
    <row r="186" customFormat="false" ht="15.75" hidden="false" customHeight="false" outlineLevel="0" collapsed="false">
      <c r="A186" s="50"/>
      <c r="B186" s="50"/>
      <c r="C186" s="5"/>
      <c r="D186" s="48"/>
      <c r="E186" s="50"/>
      <c r="F186" s="5"/>
      <c r="G186" s="5"/>
      <c r="H186" s="5"/>
      <c r="I186" s="5"/>
      <c r="J186" s="5"/>
      <c r="K186" s="50"/>
      <c r="L186" s="50"/>
      <c r="M186" s="50"/>
      <c r="N186" s="50"/>
      <c r="O186" s="50"/>
      <c r="P186" s="50"/>
      <c r="Q186" s="50"/>
      <c r="R186" s="50"/>
      <c r="S186" s="50"/>
      <c r="T186" s="50"/>
      <c r="U186" s="50"/>
      <c r="V186" s="50"/>
      <c r="W186" s="50"/>
      <c r="X186" s="50"/>
      <c r="Y186" s="50"/>
      <c r="Z186" s="50"/>
      <c r="AA186" s="50"/>
      <c r="AB186" s="50"/>
    </row>
    <row r="187" customFormat="false" ht="15.75" hidden="false" customHeight="false" outlineLevel="0" collapsed="false">
      <c r="A187" s="50"/>
      <c r="B187" s="50"/>
      <c r="C187" s="5"/>
      <c r="D187" s="48"/>
      <c r="E187" s="50"/>
      <c r="F187" s="5"/>
      <c r="G187" s="5"/>
      <c r="H187" s="5"/>
      <c r="I187" s="5"/>
      <c r="J187" s="5"/>
      <c r="K187" s="50"/>
      <c r="L187" s="50"/>
      <c r="M187" s="50"/>
      <c r="N187" s="50"/>
      <c r="O187" s="50"/>
      <c r="P187" s="50"/>
      <c r="Q187" s="50"/>
      <c r="R187" s="50"/>
      <c r="S187" s="50"/>
      <c r="T187" s="50"/>
      <c r="U187" s="50"/>
      <c r="V187" s="50"/>
      <c r="W187" s="50"/>
      <c r="X187" s="50"/>
      <c r="Y187" s="50"/>
      <c r="Z187" s="50"/>
      <c r="AA187" s="50"/>
      <c r="AB187" s="50"/>
    </row>
    <row r="188" customFormat="false" ht="15.75" hidden="false" customHeight="false" outlineLevel="0" collapsed="false">
      <c r="A188" s="50"/>
      <c r="B188" s="50"/>
      <c r="C188" s="5"/>
      <c r="D188" s="48"/>
      <c r="E188" s="50"/>
      <c r="F188" s="5"/>
      <c r="G188" s="5"/>
      <c r="H188" s="5"/>
      <c r="I188" s="5"/>
      <c r="J188" s="5"/>
      <c r="K188" s="50"/>
      <c r="L188" s="50"/>
      <c r="M188" s="50"/>
      <c r="N188" s="50"/>
      <c r="O188" s="50"/>
      <c r="P188" s="50"/>
      <c r="Q188" s="50"/>
      <c r="R188" s="50"/>
      <c r="S188" s="50"/>
      <c r="T188" s="50"/>
      <c r="U188" s="50"/>
      <c r="V188" s="50"/>
      <c r="W188" s="50"/>
      <c r="X188" s="50"/>
      <c r="Y188" s="50"/>
      <c r="Z188" s="50"/>
      <c r="AA188" s="50"/>
      <c r="AB188" s="50"/>
    </row>
    <row r="189" customFormat="false" ht="15.75" hidden="false" customHeight="false" outlineLevel="0" collapsed="false">
      <c r="A189" s="50"/>
      <c r="B189" s="50"/>
      <c r="C189" s="5"/>
      <c r="D189" s="48"/>
      <c r="E189" s="50"/>
      <c r="F189" s="5"/>
      <c r="G189" s="5"/>
      <c r="H189" s="5"/>
      <c r="I189" s="5"/>
      <c r="J189" s="5"/>
      <c r="K189" s="50"/>
      <c r="L189" s="50"/>
      <c r="M189" s="50"/>
      <c r="N189" s="50"/>
      <c r="O189" s="50"/>
      <c r="P189" s="50"/>
      <c r="Q189" s="50"/>
      <c r="R189" s="50"/>
      <c r="S189" s="50"/>
      <c r="T189" s="50"/>
      <c r="U189" s="50"/>
      <c r="V189" s="50"/>
      <c r="W189" s="50"/>
      <c r="X189" s="50"/>
      <c r="Y189" s="50"/>
      <c r="Z189" s="50"/>
      <c r="AA189" s="50"/>
      <c r="AB189" s="50"/>
    </row>
    <row r="190" customFormat="false" ht="15.75" hidden="false" customHeight="false" outlineLevel="0" collapsed="false">
      <c r="A190" s="50"/>
      <c r="B190" s="50"/>
      <c r="C190" s="5"/>
      <c r="D190" s="48"/>
      <c r="E190" s="50"/>
      <c r="F190" s="5"/>
      <c r="G190" s="5"/>
      <c r="H190" s="5"/>
      <c r="I190" s="5"/>
      <c r="J190" s="5"/>
      <c r="K190" s="50"/>
      <c r="L190" s="50"/>
      <c r="M190" s="50"/>
      <c r="N190" s="50"/>
      <c r="O190" s="50"/>
      <c r="P190" s="50"/>
      <c r="Q190" s="50"/>
      <c r="R190" s="50"/>
      <c r="S190" s="50"/>
      <c r="T190" s="50"/>
      <c r="U190" s="50"/>
      <c r="V190" s="50"/>
      <c r="W190" s="50"/>
      <c r="X190" s="50"/>
      <c r="Y190" s="50"/>
      <c r="Z190" s="50"/>
      <c r="AA190" s="50"/>
      <c r="AB190" s="50"/>
    </row>
    <row r="191" customFormat="false" ht="15.75" hidden="false" customHeight="false" outlineLevel="0" collapsed="false">
      <c r="A191" s="50"/>
      <c r="B191" s="50"/>
      <c r="C191" s="5"/>
      <c r="D191" s="48"/>
      <c r="E191" s="50"/>
      <c r="F191" s="5"/>
      <c r="G191" s="5"/>
      <c r="H191" s="5"/>
      <c r="I191" s="5"/>
      <c r="J191" s="5"/>
      <c r="K191" s="50"/>
      <c r="L191" s="50"/>
      <c r="M191" s="50"/>
      <c r="N191" s="50"/>
      <c r="O191" s="50"/>
      <c r="P191" s="50"/>
      <c r="Q191" s="50"/>
      <c r="R191" s="50"/>
      <c r="S191" s="50"/>
      <c r="T191" s="50"/>
      <c r="U191" s="50"/>
      <c r="V191" s="50"/>
      <c r="W191" s="50"/>
      <c r="X191" s="50"/>
      <c r="Y191" s="50"/>
      <c r="Z191" s="50"/>
      <c r="AA191" s="50"/>
      <c r="AB191" s="50"/>
    </row>
    <row r="192" customFormat="false" ht="15.75" hidden="false" customHeight="false" outlineLevel="0" collapsed="false">
      <c r="A192" s="50"/>
      <c r="B192" s="50"/>
      <c r="C192" s="5"/>
      <c r="D192" s="48"/>
      <c r="E192" s="50"/>
      <c r="F192" s="5"/>
      <c r="G192" s="5"/>
      <c r="H192" s="5"/>
      <c r="I192" s="5"/>
      <c r="J192" s="5"/>
      <c r="K192" s="50"/>
      <c r="L192" s="50"/>
      <c r="M192" s="50"/>
      <c r="N192" s="50"/>
      <c r="O192" s="50"/>
      <c r="P192" s="50"/>
      <c r="Q192" s="50"/>
      <c r="R192" s="50"/>
      <c r="S192" s="50"/>
      <c r="T192" s="50"/>
      <c r="U192" s="50"/>
      <c r="V192" s="50"/>
      <c r="W192" s="50"/>
      <c r="X192" s="50"/>
      <c r="Y192" s="50"/>
      <c r="Z192" s="50"/>
      <c r="AA192" s="50"/>
      <c r="AB192" s="50"/>
    </row>
    <row r="193" customFormat="false" ht="15.75" hidden="false" customHeight="false" outlineLevel="0" collapsed="false">
      <c r="A193" s="50"/>
      <c r="B193" s="50"/>
      <c r="C193" s="5"/>
      <c r="D193" s="48"/>
      <c r="E193" s="50"/>
      <c r="F193" s="5"/>
      <c r="G193" s="5"/>
      <c r="H193" s="5"/>
      <c r="I193" s="5"/>
      <c r="J193" s="5"/>
      <c r="K193" s="50"/>
      <c r="L193" s="50"/>
      <c r="M193" s="50"/>
      <c r="N193" s="50"/>
      <c r="O193" s="50"/>
      <c r="P193" s="50"/>
      <c r="Q193" s="50"/>
      <c r="R193" s="50"/>
      <c r="S193" s="50"/>
      <c r="T193" s="50"/>
      <c r="U193" s="50"/>
      <c r="V193" s="50"/>
      <c r="W193" s="50"/>
      <c r="X193" s="50"/>
      <c r="Y193" s="50"/>
      <c r="Z193" s="50"/>
      <c r="AA193" s="50"/>
      <c r="AB193" s="50"/>
    </row>
    <row r="194" customFormat="false" ht="15.75" hidden="false" customHeight="false" outlineLevel="0" collapsed="false">
      <c r="A194" s="50"/>
      <c r="B194" s="50"/>
      <c r="C194" s="5"/>
      <c r="D194" s="48"/>
      <c r="E194" s="50"/>
      <c r="F194" s="5"/>
      <c r="G194" s="5"/>
      <c r="H194" s="5"/>
      <c r="I194" s="5"/>
      <c r="J194" s="5"/>
      <c r="K194" s="50"/>
      <c r="L194" s="50"/>
      <c r="M194" s="50"/>
      <c r="N194" s="50"/>
      <c r="O194" s="50"/>
      <c r="P194" s="50"/>
      <c r="Q194" s="50"/>
      <c r="R194" s="50"/>
      <c r="S194" s="50"/>
      <c r="T194" s="50"/>
      <c r="U194" s="50"/>
      <c r="V194" s="50"/>
      <c r="W194" s="50"/>
      <c r="X194" s="50"/>
      <c r="Y194" s="50"/>
      <c r="Z194" s="50"/>
      <c r="AA194" s="50"/>
      <c r="AB194" s="50"/>
    </row>
    <row r="195" customFormat="false" ht="15.75" hidden="false" customHeight="false" outlineLevel="0" collapsed="false">
      <c r="A195" s="50"/>
      <c r="B195" s="50"/>
      <c r="C195" s="5"/>
      <c r="D195" s="48"/>
      <c r="E195" s="50"/>
      <c r="F195" s="5"/>
      <c r="G195" s="5"/>
      <c r="H195" s="5"/>
      <c r="I195" s="5"/>
      <c r="J195" s="5"/>
      <c r="K195" s="50"/>
      <c r="L195" s="50"/>
      <c r="M195" s="50"/>
      <c r="N195" s="50"/>
      <c r="O195" s="50"/>
      <c r="P195" s="50"/>
      <c r="Q195" s="50"/>
      <c r="R195" s="50"/>
      <c r="S195" s="50"/>
      <c r="T195" s="50"/>
      <c r="U195" s="50"/>
      <c r="V195" s="50"/>
      <c r="W195" s="50"/>
      <c r="X195" s="50"/>
      <c r="Y195" s="50"/>
      <c r="Z195" s="50"/>
      <c r="AA195" s="50"/>
      <c r="AB195" s="50"/>
    </row>
    <row r="196" customFormat="false" ht="15.75" hidden="false" customHeight="false" outlineLevel="0" collapsed="false">
      <c r="A196" s="50"/>
      <c r="B196" s="50"/>
      <c r="C196" s="5"/>
      <c r="D196" s="48"/>
      <c r="E196" s="50"/>
      <c r="F196" s="5"/>
      <c r="G196" s="5"/>
      <c r="H196" s="5"/>
      <c r="I196" s="5"/>
      <c r="J196" s="5"/>
      <c r="K196" s="50"/>
      <c r="L196" s="50"/>
      <c r="M196" s="50"/>
      <c r="N196" s="50"/>
      <c r="O196" s="50"/>
      <c r="P196" s="50"/>
      <c r="Q196" s="50"/>
      <c r="R196" s="50"/>
      <c r="S196" s="50"/>
      <c r="T196" s="50"/>
      <c r="U196" s="50"/>
      <c r="V196" s="50"/>
      <c r="W196" s="50"/>
      <c r="X196" s="50"/>
      <c r="Y196" s="50"/>
      <c r="Z196" s="50"/>
      <c r="AA196" s="50"/>
      <c r="AB196" s="50"/>
    </row>
    <row r="197" customFormat="false" ht="15.75" hidden="false" customHeight="false" outlineLevel="0" collapsed="false">
      <c r="A197" s="50"/>
      <c r="B197" s="50"/>
      <c r="C197" s="5"/>
      <c r="D197" s="48"/>
      <c r="E197" s="50"/>
      <c r="F197" s="5"/>
      <c r="G197" s="5"/>
      <c r="H197" s="5"/>
      <c r="I197" s="5"/>
      <c r="J197" s="5"/>
      <c r="K197" s="50"/>
      <c r="L197" s="50"/>
      <c r="M197" s="50"/>
      <c r="N197" s="50"/>
      <c r="O197" s="50"/>
      <c r="P197" s="50"/>
      <c r="Q197" s="50"/>
      <c r="R197" s="50"/>
      <c r="S197" s="50"/>
      <c r="T197" s="50"/>
      <c r="U197" s="50"/>
      <c r="V197" s="50"/>
      <c r="W197" s="50"/>
      <c r="X197" s="50"/>
      <c r="Y197" s="50"/>
      <c r="Z197" s="50"/>
      <c r="AA197" s="50"/>
      <c r="AB197" s="50"/>
    </row>
    <row r="198" customFormat="false" ht="15.75" hidden="false" customHeight="false" outlineLevel="0" collapsed="false">
      <c r="A198" s="50"/>
      <c r="B198" s="50"/>
      <c r="C198" s="5"/>
      <c r="D198" s="48"/>
      <c r="E198" s="50"/>
      <c r="F198" s="5"/>
      <c r="G198" s="5"/>
      <c r="H198" s="5"/>
      <c r="I198" s="5"/>
      <c r="J198" s="5"/>
      <c r="K198" s="50"/>
      <c r="L198" s="50"/>
      <c r="M198" s="50"/>
      <c r="N198" s="50"/>
      <c r="O198" s="50"/>
      <c r="P198" s="50"/>
      <c r="Q198" s="50"/>
      <c r="R198" s="50"/>
      <c r="S198" s="50"/>
      <c r="T198" s="50"/>
      <c r="U198" s="50"/>
      <c r="V198" s="50"/>
      <c r="W198" s="50"/>
      <c r="X198" s="50"/>
      <c r="Y198" s="50"/>
      <c r="Z198" s="50"/>
      <c r="AA198" s="50"/>
      <c r="AB198" s="50"/>
    </row>
    <row r="199" customFormat="false" ht="15.75" hidden="false" customHeight="false" outlineLevel="0" collapsed="false">
      <c r="A199" s="50"/>
      <c r="B199" s="50"/>
      <c r="C199" s="5"/>
      <c r="D199" s="48"/>
      <c r="E199" s="50"/>
      <c r="F199" s="5"/>
      <c r="G199" s="5"/>
      <c r="H199" s="5"/>
      <c r="I199" s="5"/>
      <c r="J199" s="5"/>
      <c r="K199" s="50"/>
      <c r="L199" s="50"/>
      <c r="M199" s="50"/>
      <c r="N199" s="50"/>
      <c r="O199" s="50"/>
      <c r="P199" s="50"/>
      <c r="Q199" s="50"/>
      <c r="R199" s="50"/>
      <c r="S199" s="50"/>
      <c r="T199" s="50"/>
      <c r="U199" s="50"/>
      <c r="V199" s="50"/>
      <c r="W199" s="50"/>
      <c r="X199" s="50"/>
      <c r="Y199" s="50"/>
      <c r="Z199" s="50"/>
      <c r="AA199" s="50"/>
      <c r="AB199" s="50"/>
    </row>
    <row r="200" customFormat="false" ht="15.75" hidden="false" customHeight="false" outlineLevel="0" collapsed="false">
      <c r="A200" s="50"/>
      <c r="B200" s="50"/>
      <c r="C200" s="5"/>
      <c r="D200" s="48"/>
      <c r="E200" s="50"/>
      <c r="F200" s="5"/>
      <c r="G200" s="5"/>
      <c r="H200" s="5"/>
      <c r="I200" s="5"/>
      <c r="J200" s="5"/>
      <c r="K200" s="50"/>
      <c r="L200" s="50"/>
      <c r="M200" s="50"/>
      <c r="N200" s="50"/>
      <c r="O200" s="50"/>
      <c r="P200" s="50"/>
      <c r="Q200" s="50"/>
      <c r="R200" s="50"/>
      <c r="S200" s="50"/>
      <c r="T200" s="50"/>
      <c r="U200" s="50"/>
      <c r="V200" s="50"/>
      <c r="W200" s="50"/>
      <c r="X200" s="50"/>
      <c r="Y200" s="50"/>
      <c r="Z200" s="50"/>
      <c r="AA200" s="50"/>
      <c r="AB200" s="50"/>
    </row>
    <row r="201" customFormat="false" ht="15.75" hidden="false" customHeight="false" outlineLevel="0" collapsed="false">
      <c r="A201" s="50"/>
      <c r="B201" s="50"/>
      <c r="C201" s="5"/>
      <c r="D201" s="48"/>
      <c r="E201" s="50"/>
      <c r="F201" s="5"/>
      <c r="G201" s="5"/>
      <c r="H201" s="5"/>
      <c r="I201" s="5"/>
      <c r="J201" s="5"/>
      <c r="K201" s="50"/>
      <c r="L201" s="50"/>
      <c r="M201" s="50"/>
      <c r="N201" s="50"/>
      <c r="O201" s="50"/>
      <c r="P201" s="50"/>
      <c r="Q201" s="50"/>
      <c r="R201" s="50"/>
      <c r="S201" s="50"/>
      <c r="T201" s="50"/>
      <c r="U201" s="50"/>
      <c r="V201" s="50"/>
      <c r="W201" s="50"/>
      <c r="X201" s="50"/>
      <c r="Y201" s="50"/>
      <c r="Z201" s="50"/>
      <c r="AA201" s="50"/>
      <c r="AB201" s="50"/>
    </row>
    <row r="202" customFormat="false" ht="15.75" hidden="false" customHeight="false" outlineLevel="0" collapsed="false">
      <c r="A202" s="50"/>
      <c r="B202" s="50"/>
      <c r="C202" s="5"/>
      <c r="D202" s="48"/>
      <c r="E202" s="50"/>
      <c r="F202" s="5"/>
      <c r="G202" s="5"/>
      <c r="H202" s="5"/>
      <c r="I202" s="5"/>
      <c r="J202" s="5"/>
      <c r="K202" s="50"/>
      <c r="L202" s="50"/>
      <c r="M202" s="50"/>
      <c r="N202" s="50"/>
      <c r="O202" s="50"/>
      <c r="P202" s="50"/>
      <c r="Q202" s="50"/>
      <c r="R202" s="50"/>
      <c r="S202" s="50"/>
      <c r="T202" s="50"/>
      <c r="U202" s="50"/>
      <c r="V202" s="50"/>
      <c r="W202" s="50"/>
      <c r="X202" s="50"/>
      <c r="Y202" s="50"/>
      <c r="Z202" s="50"/>
      <c r="AA202" s="50"/>
      <c r="AB202" s="50"/>
    </row>
    <row r="203" customFormat="false" ht="15.75" hidden="false" customHeight="false" outlineLevel="0" collapsed="false">
      <c r="A203" s="50"/>
      <c r="B203" s="50"/>
      <c r="C203" s="5"/>
      <c r="D203" s="48"/>
      <c r="E203" s="50"/>
      <c r="F203" s="5"/>
      <c r="G203" s="5"/>
      <c r="H203" s="5"/>
      <c r="I203" s="5"/>
      <c r="J203" s="5"/>
      <c r="K203" s="50"/>
      <c r="L203" s="50"/>
      <c r="M203" s="50"/>
      <c r="N203" s="50"/>
      <c r="O203" s="50"/>
      <c r="P203" s="50"/>
      <c r="Q203" s="50"/>
      <c r="R203" s="50"/>
      <c r="S203" s="50"/>
      <c r="T203" s="50"/>
      <c r="U203" s="50"/>
      <c r="V203" s="50"/>
      <c r="W203" s="50"/>
      <c r="X203" s="50"/>
      <c r="Y203" s="50"/>
      <c r="Z203" s="50"/>
      <c r="AA203" s="50"/>
      <c r="AB203" s="50"/>
    </row>
    <row r="204" customFormat="false" ht="15.75" hidden="false" customHeight="false" outlineLevel="0" collapsed="false">
      <c r="A204" s="50"/>
      <c r="B204" s="50"/>
      <c r="C204" s="5"/>
      <c r="D204" s="48"/>
      <c r="E204" s="50"/>
      <c r="F204" s="5"/>
      <c r="G204" s="5"/>
      <c r="H204" s="5"/>
      <c r="I204" s="5"/>
      <c r="J204" s="5"/>
      <c r="K204" s="50"/>
      <c r="L204" s="50"/>
      <c r="M204" s="50"/>
      <c r="N204" s="50"/>
      <c r="O204" s="50"/>
      <c r="P204" s="50"/>
      <c r="Q204" s="50"/>
      <c r="R204" s="50"/>
      <c r="S204" s="50"/>
      <c r="T204" s="50"/>
      <c r="U204" s="50"/>
      <c r="V204" s="50"/>
      <c r="W204" s="50"/>
      <c r="X204" s="50"/>
      <c r="Y204" s="50"/>
      <c r="Z204" s="50"/>
      <c r="AA204" s="50"/>
      <c r="AB204" s="50"/>
    </row>
    <row r="205" customFormat="false" ht="15.75" hidden="false" customHeight="false" outlineLevel="0" collapsed="false">
      <c r="A205" s="50"/>
      <c r="B205" s="50"/>
      <c r="C205" s="5"/>
      <c r="D205" s="48"/>
      <c r="E205" s="50"/>
      <c r="F205" s="5"/>
      <c r="G205" s="5"/>
      <c r="H205" s="5"/>
      <c r="I205" s="5"/>
      <c r="J205" s="5"/>
      <c r="K205" s="50"/>
      <c r="L205" s="50"/>
      <c r="M205" s="50"/>
      <c r="N205" s="50"/>
      <c r="O205" s="50"/>
      <c r="P205" s="50"/>
      <c r="Q205" s="50"/>
      <c r="R205" s="50"/>
      <c r="S205" s="50"/>
      <c r="T205" s="50"/>
      <c r="U205" s="50"/>
      <c r="V205" s="50"/>
      <c r="W205" s="50"/>
      <c r="X205" s="50"/>
      <c r="Y205" s="50"/>
      <c r="Z205" s="50"/>
      <c r="AA205" s="50"/>
      <c r="AB205" s="50"/>
    </row>
    <row r="206" customFormat="false" ht="15.75" hidden="false" customHeight="false" outlineLevel="0" collapsed="false">
      <c r="A206" s="50"/>
      <c r="B206" s="50"/>
      <c r="C206" s="5"/>
      <c r="D206" s="48"/>
      <c r="E206" s="50"/>
      <c r="F206" s="5"/>
      <c r="G206" s="5"/>
      <c r="H206" s="5"/>
      <c r="I206" s="5"/>
      <c r="J206" s="5"/>
      <c r="K206" s="50"/>
      <c r="L206" s="50"/>
      <c r="M206" s="50"/>
      <c r="N206" s="50"/>
      <c r="O206" s="50"/>
      <c r="P206" s="50"/>
      <c r="Q206" s="50"/>
      <c r="R206" s="50"/>
      <c r="S206" s="50"/>
      <c r="T206" s="50"/>
      <c r="U206" s="50"/>
      <c r="V206" s="50"/>
      <c r="W206" s="50"/>
      <c r="X206" s="50"/>
      <c r="Y206" s="50"/>
      <c r="Z206" s="50"/>
      <c r="AA206" s="50"/>
      <c r="AB206" s="50"/>
    </row>
    <row r="207" customFormat="false" ht="15.75" hidden="false" customHeight="false" outlineLevel="0" collapsed="false">
      <c r="A207" s="50"/>
      <c r="B207" s="50"/>
      <c r="C207" s="5"/>
      <c r="D207" s="48"/>
      <c r="E207" s="50"/>
      <c r="F207" s="5"/>
      <c r="G207" s="5"/>
      <c r="H207" s="5"/>
      <c r="I207" s="5"/>
      <c r="J207" s="5"/>
      <c r="K207" s="50"/>
      <c r="L207" s="50"/>
      <c r="M207" s="50"/>
      <c r="N207" s="50"/>
      <c r="O207" s="50"/>
      <c r="P207" s="50"/>
      <c r="Q207" s="50"/>
      <c r="R207" s="50"/>
      <c r="S207" s="50"/>
      <c r="T207" s="50"/>
      <c r="U207" s="50"/>
      <c r="V207" s="50"/>
      <c r="W207" s="50"/>
      <c r="X207" s="50"/>
      <c r="Y207" s="50"/>
      <c r="Z207" s="50"/>
      <c r="AA207" s="50"/>
      <c r="AB207" s="50"/>
    </row>
    <row r="208" customFormat="false" ht="15.75" hidden="false" customHeight="false" outlineLevel="0" collapsed="false">
      <c r="A208" s="50"/>
      <c r="B208" s="50"/>
      <c r="C208" s="5"/>
      <c r="D208" s="48"/>
      <c r="E208" s="50"/>
      <c r="F208" s="5"/>
      <c r="G208" s="5"/>
      <c r="H208" s="5"/>
      <c r="I208" s="5"/>
      <c r="J208" s="5"/>
      <c r="K208" s="50"/>
      <c r="L208" s="50"/>
      <c r="M208" s="50"/>
      <c r="N208" s="50"/>
      <c r="O208" s="50"/>
      <c r="P208" s="50"/>
      <c r="Q208" s="50"/>
      <c r="R208" s="50"/>
      <c r="S208" s="50"/>
      <c r="T208" s="50"/>
      <c r="U208" s="50"/>
      <c r="V208" s="50"/>
      <c r="W208" s="50"/>
      <c r="X208" s="50"/>
      <c r="Y208" s="50"/>
      <c r="Z208" s="50"/>
      <c r="AA208" s="50"/>
      <c r="AB208" s="50"/>
    </row>
    <row r="209" customFormat="false" ht="15.75" hidden="false" customHeight="false" outlineLevel="0" collapsed="false">
      <c r="A209" s="50"/>
      <c r="B209" s="50"/>
      <c r="C209" s="5"/>
      <c r="D209" s="48"/>
      <c r="E209" s="50"/>
      <c r="F209" s="5"/>
      <c r="G209" s="5"/>
      <c r="H209" s="5"/>
      <c r="I209" s="5"/>
      <c r="J209" s="5"/>
      <c r="K209" s="50"/>
      <c r="L209" s="50"/>
      <c r="M209" s="50"/>
      <c r="N209" s="50"/>
      <c r="O209" s="50"/>
      <c r="P209" s="50"/>
      <c r="Q209" s="50"/>
      <c r="R209" s="50"/>
      <c r="S209" s="50"/>
      <c r="T209" s="50"/>
      <c r="U209" s="50"/>
      <c r="V209" s="50"/>
      <c r="W209" s="50"/>
      <c r="X209" s="50"/>
      <c r="Y209" s="50"/>
      <c r="Z209" s="50"/>
      <c r="AA209" s="50"/>
      <c r="AB209" s="50"/>
    </row>
    <row r="210" customFormat="false" ht="15.75" hidden="false" customHeight="false" outlineLevel="0" collapsed="false">
      <c r="A210" s="50"/>
      <c r="B210" s="50"/>
      <c r="C210" s="5"/>
      <c r="D210" s="48"/>
      <c r="E210" s="50"/>
      <c r="F210" s="5"/>
      <c r="G210" s="5"/>
      <c r="H210" s="5"/>
      <c r="I210" s="5"/>
      <c r="J210" s="5"/>
      <c r="K210" s="50"/>
      <c r="L210" s="50"/>
      <c r="M210" s="50"/>
      <c r="N210" s="50"/>
      <c r="O210" s="50"/>
      <c r="P210" s="50"/>
      <c r="Q210" s="50"/>
      <c r="R210" s="50"/>
      <c r="S210" s="50"/>
      <c r="T210" s="50"/>
      <c r="U210" s="50"/>
      <c r="V210" s="50"/>
      <c r="W210" s="50"/>
      <c r="X210" s="50"/>
      <c r="Y210" s="50"/>
      <c r="Z210" s="50"/>
      <c r="AA210" s="50"/>
      <c r="AB210" s="50"/>
    </row>
    <row r="211" customFormat="false" ht="15.75" hidden="false" customHeight="false" outlineLevel="0" collapsed="false">
      <c r="A211" s="50"/>
      <c r="B211" s="50"/>
      <c r="C211" s="5"/>
      <c r="D211" s="48"/>
      <c r="E211" s="50"/>
      <c r="F211" s="5"/>
      <c r="G211" s="5"/>
      <c r="H211" s="5"/>
      <c r="I211" s="5"/>
      <c r="J211" s="5"/>
      <c r="K211" s="50"/>
      <c r="L211" s="50"/>
      <c r="M211" s="50"/>
      <c r="N211" s="50"/>
      <c r="O211" s="50"/>
      <c r="P211" s="50"/>
      <c r="Q211" s="50"/>
      <c r="R211" s="50"/>
      <c r="S211" s="50"/>
      <c r="T211" s="50"/>
      <c r="U211" s="50"/>
      <c r="V211" s="50"/>
      <c r="W211" s="50"/>
      <c r="X211" s="50"/>
      <c r="Y211" s="50"/>
      <c r="Z211" s="50"/>
      <c r="AA211" s="50"/>
      <c r="AB211" s="50"/>
    </row>
    <row r="212" customFormat="false" ht="15.75" hidden="false" customHeight="false" outlineLevel="0" collapsed="false">
      <c r="A212" s="50"/>
      <c r="B212" s="50"/>
      <c r="C212" s="5"/>
      <c r="D212" s="48"/>
      <c r="E212" s="50"/>
      <c r="F212" s="5"/>
      <c r="G212" s="5"/>
      <c r="H212" s="5"/>
      <c r="I212" s="5"/>
      <c r="J212" s="5"/>
      <c r="K212" s="50"/>
      <c r="L212" s="50"/>
      <c r="M212" s="50"/>
      <c r="N212" s="50"/>
      <c r="O212" s="50"/>
      <c r="P212" s="50"/>
      <c r="Q212" s="50"/>
      <c r="R212" s="50"/>
      <c r="S212" s="50"/>
      <c r="T212" s="50"/>
      <c r="U212" s="50"/>
      <c r="V212" s="50"/>
      <c r="W212" s="50"/>
      <c r="X212" s="50"/>
      <c r="Y212" s="50"/>
      <c r="Z212" s="50"/>
      <c r="AA212" s="50"/>
      <c r="AB212" s="50"/>
    </row>
    <row r="213" customFormat="false" ht="15.75" hidden="false" customHeight="false" outlineLevel="0" collapsed="false">
      <c r="A213" s="50"/>
      <c r="B213" s="50"/>
      <c r="C213" s="5"/>
      <c r="D213" s="48"/>
      <c r="E213" s="50"/>
      <c r="F213" s="5"/>
      <c r="G213" s="5"/>
      <c r="H213" s="5"/>
      <c r="I213" s="5"/>
      <c r="J213" s="5"/>
      <c r="K213" s="50"/>
      <c r="L213" s="50"/>
      <c r="M213" s="50"/>
      <c r="N213" s="50"/>
      <c r="O213" s="50"/>
      <c r="P213" s="50"/>
      <c r="Q213" s="50"/>
      <c r="R213" s="50"/>
      <c r="S213" s="50"/>
      <c r="T213" s="50"/>
      <c r="U213" s="50"/>
      <c r="V213" s="50"/>
      <c r="W213" s="50"/>
      <c r="X213" s="50"/>
      <c r="Y213" s="50"/>
      <c r="Z213" s="50"/>
      <c r="AA213" s="50"/>
      <c r="AB213" s="50"/>
    </row>
    <row r="214" customFormat="false" ht="15.75" hidden="false" customHeight="false" outlineLevel="0" collapsed="false">
      <c r="A214" s="50"/>
      <c r="B214" s="50"/>
      <c r="C214" s="5"/>
      <c r="D214" s="48"/>
      <c r="E214" s="50"/>
      <c r="F214" s="5"/>
      <c r="G214" s="5"/>
      <c r="H214" s="5"/>
      <c r="I214" s="5"/>
      <c r="J214" s="5"/>
      <c r="K214" s="50"/>
      <c r="L214" s="50"/>
      <c r="M214" s="50"/>
      <c r="N214" s="50"/>
      <c r="O214" s="50"/>
      <c r="P214" s="50"/>
      <c r="Q214" s="50"/>
      <c r="R214" s="50"/>
      <c r="S214" s="50"/>
      <c r="T214" s="50"/>
      <c r="U214" s="50"/>
      <c r="V214" s="50"/>
      <c r="W214" s="50"/>
      <c r="X214" s="50"/>
      <c r="Y214" s="50"/>
      <c r="Z214" s="50"/>
      <c r="AA214" s="50"/>
      <c r="AB214" s="50"/>
    </row>
    <row r="215" customFormat="false" ht="15.75" hidden="false" customHeight="false" outlineLevel="0" collapsed="false">
      <c r="A215" s="50"/>
      <c r="B215" s="50"/>
      <c r="C215" s="5"/>
      <c r="D215" s="48"/>
      <c r="E215" s="50"/>
      <c r="F215" s="5"/>
      <c r="G215" s="5"/>
      <c r="H215" s="5"/>
      <c r="I215" s="5"/>
      <c r="J215" s="5"/>
      <c r="K215" s="50"/>
      <c r="L215" s="50"/>
      <c r="M215" s="50"/>
      <c r="N215" s="50"/>
      <c r="O215" s="50"/>
      <c r="P215" s="50"/>
      <c r="Q215" s="50"/>
      <c r="R215" s="50"/>
      <c r="S215" s="50"/>
      <c r="T215" s="50"/>
      <c r="U215" s="50"/>
      <c r="V215" s="50"/>
      <c r="W215" s="50"/>
      <c r="X215" s="50"/>
      <c r="Y215" s="50"/>
      <c r="Z215" s="50"/>
      <c r="AA215" s="50"/>
      <c r="AB215" s="50"/>
    </row>
    <row r="216" customFormat="false" ht="15.75" hidden="false" customHeight="false" outlineLevel="0" collapsed="false">
      <c r="A216" s="50"/>
      <c r="B216" s="50"/>
      <c r="C216" s="5"/>
      <c r="D216" s="48"/>
      <c r="E216" s="50"/>
      <c r="F216" s="5"/>
      <c r="G216" s="5"/>
      <c r="H216" s="5"/>
      <c r="I216" s="5"/>
      <c r="J216" s="5"/>
      <c r="K216" s="50"/>
      <c r="L216" s="50"/>
      <c r="M216" s="50"/>
      <c r="N216" s="50"/>
      <c r="O216" s="50"/>
      <c r="P216" s="50"/>
      <c r="Q216" s="50"/>
      <c r="R216" s="50"/>
      <c r="S216" s="50"/>
      <c r="T216" s="50"/>
      <c r="U216" s="50"/>
      <c r="V216" s="50"/>
      <c r="W216" s="50"/>
      <c r="X216" s="50"/>
      <c r="Y216" s="50"/>
      <c r="Z216" s="50"/>
      <c r="AA216" s="50"/>
      <c r="AB216" s="50"/>
    </row>
    <row r="217" customFormat="false" ht="15.75" hidden="false" customHeight="false" outlineLevel="0" collapsed="false">
      <c r="A217" s="50"/>
      <c r="B217" s="50"/>
      <c r="C217" s="5"/>
      <c r="D217" s="48"/>
      <c r="E217" s="50"/>
      <c r="F217" s="5"/>
      <c r="G217" s="5"/>
      <c r="H217" s="5"/>
      <c r="I217" s="5"/>
      <c r="J217" s="5"/>
      <c r="K217" s="50"/>
      <c r="L217" s="50"/>
      <c r="M217" s="50"/>
      <c r="N217" s="50"/>
      <c r="O217" s="50"/>
      <c r="P217" s="50"/>
      <c r="Q217" s="50"/>
      <c r="R217" s="50"/>
      <c r="S217" s="50"/>
      <c r="T217" s="50"/>
      <c r="U217" s="50"/>
      <c r="V217" s="50"/>
      <c r="W217" s="50"/>
      <c r="X217" s="50"/>
      <c r="Y217" s="50"/>
      <c r="Z217" s="50"/>
      <c r="AA217" s="50"/>
      <c r="AB217" s="50"/>
    </row>
    <row r="218" customFormat="false" ht="15.75" hidden="false" customHeight="false" outlineLevel="0" collapsed="false">
      <c r="A218" s="50"/>
      <c r="B218" s="50"/>
      <c r="C218" s="5"/>
      <c r="D218" s="48"/>
      <c r="E218" s="50"/>
      <c r="F218" s="5"/>
      <c r="G218" s="5"/>
      <c r="H218" s="5"/>
      <c r="I218" s="5"/>
      <c r="J218" s="5"/>
      <c r="K218" s="50"/>
      <c r="L218" s="50"/>
      <c r="M218" s="50"/>
      <c r="N218" s="50"/>
      <c r="O218" s="50"/>
      <c r="P218" s="50"/>
      <c r="Q218" s="50"/>
      <c r="R218" s="50"/>
      <c r="S218" s="50"/>
      <c r="T218" s="50"/>
      <c r="U218" s="50"/>
      <c r="V218" s="50"/>
      <c r="W218" s="50"/>
      <c r="X218" s="50"/>
      <c r="Y218" s="50"/>
      <c r="Z218" s="50"/>
      <c r="AA218" s="50"/>
      <c r="AB218" s="50"/>
    </row>
    <row r="219" customFormat="false" ht="15.75" hidden="false" customHeight="false" outlineLevel="0" collapsed="false">
      <c r="A219" s="50"/>
      <c r="B219" s="50"/>
      <c r="C219" s="5"/>
      <c r="D219" s="48"/>
      <c r="E219" s="50"/>
      <c r="F219" s="5"/>
      <c r="G219" s="5"/>
      <c r="H219" s="5"/>
      <c r="I219" s="5"/>
      <c r="J219" s="5"/>
      <c r="K219" s="50"/>
      <c r="L219" s="50"/>
      <c r="M219" s="50"/>
      <c r="N219" s="50"/>
      <c r="O219" s="50"/>
      <c r="P219" s="50"/>
      <c r="Q219" s="50"/>
      <c r="R219" s="50"/>
      <c r="S219" s="50"/>
      <c r="T219" s="50"/>
      <c r="U219" s="50"/>
      <c r="V219" s="50"/>
      <c r="W219" s="50"/>
      <c r="X219" s="50"/>
      <c r="Y219" s="50"/>
      <c r="Z219" s="50"/>
      <c r="AA219" s="50"/>
      <c r="AB219" s="50"/>
    </row>
    <row r="220" customFormat="false" ht="15.75" hidden="false" customHeight="false" outlineLevel="0" collapsed="false">
      <c r="A220" s="50"/>
      <c r="B220" s="50"/>
      <c r="C220" s="5"/>
      <c r="D220" s="48"/>
      <c r="E220" s="50"/>
      <c r="F220" s="5"/>
      <c r="G220" s="5"/>
      <c r="H220" s="5"/>
      <c r="I220" s="5"/>
      <c r="J220" s="5"/>
      <c r="K220" s="50"/>
      <c r="L220" s="50"/>
      <c r="M220" s="50"/>
      <c r="N220" s="50"/>
      <c r="O220" s="50"/>
      <c r="P220" s="50"/>
      <c r="Q220" s="50"/>
      <c r="R220" s="50"/>
      <c r="S220" s="50"/>
      <c r="T220" s="50"/>
      <c r="U220" s="50"/>
      <c r="V220" s="50"/>
      <c r="W220" s="50"/>
      <c r="X220" s="50"/>
      <c r="Y220" s="50"/>
      <c r="Z220" s="50"/>
      <c r="AA220" s="50"/>
      <c r="AB220" s="50"/>
    </row>
    <row r="221" customFormat="false" ht="15.75" hidden="false" customHeight="false" outlineLevel="0" collapsed="false">
      <c r="A221" s="50"/>
      <c r="B221" s="50"/>
      <c r="C221" s="5"/>
      <c r="D221" s="48"/>
      <c r="E221" s="50"/>
      <c r="F221" s="5"/>
      <c r="G221" s="5"/>
      <c r="H221" s="5"/>
      <c r="I221" s="5"/>
      <c r="J221" s="5"/>
      <c r="K221" s="50"/>
      <c r="L221" s="50"/>
      <c r="M221" s="50"/>
      <c r="N221" s="50"/>
      <c r="O221" s="50"/>
      <c r="P221" s="50"/>
      <c r="Q221" s="50"/>
      <c r="R221" s="50"/>
      <c r="S221" s="50"/>
      <c r="T221" s="50"/>
      <c r="U221" s="50"/>
      <c r="V221" s="50"/>
      <c r="W221" s="50"/>
      <c r="X221" s="50"/>
      <c r="Y221" s="50"/>
      <c r="Z221" s="50"/>
      <c r="AA221" s="50"/>
      <c r="AB221" s="50"/>
    </row>
    <row r="222" customFormat="false" ht="15.75" hidden="false" customHeight="false" outlineLevel="0" collapsed="false">
      <c r="A222" s="50"/>
      <c r="B222" s="50"/>
      <c r="C222" s="5"/>
      <c r="D222" s="48"/>
      <c r="E222" s="50"/>
      <c r="F222" s="5"/>
      <c r="G222" s="5"/>
      <c r="H222" s="5"/>
      <c r="I222" s="5"/>
      <c r="J222" s="5"/>
      <c r="K222" s="50"/>
      <c r="L222" s="50"/>
      <c r="M222" s="50"/>
      <c r="N222" s="50"/>
      <c r="O222" s="50"/>
      <c r="P222" s="50"/>
      <c r="Q222" s="50"/>
      <c r="R222" s="50"/>
      <c r="S222" s="50"/>
      <c r="T222" s="50"/>
      <c r="U222" s="50"/>
      <c r="V222" s="50"/>
      <c r="W222" s="50"/>
      <c r="X222" s="50"/>
      <c r="Y222" s="50"/>
      <c r="Z222" s="50"/>
      <c r="AA222" s="50"/>
      <c r="AB222" s="50"/>
    </row>
    <row r="223" customFormat="false" ht="15.75" hidden="false" customHeight="false" outlineLevel="0" collapsed="false">
      <c r="A223" s="50"/>
      <c r="B223" s="50"/>
      <c r="C223" s="5"/>
      <c r="D223" s="48"/>
      <c r="E223" s="50"/>
      <c r="F223" s="5"/>
      <c r="G223" s="5"/>
      <c r="H223" s="5"/>
      <c r="I223" s="5"/>
      <c r="J223" s="5"/>
      <c r="K223" s="50"/>
      <c r="L223" s="50"/>
      <c r="M223" s="50"/>
      <c r="N223" s="50"/>
      <c r="O223" s="50"/>
      <c r="P223" s="50"/>
      <c r="Q223" s="50"/>
      <c r="R223" s="50"/>
      <c r="S223" s="50"/>
      <c r="T223" s="50"/>
      <c r="U223" s="50"/>
      <c r="V223" s="50"/>
      <c r="W223" s="50"/>
      <c r="X223" s="50"/>
      <c r="Y223" s="50"/>
      <c r="Z223" s="50"/>
      <c r="AA223" s="50"/>
      <c r="AB223" s="50"/>
    </row>
    <row r="224" customFormat="false" ht="15.75" hidden="false" customHeight="false" outlineLevel="0" collapsed="false">
      <c r="A224" s="50"/>
      <c r="B224" s="50"/>
      <c r="C224" s="5"/>
      <c r="D224" s="48"/>
      <c r="E224" s="50"/>
      <c r="F224" s="5"/>
      <c r="G224" s="5"/>
      <c r="H224" s="5"/>
      <c r="I224" s="5"/>
      <c r="J224" s="5"/>
      <c r="K224" s="50"/>
      <c r="L224" s="50"/>
      <c r="M224" s="50"/>
      <c r="N224" s="50"/>
      <c r="O224" s="50"/>
      <c r="P224" s="50"/>
      <c r="Q224" s="50"/>
      <c r="R224" s="50"/>
      <c r="S224" s="50"/>
      <c r="T224" s="50"/>
      <c r="U224" s="50"/>
      <c r="V224" s="50"/>
      <c r="W224" s="50"/>
      <c r="X224" s="50"/>
      <c r="Y224" s="50"/>
      <c r="Z224" s="50"/>
      <c r="AA224" s="50"/>
      <c r="AB224" s="50"/>
    </row>
    <row r="225" customFormat="false" ht="15.75" hidden="false" customHeight="false" outlineLevel="0" collapsed="false">
      <c r="A225" s="50"/>
      <c r="B225" s="50"/>
      <c r="C225" s="5"/>
      <c r="D225" s="48"/>
      <c r="E225" s="50"/>
      <c r="F225" s="5"/>
      <c r="G225" s="5"/>
      <c r="H225" s="5"/>
      <c r="I225" s="5"/>
      <c r="J225" s="5"/>
      <c r="K225" s="50"/>
      <c r="L225" s="50"/>
      <c r="M225" s="50"/>
      <c r="N225" s="50"/>
      <c r="O225" s="50"/>
      <c r="P225" s="50"/>
      <c r="Q225" s="50"/>
      <c r="R225" s="50"/>
      <c r="S225" s="50"/>
      <c r="T225" s="50"/>
      <c r="U225" s="50"/>
      <c r="V225" s="50"/>
      <c r="W225" s="50"/>
      <c r="X225" s="50"/>
      <c r="Y225" s="50"/>
      <c r="Z225" s="50"/>
      <c r="AA225" s="50"/>
      <c r="AB225" s="50"/>
    </row>
    <row r="226" customFormat="false" ht="15.75" hidden="false" customHeight="false" outlineLevel="0" collapsed="false">
      <c r="A226" s="50"/>
      <c r="B226" s="50"/>
      <c r="C226" s="5"/>
      <c r="D226" s="48"/>
      <c r="E226" s="50"/>
      <c r="F226" s="5"/>
      <c r="G226" s="5"/>
      <c r="H226" s="5"/>
      <c r="I226" s="5"/>
      <c r="J226" s="5"/>
      <c r="K226" s="50"/>
      <c r="L226" s="50"/>
      <c r="M226" s="50"/>
      <c r="N226" s="50"/>
      <c r="O226" s="50"/>
      <c r="P226" s="50"/>
      <c r="Q226" s="50"/>
      <c r="R226" s="50"/>
      <c r="S226" s="50"/>
      <c r="T226" s="50"/>
      <c r="U226" s="50"/>
      <c r="V226" s="50"/>
      <c r="W226" s="50"/>
      <c r="X226" s="50"/>
      <c r="Y226" s="50"/>
      <c r="Z226" s="50"/>
      <c r="AA226" s="50"/>
      <c r="AB226" s="50"/>
    </row>
    <row r="227" customFormat="false" ht="15.75" hidden="false" customHeight="false" outlineLevel="0" collapsed="false">
      <c r="A227" s="50"/>
      <c r="B227" s="50"/>
      <c r="C227" s="5"/>
      <c r="D227" s="48"/>
      <c r="E227" s="50"/>
      <c r="F227" s="5"/>
      <c r="G227" s="5"/>
      <c r="H227" s="5"/>
      <c r="I227" s="5"/>
      <c r="J227" s="5"/>
      <c r="K227" s="50"/>
      <c r="L227" s="50"/>
      <c r="M227" s="50"/>
      <c r="N227" s="50"/>
      <c r="O227" s="50"/>
      <c r="P227" s="50"/>
      <c r="Q227" s="50"/>
      <c r="R227" s="50"/>
      <c r="S227" s="50"/>
      <c r="T227" s="50"/>
      <c r="U227" s="50"/>
      <c r="V227" s="50"/>
      <c r="W227" s="50"/>
      <c r="X227" s="50"/>
      <c r="Y227" s="50"/>
      <c r="Z227" s="50"/>
      <c r="AA227" s="50"/>
      <c r="AB227" s="50"/>
    </row>
    <row r="228" customFormat="false" ht="15.75" hidden="false" customHeight="false" outlineLevel="0" collapsed="false">
      <c r="A228" s="50"/>
      <c r="B228" s="50"/>
      <c r="C228" s="5"/>
      <c r="D228" s="48"/>
      <c r="E228" s="50"/>
      <c r="F228" s="5"/>
      <c r="G228" s="5"/>
      <c r="H228" s="5"/>
      <c r="I228" s="5"/>
      <c r="J228" s="5"/>
      <c r="K228" s="50"/>
      <c r="L228" s="50"/>
      <c r="M228" s="50"/>
      <c r="N228" s="50"/>
      <c r="O228" s="50"/>
      <c r="P228" s="50"/>
      <c r="Q228" s="50"/>
      <c r="R228" s="50"/>
      <c r="S228" s="50"/>
      <c r="T228" s="50"/>
      <c r="U228" s="50"/>
      <c r="V228" s="50"/>
      <c r="W228" s="50"/>
      <c r="X228" s="50"/>
      <c r="Y228" s="50"/>
      <c r="Z228" s="50"/>
      <c r="AA228" s="50"/>
      <c r="AB228" s="50"/>
    </row>
    <row r="229" customFormat="false" ht="15.75" hidden="false" customHeight="false" outlineLevel="0" collapsed="false">
      <c r="A229" s="50"/>
      <c r="B229" s="50"/>
      <c r="C229" s="5"/>
      <c r="D229" s="48"/>
      <c r="E229" s="50"/>
      <c r="F229" s="5"/>
      <c r="G229" s="5"/>
      <c r="H229" s="5"/>
      <c r="I229" s="5"/>
      <c r="J229" s="5"/>
      <c r="K229" s="50"/>
      <c r="L229" s="50"/>
      <c r="M229" s="50"/>
      <c r="N229" s="50"/>
      <c r="O229" s="50"/>
      <c r="P229" s="50"/>
      <c r="Q229" s="50"/>
      <c r="R229" s="50"/>
      <c r="S229" s="50"/>
      <c r="T229" s="50"/>
      <c r="U229" s="50"/>
      <c r="V229" s="50"/>
      <c r="W229" s="50"/>
      <c r="X229" s="50"/>
      <c r="Y229" s="50"/>
      <c r="Z229" s="50"/>
      <c r="AA229" s="50"/>
      <c r="AB229" s="50"/>
    </row>
    <row r="230" customFormat="false" ht="15.75" hidden="false" customHeight="false" outlineLevel="0" collapsed="false">
      <c r="A230" s="50"/>
      <c r="B230" s="50"/>
      <c r="C230" s="5"/>
      <c r="D230" s="48"/>
      <c r="E230" s="50"/>
      <c r="F230" s="5"/>
      <c r="G230" s="5"/>
      <c r="H230" s="5"/>
      <c r="I230" s="5"/>
      <c r="J230" s="5"/>
      <c r="K230" s="50"/>
      <c r="L230" s="50"/>
      <c r="M230" s="50"/>
      <c r="N230" s="50"/>
      <c r="O230" s="50"/>
      <c r="P230" s="50"/>
      <c r="Q230" s="50"/>
      <c r="R230" s="50"/>
      <c r="S230" s="50"/>
      <c r="T230" s="50"/>
      <c r="U230" s="50"/>
      <c r="V230" s="50"/>
      <c r="W230" s="50"/>
      <c r="X230" s="50"/>
      <c r="Y230" s="50"/>
      <c r="Z230" s="50"/>
      <c r="AA230" s="50"/>
      <c r="AB230" s="50"/>
    </row>
    <row r="231" customFormat="false" ht="15.75" hidden="false" customHeight="false" outlineLevel="0" collapsed="false">
      <c r="A231" s="50"/>
      <c r="B231" s="50"/>
      <c r="C231" s="5"/>
      <c r="D231" s="48"/>
      <c r="E231" s="50"/>
      <c r="F231" s="5"/>
      <c r="G231" s="5"/>
      <c r="H231" s="5"/>
      <c r="I231" s="5"/>
      <c r="J231" s="5"/>
      <c r="K231" s="50"/>
      <c r="L231" s="50"/>
      <c r="M231" s="50"/>
      <c r="N231" s="50"/>
      <c r="O231" s="50"/>
      <c r="P231" s="50"/>
      <c r="Q231" s="50"/>
      <c r="R231" s="50"/>
      <c r="S231" s="50"/>
      <c r="T231" s="50"/>
      <c r="U231" s="50"/>
      <c r="V231" s="50"/>
      <c r="W231" s="50"/>
      <c r="X231" s="50"/>
      <c r="Y231" s="50"/>
      <c r="Z231" s="50"/>
      <c r="AA231" s="50"/>
      <c r="AB231" s="50"/>
    </row>
    <row r="232" customFormat="false" ht="15.75" hidden="false" customHeight="false" outlineLevel="0" collapsed="false">
      <c r="A232" s="50"/>
      <c r="B232" s="50"/>
      <c r="C232" s="5"/>
      <c r="D232" s="48"/>
      <c r="E232" s="50"/>
      <c r="F232" s="5"/>
      <c r="G232" s="5"/>
      <c r="H232" s="5"/>
      <c r="I232" s="5"/>
      <c r="J232" s="5"/>
      <c r="K232" s="50"/>
      <c r="L232" s="50"/>
      <c r="M232" s="50"/>
      <c r="N232" s="50"/>
      <c r="O232" s="50"/>
      <c r="P232" s="50"/>
      <c r="Q232" s="50"/>
      <c r="R232" s="50"/>
      <c r="S232" s="50"/>
      <c r="T232" s="50"/>
      <c r="U232" s="50"/>
      <c r="V232" s="50"/>
      <c r="W232" s="50"/>
      <c r="X232" s="50"/>
      <c r="Y232" s="50"/>
      <c r="Z232" s="50"/>
      <c r="AA232" s="50"/>
      <c r="AB232" s="50"/>
    </row>
    <row r="233" customFormat="false" ht="15.75" hidden="false" customHeight="false" outlineLevel="0" collapsed="false">
      <c r="A233" s="50"/>
      <c r="B233" s="50"/>
      <c r="C233" s="5"/>
      <c r="D233" s="48"/>
      <c r="E233" s="50"/>
      <c r="F233" s="5"/>
      <c r="G233" s="5"/>
      <c r="H233" s="5"/>
      <c r="I233" s="5"/>
      <c r="J233" s="5"/>
      <c r="K233" s="50"/>
      <c r="L233" s="50"/>
      <c r="M233" s="50"/>
      <c r="N233" s="50"/>
      <c r="O233" s="50"/>
      <c r="P233" s="50"/>
      <c r="Q233" s="50"/>
      <c r="R233" s="50"/>
      <c r="S233" s="50"/>
      <c r="T233" s="50"/>
      <c r="U233" s="50"/>
      <c r="V233" s="50"/>
      <c r="W233" s="50"/>
      <c r="X233" s="50"/>
      <c r="Y233" s="50"/>
      <c r="Z233" s="50"/>
      <c r="AA233" s="50"/>
      <c r="AB233" s="50"/>
    </row>
    <row r="234" customFormat="false" ht="15.75" hidden="false" customHeight="false" outlineLevel="0" collapsed="false">
      <c r="A234" s="50"/>
      <c r="B234" s="50"/>
      <c r="C234" s="5"/>
      <c r="D234" s="48"/>
      <c r="E234" s="50"/>
      <c r="F234" s="5"/>
      <c r="G234" s="5"/>
      <c r="H234" s="5"/>
      <c r="I234" s="5"/>
      <c r="J234" s="5"/>
      <c r="K234" s="50"/>
      <c r="L234" s="50"/>
      <c r="M234" s="50"/>
      <c r="N234" s="50"/>
      <c r="O234" s="50"/>
      <c r="P234" s="50"/>
      <c r="Q234" s="50"/>
      <c r="R234" s="50"/>
      <c r="S234" s="50"/>
      <c r="T234" s="50"/>
      <c r="U234" s="50"/>
      <c r="V234" s="50"/>
      <c r="W234" s="50"/>
      <c r="X234" s="50"/>
      <c r="Y234" s="50"/>
      <c r="Z234" s="50"/>
      <c r="AA234" s="50"/>
      <c r="AB234" s="50"/>
    </row>
    <row r="235" customFormat="false" ht="15.75" hidden="false" customHeight="false" outlineLevel="0" collapsed="false">
      <c r="A235" s="50"/>
      <c r="B235" s="50"/>
      <c r="C235" s="5"/>
      <c r="D235" s="48"/>
      <c r="E235" s="50"/>
      <c r="F235" s="5"/>
      <c r="G235" s="5"/>
      <c r="H235" s="5"/>
      <c r="I235" s="5"/>
      <c r="J235" s="5"/>
      <c r="K235" s="50"/>
      <c r="L235" s="50"/>
      <c r="M235" s="50"/>
      <c r="N235" s="50"/>
      <c r="O235" s="50"/>
      <c r="P235" s="50"/>
      <c r="Q235" s="50"/>
      <c r="R235" s="50"/>
      <c r="S235" s="50"/>
      <c r="T235" s="50"/>
      <c r="U235" s="50"/>
      <c r="V235" s="50"/>
      <c r="W235" s="50"/>
      <c r="X235" s="50"/>
      <c r="Y235" s="50"/>
      <c r="Z235" s="50"/>
      <c r="AA235" s="50"/>
      <c r="AB235" s="50"/>
    </row>
    <row r="236" customFormat="false" ht="15.75" hidden="false" customHeight="false" outlineLevel="0" collapsed="false">
      <c r="A236" s="50"/>
      <c r="B236" s="50"/>
      <c r="C236" s="5"/>
      <c r="D236" s="48"/>
      <c r="E236" s="50"/>
      <c r="F236" s="5"/>
      <c r="G236" s="5"/>
      <c r="H236" s="5"/>
      <c r="I236" s="5"/>
      <c r="J236" s="5"/>
      <c r="K236" s="50"/>
      <c r="L236" s="50"/>
      <c r="M236" s="50"/>
      <c r="N236" s="50"/>
      <c r="O236" s="50"/>
      <c r="P236" s="50"/>
      <c r="Q236" s="50"/>
      <c r="R236" s="50"/>
      <c r="S236" s="50"/>
      <c r="T236" s="50"/>
      <c r="U236" s="50"/>
      <c r="V236" s="50"/>
      <c r="W236" s="50"/>
      <c r="X236" s="50"/>
      <c r="Y236" s="50"/>
      <c r="Z236" s="50"/>
      <c r="AA236" s="50"/>
      <c r="AB236" s="50"/>
    </row>
    <row r="237" customFormat="false" ht="15.75" hidden="false" customHeight="false" outlineLevel="0" collapsed="false">
      <c r="A237" s="50"/>
      <c r="B237" s="50"/>
      <c r="C237" s="5"/>
      <c r="D237" s="48"/>
      <c r="E237" s="50"/>
      <c r="F237" s="5"/>
      <c r="G237" s="5"/>
      <c r="H237" s="5"/>
      <c r="I237" s="5"/>
      <c r="J237" s="5"/>
      <c r="K237" s="50"/>
      <c r="L237" s="50"/>
      <c r="M237" s="50"/>
      <c r="N237" s="50"/>
      <c r="O237" s="50"/>
      <c r="P237" s="50"/>
      <c r="Q237" s="50"/>
      <c r="R237" s="50"/>
      <c r="S237" s="50"/>
      <c r="T237" s="50"/>
      <c r="U237" s="50"/>
      <c r="V237" s="50"/>
      <c r="W237" s="50"/>
      <c r="X237" s="50"/>
      <c r="Y237" s="50"/>
      <c r="Z237" s="50"/>
      <c r="AA237" s="50"/>
      <c r="AB237" s="50"/>
    </row>
    <row r="238" customFormat="false" ht="15.75" hidden="false" customHeight="false" outlineLevel="0" collapsed="false">
      <c r="A238" s="50"/>
      <c r="B238" s="50"/>
      <c r="C238" s="5"/>
      <c r="D238" s="48"/>
      <c r="E238" s="50"/>
      <c r="F238" s="5"/>
      <c r="G238" s="5"/>
      <c r="H238" s="5"/>
      <c r="I238" s="5"/>
      <c r="J238" s="5"/>
      <c r="K238" s="50"/>
      <c r="L238" s="50"/>
      <c r="M238" s="50"/>
      <c r="N238" s="50"/>
      <c r="O238" s="50"/>
      <c r="P238" s="50"/>
      <c r="Q238" s="50"/>
      <c r="R238" s="50"/>
      <c r="S238" s="50"/>
      <c r="T238" s="50"/>
      <c r="U238" s="50"/>
      <c r="V238" s="50"/>
      <c r="W238" s="50"/>
      <c r="X238" s="50"/>
      <c r="Y238" s="50"/>
      <c r="Z238" s="50"/>
      <c r="AA238" s="50"/>
      <c r="AB238" s="50"/>
    </row>
    <row r="239" customFormat="false" ht="15.75" hidden="false" customHeight="false" outlineLevel="0" collapsed="false">
      <c r="A239" s="50"/>
      <c r="B239" s="50"/>
      <c r="C239" s="5"/>
      <c r="D239" s="48"/>
      <c r="E239" s="50"/>
      <c r="F239" s="5"/>
      <c r="G239" s="5"/>
      <c r="H239" s="5"/>
      <c r="I239" s="5"/>
      <c r="J239" s="5"/>
      <c r="K239" s="50"/>
      <c r="L239" s="50"/>
      <c r="M239" s="50"/>
      <c r="N239" s="50"/>
      <c r="O239" s="50"/>
      <c r="P239" s="50"/>
      <c r="Q239" s="50"/>
      <c r="R239" s="50"/>
      <c r="S239" s="50"/>
      <c r="T239" s="50"/>
      <c r="U239" s="50"/>
      <c r="V239" s="50"/>
      <c r="W239" s="50"/>
      <c r="X239" s="50"/>
      <c r="Y239" s="50"/>
      <c r="Z239" s="50"/>
      <c r="AA239" s="50"/>
      <c r="AB239" s="50"/>
    </row>
    <row r="240" customFormat="false" ht="15.75" hidden="false" customHeight="false" outlineLevel="0" collapsed="false">
      <c r="A240" s="50"/>
      <c r="B240" s="50"/>
      <c r="C240" s="5"/>
      <c r="D240" s="48"/>
      <c r="E240" s="50"/>
      <c r="F240" s="5"/>
      <c r="G240" s="5"/>
      <c r="H240" s="5"/>
      <c r="I240" s="5"/>
      <c r="J240" s="5"/>
      <c r="K240" s="50"/>
      <c r="L240" s="50"/>
      <c r="M240" s="50"/>
      <c r="N240" s="50"/>
      <c r="O240" s="50"/>
      <c r="P240" s="50"/>
      <c r="Q240" s="50"/>
      <c r="R240" s="50"/>
      <c r="S240" s="50"/>
      <c r="T240" s="50"/>
      <c r="U240" s="50"/>
      <c r="V240" s="50"/>
      <c r="W240" s="50"/>
      <c r="X240" s="50"/>
      <c r="Y240" s="50"/>
      <c r="Z240" s="50"/>
      <c r="AA240" s="50"/>
      <c r="AB240" s="50"/>
    </row>
    <row r="241" customFormat="false" ht="15.75" hidden="false" customHeight="false" outlineLevel="0" collapsed="false">
      <c r="A241" s="50"/>
      <c r="B241" s="50"/>
      <c r="C241" s="5"/>
      <c r="D241" s="48"/>
      <c r="E241" s="50"/>
      <c r="F241" s="5"/>
      <c r="G241" s="5"/>
      <c r="H241" s="5"/>
      <c r="I241" s="5"/>
      <c r="J241" s="5"/>
      <c r="K241" s="50"/>
      <c r="L241" s="50"/>
      <c r="M241" s="50"/>
      <c r="N241" s="50"/>
      <c r="O241" s="50"/>
      <c r="P241" s="50"/>
      <c r="Q241" s="50"/>
      <c r="R241" s="50"/>
      <c r="S241" s="50"/>
      <c r="T241" s="50"/>
      <c r="U241" s="50"/>
      <c r="V241" s="50"/>
      <c r="W241" s="50"/>
      <c r="X241" s="50"/>
      <c r="Y241" s="50"/>
      <c r="Z241" s="50"/>
      <c r="AA241" s="50"/>
      <c r="AB241" s="50"/>
    </row>
    <row r="242" customFormat="false" ht="15.75" hidden="false" customHeight="false" outlineLevel="0" collapsed="false">
      <c r="A242" s="50"/>
      <c r="B242" s="50"/>
      <c r="C242" s="5"/>
      <c r="D242" s="48"/>
      <c r="E242" s="50"/>
      <c r="F242" s="5"/>
      <c r="G242" s="5"/>
      <c r="H242" s="5"/>
      <c r="I242" s="5"/>
      <c r="J242" s="5"/>
      <c r="K242" s="50"/>
      <c r="L242" s="50"/>
      <c r="M242" s="50"/>
      <c r="N242" s="50"/>
      <c r="O242" s="50"/>
      <c r="P242" s="50"/>
      <c r="Q242" s="50"/>
      <c r="R242" s="50"/>
      <c r="S242" s="50"/>
      <c r="T242" s="50"/>
      <c r="U242" s="50"/>
      <c r="V242" s="50"/>
      <c r="W242" s="50"/>
      <c r="X242" s="50"/>
      <c r="Y242" s="50"/>
      <c r="Z242" s="50"/>
      <c r="AA242" s="50"/>
      <c r="AB242" s="50"/>
    </row>
    <row r="243" customFormat="false" ht="15.75" hidden="false" customHeight="false" outlineLevel="0" collapsed="false">
      <c r="A243" s="50"/>
      <c r="B243" s="50"/>
      <c r="C243" s="5"/>
      <c r="D243" s="48"/>
      <c r="E243" s="50"/>
      <c r="F243" s="5"/>
      <c r="G243" s="5"/>
      <c r="H243" s="5"/>
      <c r="I243" s="5"/>
      <c r="J243" s="5"/>
      <c r="K243" s="50"/>
      <c r="L243" s="50"/>
      <c r="M243" s="50"/>
      <c r="N243" s="50"/>
      <c r="O243" s="50"/>
      <c r="P243" s="50"/>
      <c r="Q243" s="50"/>
      <c r="R243" s="50"/>
      <c r="S243" s="50"/>
      <c r="T243" s="50"/>
      <c r="U243" s="50"/>
      <c r="V243" s="50"/>
      <c r="W243" s="50"/>
      <c r="X243" s="50"/>
      <c r="Y243" s="50"/>
      <c r="Z243" s="50"/>
      <c r="AA243" s="50"/>
      <c r="AB243" s="50"/>
    </row>
    <row r="244" customFormat="false" ht="15.75" hidden="false" customHeight="false" outlineLevel="0" collapsed="false">
      <c r="A244" s="50"/>
      <c r="B244" s="50"/>
      <c r="C244" s="5"/>
      <c r="D244" s="48"/>
      <c r="E244" s="50"/>
      <c r="F244" s="5"/>
      <c r="G244" s="5"/>
      <c r="H244" s="5"/>
      <c r="I244" s="5"/>
      <c r="J244" s="5"/>
      <c r="K244" s="50"/>
      <c r="L244" s="50"/>
      <c r="M244" s="50"/>
      <c r="N244" s="50"/>
      <c r="O244" s="50"/>
      <c r="P244" s="50"/>
      <c r="Q244" s="50"/>
      <c r="R244" s="50"/>
      <c r="S244" s="50"/>
      <c r="T244" s="50"/>
      <c r="U244" s="50"/>
      <c r="V244" s="50"/>
      <c r="W244" s="50"/>
      <c r="X244" s="50"/>
      <c r="Y244" s="50"/>
      <c r="Z244" s="50"/>
      <c r="AA244" s="50"/>
      <c r="AB244" s="50"/>
    </row>
    <row r="245" customFormat="false" ht="15.75" hidden="false" customHeight="false" outlineLevel="0" collapsed="false">
      <c r="A245" s="50"/>
      <c r="B245" s="50"/>
      <c r="C245" s="5"/>
      <c r="D245" s="48"/>
      <c r="E245" s="50"/>
      <c r="F245" s="5"/>
      <c r="G245" s="5"/>
      <c r="H245" s="5"/>
      <c r="I245" s="5"/>
      <c r="J245" s="5"/>
      <c r="K245" s="50"/>
      <c r="L245" s="50"/>
      <c r="M245" s="50"/>
      <c r="N245" s="50"/>
      <c r="O245" s="50"/>
      <c r="P245" s="50"/>
      <c r="Q245" s="50"/>
      <c r="R245" s="50"/>
      <c r="S245" s="50"/>
      <c r="T245" s="50"/>
      <c r="U245" s="50"/>
      <c r="V245" s="50"/>
      <c r="W245" s="50"/>
      <c r="X245" s="50"/>
      <c r="Y245" s="50"/>
      <c r="Z245" s="50"/>
      <c r="AA245" s="50"/>
      <c r="AB245" s="50"/>
    </row>
    <row r="246" customFormat="false" ht="15.75" hidden="false" customHeight="false" outlineLevel="0" collapsed="false">
      <c r="A246" s="50"/>
      <c r="B246" s="50"/>
      <c r="C246" s="5"/>
      <c r="D246" s="48"/>
      <c r="E246" s="50"/>
      <c r="F246" s="5"/>
      <c r="G246" s="5"/>
      <c r="H246" s="5"/>
      <c r="I246" s="5"/>
      <c r="J246" s="5"/>
      <c r="K246" s="50"/>
      <c r="L246" s="50"/>
      <c r="M246" s="50"/>
      <c r="N246" s="50"/>
      <c r="O246" s="50"/>
      <c r="P246" s="50"/>
      <c r="Q246" s="50"/>
      <c r="R246" s="50"/>
      <c r="S246" s="50"/>
      <c r="T246" s="50"/>
      <c r="U246" s="50"/>
      <c r="V246" s="50"/>
      <c r="W246" s="50"/>
      <c r="X246" s="50"/>
      <c r="Y246" s="50"/>
      <c r="Z246" s="50"/>
      <c r="AA246" s="50"/>
      <c r="AB246" s="50"/>
    </row>
    <row r="247" customFormat="false" ht="15.75" hidden="false" customHeight="false" outlineLevel="0" collapsed="false">
      <c r="A247" s="50"/>
      <c r="B247" s="50"/>
      <c r="C247" s="5"/>
      <c r="D247" s="48"/>
      <c r="E247" s="50"/>
      <c r="F247" s="5"/>
      <c r="G247" s="5"/>
      <c r="H247" s="5"/>
      <c r="I247" s="5"/>
      <c r="J247" s="5"/>
      <c r="K247" s="50"/>
      <c r="L247" s="50"/>
      <c r="M247" s="50"/>
      <c r="N247" s="50"/>
      <c r="O247" s="50"/>
      <c r="P247" s="50"/>
      <c r="Q247" s="50"/>
      <c r="R247" s="50"/>
      <c r="S247" s="50"/>
      <c r="T247" s="50"/>
      <c r="U247" s="50"/>
      <c r="V247" s="50"/>
      <c r="W247" s="50"/>
      <c r="X247" s="50"/>
      <c r="Y247" s="50"/>
      <c r="Z247" s="50"/>
      <c r="AA247" s="50"/>
      <c r="AB247" s="50"/>
    </row>
    <row r="248" customFormat="false" ht="15.75" hidden="false" customHeight="false" outlineLevel="0" collapsed="false">
      <c r="A248" s="50"/>
      <c r="B248" s="50"/>
      <c r="C248" s="5"/>
      <c r="D248" s="48"/>
      <c r="E248" s="50"/>
      <c r="F248" s="5"/>
      <c r="G248" s="5"/>
      <c r="H248" s="5"/>
      <c r="I248" s="5"/>
      <c r="J248" s="5"/>
      <c r="K248" s="50"/>
      <c r="L248" s="50"/>
      <c r="M248" s="50"/>
      <c r="N248" s="50"/>
      <c r="O248" s="50"/>
      <c r="P248" s="50"/>
      <c r="Q248" s="50"/>
      <c r="R248" s="50"/>
      <c r="S248" s="50"/>
      <c r="T248" s="50"/>
      <c r="U248" s="50"/>
      <c r="V248" s="50"/>
      <c r="W248" s="50"/>
      <c r="X248" s="50"/>
      <c r="Y248" s="50"/>
      <c r="Z248" s="50"/>
      <c r="AA248" s="50"/>
      <c r="AB248" s="50"/>
    </row>
    <row r="249" customFormat="false" ht="15.75" hidden="false" customHeight="false" outlineLevel="0" collapsed="false">
      <c r="A249" s="50"/>
      <c r="B249" s="50"/>
      <c r="C249" s="5"/>
      <c r="D249" s="48"/>
      <c r="E249" s="50"/>
      <c r="F249" s="5"/>
      <c r="G249" s="5"/>
      <c r="H249" s="5"/>
      <c r="I249" s="5"/>
      <c r="J249" s="5"/>
      <c r="K249" s="50"/>
      <c r="L249" s="50"/>
      <c r="M249" s="50"/>
      <c r="N249" s="50"/>
      <c r="O249" s="50"/>
      <c r="P249" s="50"/>
      <c r="Q249" s="50"/>
      <c r="R249" s="50"/>
      <c r="S249" s="50"/>
      <c r="T249" s="50"/>
      <c r="U249" s="50"/>
      <c r="V249" s="50"/>
      <c r="W249" s="50"/>
      <c r="X249" s="50"/>
      <c r="Y249" s="50"/>
      <c r="Z249" s="50"/>
      <c r="AA249" s="50"/>
      <c r="AB249" s="50"/>
    </row>
    <row r="250" customFormat="false" ht="15.75" hidden="false" customHeight="false" outlineLevel="0" collapsed="false">
      <c r="A250" s="50"/>
      <c r="B250" s="50"/>
      <c r="C250" s="5"/>
      <c r="D250" s="48"/>
      <c r="E250" s="50"/>
      <c r="F250" s="5"/>
      <c r="G250" s="5"/>
      <c r="H250" s="5"/>
      <c r="I250" s="5"/>
      <c r="J250" s="5"/>
      <c r="K250" s="50"/>
      <c r="L250" s="50"/>
      <c r="M250" s="50"/>
      <c r="N250" s="50"/>
      <c r="O250" s="50"/>
      <c r="P250" s="50"/>
      <c r="Q250" s="50"/>
      <c r="R250" s="50"/>
      <c r="S250" s="50"/>
      <c r="T250" s="50"/>
      <c r="U250" s="50"/>
      <c r="V250" s="50"/>
      <c r="W250" s="50"/>
      <c r="X250" s="50"/>
      <c r="Y250" s="50"/>
      <c r="Z250" s="50"/>
      <c r="AA250" s="50"/>
      <c r="AB250" s="50"/>
    </row>
    <row r="251" customFormat="false" ht="15.75" hidden="false" customHeight="false" outlineLevel="0" collapsed="false">
      <c r="A251" s="50"/>
      <c r="B251" s="50"/>
      <c r="C251" s="5"/>
      <c r="D251" s="48"/>
      <c r="E251" s="50"/>
      <c r="F251" s="5"/>
      <c r="G251" s="5"/>
      <c r="H251" s="5"/>
      <c r="I251" s="5"/>
      <c r="J251" s="5"/>
      <c r="K251" s="50"/>
      <c r="L251" s="50"/>
      <c r="M251" s="50"/>
      <c r="N251" s="50"/>
      <c r="O251" s="50"/>
      <c r="P251" s="50"/>
      <c r="Q251" s="50"/>
      <c r="R251" s="50"/>
      <c r="S251" s="50"/>
      <c r="T251" s="50"/>
      <c r="U251" s="50"/>
      <c r="V251" s="50"/>
      <c r="W251" s="50"/>
      <c r="X251" s="50"/>
      <c r="Y251" s="50"/>
      <c r="Z251" s="50"/>
      <c r="AA251" s="50"/>
      <c r="AB251" s="50"/>
    </row>
    <row r="252" customFormat="false" ht="15.75" hidden="false" customHeight="false" outlineLevel="0" collapsed="false">
      <c r="A252" s="50"/>
      <c r="B252" s="50"/>
      <c r="C252" s="5"/>
      <c r="D252" s="48"/>
      <c r="E252" s="50"/>
      <c r="F252" s="5"/>
      <c r="G252" s="5"/>
      <c r="H252" s="5"/>
      <c r="I252" s="5"/>
      <c r="J252" s="5"/>
      <c r="K252" s="50"/>
      <c r="L252" s="50"/>
      <c r="M252" s="50"/>
      <c r="N252" s="50"/>
      <c r="O252" s="50"/>
      <c r="P252" s="50"/>
      <c r="Q252" s="50"/>
      <c r="R252" s="50"/>
      <c r="S252" s="50"/>
      <c r="T252" s="50"/>
      <c r="U252" s="50"/>
      <c r="V252" s="50"/>
      <c r="W252" s="50"/>
      <c r="X252" s="50"/>
      <c r="Y252" s="50"/>
      <c r="Z252" s="50"/>
      <c r="AA252" s="50"/>
      <c r="AB252" s="50"/>
    </row>
    <row r="253" customFormat="false" ht="15.75" hidden="false" customHeight="false" outlineLevel="0" collapsed="false">
      <c r="A253" s="50"/>
      <c r="B253" s="50"/>
      <c r="C253" s="5"/>
      <c r="D253" s="48"/>
      <c r="E253" s="50"/>
      <c r="F253" s="5"/>
      <c r="G253" s="5"/>
      <c r="H253" s="5"/>
      <c r="I253" s="5"/>
      <c r="J253" s="5"/>
      <c r="K253" s="50"/>
      <c r="L253" s="50"/>
      <c r="M253" s="50"/>
      <c r="N253" s="50"/>
      <c r="O253" s="50"/>
      <c r="P253" s="50"/>
      <c r="Q253" s="50"/>
      <c r="R253" s="50"/>
      <c r="S253" s="50"/>
      <c r="T253" s="50"/>
      <c r="U253" s="50"/>
      <c r="V253" s="50"/>
      <c r="W253" s="50"/>
      <c r="X253" s="50"/>
      <c r="Y253" s="50"/>
      <c r="Z253" s="50"/>
      <c r="AA253" s="50"/>
      <c r="AB253" s="50"/>
    </row>
    <row r="254" customFormat="false" ht="15.75" hidden="false" customHeight="false" outlineLevel="0" collapsed="false">
      <c r="A254" s="50"/>
      <c r="B254" s="50"/>
      <c r="C254" s="5"/>
      <c r="D254" s="48"/>
      <c r="E254" s="50"/>
      <c r="F254" s="5"/>
      <c r="G254" s="5"/>
      <c r="H254" s="5"/>
      <c r="I254" s="5"/>
      <c r="J254" s="5"/>
      <c r="K254" s="50"/>
      <c r="L254" s="50"/>
      <c r="M254" s="50"/>
      <c r="N254" s="50"/>
      <c r="O254" s="50"/>
      <c r="P254" s="50"/>
      <c r="Q254" s="50"/>
      <c r="R254" s="50"/>
      <c r="S254" s="50"/>
      <c r="T254" s="50"/>
      <c r="U254" s="50"/>
      <c r="V254" s="50"/>
      <c r="W254" s="50"/>
      <c r="X254" s="50"/>
      <c r="Y254" s="50"/>
      <c r="Z254" s="50"/>
      <c r="AA254" s="50"/>
      <c r="AB254" s="50"/>
    </row>
    <row r="255" customFormat="false" ht="15.75" hidden="false" customHeight="false" outlineLevel="0" collapsed="false">
      <c r="A255" s="50"/>
      <c r="B255" s="50"/>
      <c r="C255" s="5"/>
      <c r="D255" s="48"/>
      <c r="E255" s="50"/>
      <c r="F255" s="5"/>
      <c r="G255" s="5"/>
      <c r="H255" s="5"/>
      <c r="I255" s="5"/>
      <c r="J255" s="5"/>
      <c r="K255" s="50"/>
      <c r="L255" s="50"/>
      <c r="M255" s="50"/>
      <c r="N255" s="50"/>
      <c r="O255" s="50"/>
      <c r="P255" s="50"/>
      <c r="Q255" s="50"/>
      <c r="R255" s="50"/>
      <c r="S255" s="50"/>
      <c r="T255" s="50"/>
      <c r="U255" s="50"/>
      <c r="V255" s="50"/>
      <c r="W255" s="50"/>
      <c r="X255" s="50"/>
      <c r="Y255" s="50"/>
      <c r="Z255" s="50"/>
      <c r="AA255" s="50"/>
      <c r="AB255" s="50"/>
    </row>
    <row r="256" customFormat="false" ht="15.75" hidden="false" customHeight="false" outlineLevel="0" collapsed="false">
      <c r="A256" s="50"/>
      <c r="B256" s="50"/>
      <c r="C256" s="5"/>
      <c r="D256" s="48"/>
      <c r="E256" s="50"/>
      <c r="F256" s="5"/>
      <c r="G256" s="5"/>
      <c r="H256" s="5"/>
      <c r="I256" s="5"/>
      <c r="J256" s="5"/>
      <c r="K256" s="50"/>
      <c r="L256" s="50"/>
      <c r="M256" s="50"/>
      <c r="N256" s="50"/>
      <c r="O256" s="50"/>
      <c r="P256" s="50"/>
      <c r="Q256" s="50"/>
      <c r="R256" s="50"/>
      <c r="S256" s="50"/>
      <c r="T256" s="50"/>
      <c r="U256" s="50"/>
      <c r="V256" s="50"/>
      <c r="W256" s="50"/>
      <c r="X256" s="50"/>
      <c r="Y256" s="50"/>
      <c r="Z256" s="50"/>
      <c r="AA256" s="50"/>
      <c r="AB256" s="50"/>
    </row>
    <row r="257" customFormat="false" ht="15.75" hidden="false" customHeight="false" outlineLevel="0" collapsed="false">
      <c r="A257" s="50"/>
      <c r="B257" s="50"/>
      <c r="C257" s="5"/>
      <c r="D257" s="48"/>
      <c r="E257" s="50"/>
      <c r="F257" s="5"/>
      <c r="G257" s="5"/>
      <c r="H257" s="5"/>
      <c r="I257" s="5"/>
      <c r="J257" s="5"/>
      <c r="K257" s="50"/>
      <c r="L257" s="50"/>
      <c r="M257" s="50"/>
      <c r="N257" s="50"/>
      <c r="O257" s="50"/>
      <c r="P257" s="50"/>
      <c r="Q257" s="50"/>
      <c r="R257" s="50"/>
      <c r="S257" s="50"/>
      <c r="T257" s="50"/>
      <c r="U257" s="50"/>
      <c r="V257" s="50"/>
      <c r="W257" s="50"/>
      <c r="X257" s="50"/>
      <c r="Y257" s="50"/>
      <c r="Z257" s="50"/>
      <c r="AA257" s="50"/>
      <c r="AB257" s="50"/>
    </row>
    <row r="258" customFormat="false" ht="15.75" hidden="false" customHeight="false" outlineLevel="0" collapsed="false">
      <c r="A258" s="50"/>
      <c r="B258" s="50"/>
      <c r="C258" s="5"/>
      <c r="D258" s="48"/>
      <c r="E258" s="50"/>
      <c r="F258" s="5"/>
      <c r="G258" s="5"/>
      <c r="H258" s="5"/>
      <c r="I258" s="5"/>
      <c r="J258" s="5"/>
      <c r="K258" s="50"/>
      <c r="L258" s="50"/>
      <c r="M258" s="50"/>
      <c r="N258" s="50"/>
      <c r="O258" s="50"/>
      <c r="P258" s="50"/>
      <c r="Q258" s="50"/>
      <c r="R258" s="50"/>
      <c r="S258" s="50"/>
      <c r="T258" s="50"/>
      <c r="U258" s="50"/>
      <c r="V258" s="50"/>
      <c r="W258" s="50"/>
      <c r="X258" s="50"/>
      <c r="Y258" s="50"/>
      <c r="Z258" s="50"/>
      <c r="AA258" s="50"/>
      <c r="AB258" s="50"/>
    </row>
    <row r="259" customFormat="false" ht="15.75" hidden="false" customHeight="false" outlineLevel="0" collapsed="false">
      <c r="A259" s="50"/>
      <c r="B259" s="50"/>
      <c r="C259" s="5"/>
      <c r="D259" s="48"/>
      <c r="E259" s="50"/>
      <c r="F259" s="5"/>
      <c r="G259" s="5"/>
      <c r="H259" s="5"/>
      <c r="I259" s="5"/>
      <c r="J259" s="5"/>
      <c r="K259" s="50"/>
      <c r="L259" s="50"/>
      <c r="M259" s="50"/>
      <c r="N259" s="50"/>
      <c r="O259" s="50"/>
      <c r="P259" s="50"/>
      <c r="Q259" s="50"/>
      <c r="R259" s="50"/>
      <c r="S259" s="50"/>
      <c r="T259" s="50"/>
      <c r="U259" s="50"/>
      <c r="V259" s="50"/>
      <c r="W259" s="50"/>
      <c r="X259" s="50"/>
      <c r="Y259" s="50"/>
      <c r="Z259" s="50"/>
      <c r="AA259" s="50"/>
      <c r="AB259" s="50"/>
    </row>
    <row r="260" customFormat="false" ht="15.75" hidden="false" customHeight="false" outlineLevel="0" collapsed="false">
      <c r="A260" s="50"/>
      <c r="B260" s="50"/>
      <c r="C260" s="5"/>
      <c r="D260" s="48"/>
      <c r="E260" s="50"/>
      <c r="F260" s="5"/>
      <c r="G260" s="5"/>
      <c r="H260" s="5"/>
      <c r="I260" s="5"/>
      <c r="J260" s="5"/>
      <c r="K260" s="50"/>
      <c r="L260" s="50"/>
      <c r="M260" s="50"/>
      <c r="N260" s="50"/>
      <c r="O260" s="50"/>
      <c r="P260" s="50"/>
      <c r="Q260" s="50"/>
      <c r="R260" s="50"/>
      <c r="S260" s="50"/>
      <c r="T260" s="50"/>
      <c r="U260" s="50"/>
      <c r="V260" s="50"/>
      <c r="W260" s="50"/>
      <c r="X260" s="50"/>
      <c r="Y260" s="50"/>
      <c r="Z260" s="50"/>
      <c r="AA260" s="50"/>
      <c r="AB260" s="50"/>
    </row>
    <row r="261" customFormat="false" ht="15.75" hidden="false" customHeight="false" outlineLevel="0" collapsed="false">
      <c r="A261" s="50"/>
      <c r="B261" s="50"/>
      <c r="C261" s="5"/>
      <c r="D261" s="48"/>
      <c r="E261" s="50"/>
      <c r="F261" s="5"/>
      <c r="G261" s="5"/>
      <c r="H261" s="5"/>
      <c r="I261" s="5"/>
      <c r="J261" s="5"/>
      <c r="K261" s="50"/>
      <c r="L261" s="50"/>
      <c r="M261" s="50"/>
      <c r="N261" s="50"/>
      <c r="O261" s="50"/>
      <c r="P261" s="50"/>
      <c r="Q261" s="50"/>
      <c r="R261" s="50"/>
      <c r="S261" s="50"/>
      <c r="T261" s="50"/>
      <c r="U261" s="50"/>
      <c r="V261" s="50"/>
      <c r="W261" s="50"/>
      <c r="X261" s="50"/>
      <c r="Y261" s="50"/>
      <c r="Z261" s="50"/>
      <c r="AA261" s="50"/>
      <c r="AB261" s="50"/>
    </row>
    <row r="262" customFormat="false" ht="15.75" hidden="false" customHeight="false" outlineLevel="0" collapsed="false">
      <c r="A262" s="50"/>
      <c r="B262" s="50"/>
      <c r="C262" s="5"/>
      <c r="D262" s="48"/>
      <c r="E262" s="50"/>
      <c r="F262" s="5"/>
      <c r="G262" s="5"/>
      <c r="H262" s="5"/>
      <c r="I262" s="5"/>
      <c r="J262" s="5"/>
      <c r="K262" s="50"/>
      <c r="L262" s="50"/>
      <c r="M262" s="50"/>
      <c r="N262" s="50"/>
      <c r="O262" s="50"/>
      <c r="P262" s="50"/>
      <c r="Q262" s="50"/>
      <c r="R262" s="50"/>
      <c r="S262" s="50"/>
      <c r="T262" s="50"/>
      <c r="U262" s="50"/>
      <c r="V262" s="50"/>
      <c r="W262" s="50"/>
      <c r="X262" s="50"/>
      <c r="Y262" s="50"/>
      <c r="Z262" s="50"/>
      <c r="AA262" s="50"/>
      <c r="AB262" s="50"/>
    </row>
    <row r="263" customFormat="false" ht="15.75" hidden="false" customHeight="false" outlineLevel="0" collapsed="false">
      <c r="A263" s="50"/>
      <c r="B263" s="50"/>
      <c r="C263" s="5"/>
      <c r="D263" s="48"/>
      <c r="E263" s="50"/>
      <c r="F263" s="5"/>
      <c r="G263" s="5"/>
      <c r="H263" s="5"/>
      <c r="I263" s="5"/>
      <c r="J263" s="5"/>
      <c r="K263" s="50"/>
      <c r="L263" s="50"/>
      <c r="M263" s="50"/>
      <c r="N263" s="50"/>
      <c r="O263" s="50"/>
      <c r="P263" s="50"/>
      <c r="Q263" s="50"/>
      <c r="R263" s="50"/>
      <c r="S263" s="50"/>
      <c r="T263" s="50"/>
      <c r="U263" s="50"/>
      <c r="V263" s="50"/>
      <c r="W263" s="50"/>
      <c r="X263" s="50"/>
      <c r="Y263" s="50"/>
      <c r="Z263" s="50"/>
      <c r="AA263" s="50"/>
      <c r="AB263" s="50"/>
    </row>
    <row r="264" customFormat="false" ht="15.75" hidden="false" customHeight="false" outlineLevel="0" collapsed="false">
      <c r="A264" s="50"/>
      <c r="B264" s="50"/>
      <c r="C264" s="5"/>
      <c r="D264" s="48"/>
      <c r="E264" s="50"/>
      <c r="F264" s="5"/>
      <c r="G264" s="5"/>
      <c r="H264" s="5"/>
      <c r="I264" s="5"/>
      <c r="J264" s="5"/>
      <c r="K264" s="50"/>
      <c r="L264" s="50"/>
      <c r="M264" s="50"/>
      <c r="N264" s="50"/>
      <c r="O264" s="50"/>
      <c r="P264" s="50"/>
      <c r="Q264" s="50"/>
      <c r="R264" s="50"/>
      <c r="S264" s="50"/>
      <c r="T264" s="50"/>
      <c r="U264" s="50"/>
      <c r="V264" s="50"/>
      <c r="W264" s="50"/>
      <c r="X264" s="50"/>
      <c r="Y264" s="50"/>
      <c r="Z264" s="50"/>
      <c r="AA264" s="50"/>
      <c r="AB264" s="50"/>
    </row>
    <row r="265" customFormat="false" ht="15.75" hidden="false" customHeight="false" outlineLevel="0" collapsed="false">
      <c r="A265" s="50"/>
      <c r="B265" s="50"/>
      <c r="C265" s="5"/>
      <c r="D265" s="48"/>
      <c r="E265" s="50"/>
      <c r="F265" s="5"/>
      <c r="G265" s="5"/>
      <c r="H265" s="5"/>
      <c r="I265" s="5"/>
      <c r="J265" s="5"/>
      <c r="K265" s="50"/>
      <c r="L265" s="50"/>
      <c r="M265" s="50"/>
      <c r="N265" s="50"/>
      <c r="O265" s="50"/>
      <c r="P265" s="50"/>
      <c r="Q265" s="50"/>
      <c r="R265" s="50"/>
      <c r="S265" s="50"/>
      <c r="T265" s="50"/>
      <c r="U265" s="50"/>
      <c r="V265" s="50"/>
      <c r="W265" s="50"/>
      <c r="X265" s="50"/>
      <c r="Y265" s="50"/>
      <c r="Z265" s="50"/>
      <c r="AA265" s="50"/>
      <c r="AB265" s="50"/>
    </row>
    <row r="266" customFormat="false" ht="15.75" hidden="false" customHeight="false" outlineLevel="0" collapsed="false">
      <c r="A266" s="50"/>
      <c r="B266" s="50"/>
      <c r="C266" s="5"/>
      <c r="D266" s="48"/>
      <c r="E266" s="50"/>
      <c r="F266" s="5"/>
      <c r="G266" s="5"/>
      <c r="H266" s="5"/>
      <c r="I266" s="5"/>
      <c r="J266" s="5"/>
      <c r="K266" s="50"/>
      <c r="L266" s="50"/>
      <c r="M266" s="50"/>
      <c r="N266" s="50"/>
      <c r="O266" s="50"/>
      <c r="P266" s="50"/>
      <c r="Q266" s="50"/>
      <c r="R266" s="50"/>
      <c r="S266" s="50"/>
      <c r="T266" s="50"/>
      <c r="U266" s="50"/>
      <c r="V266" s="50"/>
      <c r="W266" s="50"/>
      <c r="X266" s="50"/>
      <c r="Y266" s="50"/>
      <c r="Z266" s="50"/>
      <c r="AA266" s="50"/>
      <c r="AB266" s="50"/>
    </row>
    <row r="267" customFormat="false" ht="15.75" hidden="false" customHeight="false" outlineLevel="0" collapsed="false">
      <c r="A267" s="50"/>
      <c r="B267" s="50"/>
      <c r="C267" s="5"/>
      <c r="D267" s="48"/>
      <c r="E267" s="50"/>
      <c r="F267" s="5"/>
      <c r="G267" s="5"/>
      <c r="H267" s="5"/>
      <c r="I267" s="5"/>
      <c r="J267" s="5"/>
      <c r="K267" s="50"/>
      <c r="L267" s="50"/>
      <c r="M267" s="50"/>
      <c r="N267" s="50"/>
      <c r="O267" s="50"/>
      <c r="P267" s="50"/>
      <c r="Q267" s="50"/>
      <c r="R267" s="50"/>
      <c r="S267" s="50"/>
      <c r="T267" s="50"/>
      <c r="U267" s="50"/>
      <c r="V267" s="50"/>
      <c r="W267" s="50"/>
      <c r="X267" s="50"/>
      <c r="Y267" s="50"/>
      <c r="Z267" s="50"/>
      <c r="AA267" s="50"/>
      <c r="AB267" s="50"/>
    </row>
    <row r="268" customFormat="false" ht="15.75" hidden="false" customHeight="false" outlineLevel="0" collapsed="false">
      <c r="A268" s="50"/>
      <c r="B268" s="50"/>
      <c r="C268" s="5"/>
      <c r="D268" s="48"/>
      <c r="E268" s="50"/>
      <c r="F268" s="5"/>
      <c r="G268" s="5"/>
      <c r="H268" s="5"/>
      <c r="I268" s="5"/>
      <c r="J268" s="5"/>
      <c r="K268" s="50"/>
      <c r="L268" s="50"/>
      <c r="M268" s="50"/>
      <c r="N268" s="50"/>
      <c r="O268" s="50"/>
      <c r="P268" s="50"/>
      <c r="Q268" s="50"/>
      <c r="R268" s="50"/>
      <c r="S268" s="50"/>
      <c r="T268" s="50"/>
      <c r="U268" s="50"/>
      <c r="V268" s="50"/>
      <c r="W268" s="50"/>
      <c r="X268" s="50"/>
      <c r="Y268" s="50"/>
      <c r="Z268" s="50"/>
      <c r="AA268" s="50"/>
      <c r="AB268" s="50"/>
    </row>
    <row r="269" customFormat="false" ht="15.75" hidden="false" customHeight="false" outlineLevel="0" collapsed="false">
      <c r="A269" s="50"/>
      <c r="B269" s="50"/>
      <c r="C269" s="5"/>
      <c r="D269" s="48"/>
      <c r="E269" s="50"/>
      <c r="F269" s="5"/>
      <c r="G269" s="5"/>
      <c r="H269" s="5"/>
      <c r="I269" s="5"/>
      <c r="J269" s="5"/>
      <c r="K269" s="50"/>
      <c r="L269" s="50"/>
      <c r="M269" s="50"/>
      <c r="N269" s="50"/>
      <c r="O269" s="50"/>
      <c r="P269" s="50"/>
      <c r="Q269" s="50"/>
      <c r="R269" s="50"/>
      <c r="S269" s="50"/>
      <c r="T269" s="50"/>
      <c r="U269" s="50"/>
      <c r="V269" s="50"/>
      <c r="W269" s="50"/>
      <c r="X269" s="50"/>
      <c r="Y269" s="50"/>
      <c r="Z269" s="50"/>
      <c r="AA269" s="50"/>
      <c r="AB269" s="50"/>
    </row>
    <row r="270" customFormat="false" ht="15.75" hidden="false" customHeight="false" outlineLevel="0" collapsed="false">
      <c r="A270" s="50"/>
      <c r="B270" s="50"/>
      <c r="C270" s="5"/>
      <c r="D270" s="48"/>
      <c r="E270" s="50"/>
      <c r="F270" s="5"/>
      <c r="G270" s="5"/>
      <c r="H270" s="5"/>
      <c r="I270" s="5"/>
      <c r="J270" s="5"/>
      <c r="K270" s="50"/>
      <c r="L270" s="50"/>
      <c r="M270" s="50"/>
      <c r="N270" s="50"/>
      <c r="O270" s="50"/>
      <c r="P270" s="50"/>
      <c r="Q270" s="50"/>
      <c r="R270" s="50"/>
      <c r="S270" s="50"/>
      <c r="T270" s="50"/>
      <c r="U270" s="50"/>
      <c r="V270" s="50"/>
      <c r="W270" s="50"/>
      <c r="X270" s="50"/>
      <c r="Y270" s="50"/>
      <c r="Z270" s="50"/>
      <c r="AA270" s="50"/>
      <c r="AB270" s="50"/>
    </row>
    <row r="271" customFormat="false" ht="15.75" hidden="false" customHeight="false" outlineLevel="0" collapsed="false">
      <c r="A271" s="50"/>
      <c r="B271" s="50"/>
      <c r="C271" s="5"/>
      <c r="D271" s="48"/>
      <c r="E271" s="50"/>
      <c r="F271" s="5"/>
      <c r="G271" s="5"/>
      <c r="H271" s="5"/>
      <c r="I271" s="5"/>
      <c r="J271" s="5"/>
      <c r="K271" s="50"/>
      <c r="L271" s="50"/>
      <c r="M271" s="50"/>
      <c r="N271" s="50"/>
      <c r="O271" s="50"/>
      <c r="P271" s="50"/>
      <c r="Q271" s="50"/>
      <c r="R271" s="50"/>
      <c r="S271" s="50"/>
      <c r="T271" s="50"/>
      <c r="U271" s="50"/>
      <c r="V271" s="50"/>
      <c r="W271" s="50"/>
      <c r="X271" s="50"/>
      <c r="Y271" s="50"/>
      <c r="Z271" s="50"/>
      <c r="AA271" s="50"/>
      <c r="AB271" s="50"/>
    </row>
    <row r="272" customFormat="false" ht="15.75" hidden="false" customHeight="false" outlineLevel="0" collapsed="false">
      <c r="A272" s="50"/>
      <c r="B272" s="50"/>
      <c r="C272" s="5"/>
      <c r="D272" s="48"/>
      <c r="E272" s="50"/>
      <c r="F272" s="5"/>
      <c r="G272" s="5"/>
      <c r="H272" s="5"/>
      <c r="I272" s="5"/>
      <c r="J272" s="5"/>
      <c r="K272" s="50"/>
      <c r="L272" s="50"/>
      <c r="M272" s="50"/>
      <c r="N272" s="50"/>
      <c r="O272" s="50"/>
      <c r="P272" s="50"/>
      <c r="Q272" s="50"/>
      <c r="R272" s="50"/>
      <c r="S272" s="50"/>
      <c r="T272" s="50"/>
      <c r="U272" s="50"/>
      <c r="V272" s="50"/>
      <c r="W272" s="50"/>
      <c r="X272" s="50"/>
      <c r="Y272" s="50"/>
      <c r="Z272" s="50"/>
      <c r="AA272" s="50"/>
      <c r="AB272" s="50"/>
    </row>
    <row r="273" customFormat="false" ht="15.75" hidden="false" customHeight="false" outlineLevel="0" collapsed="false">
      <c r="A273" s="50"/>
      <c r="B273" s="50"/>
      <c r="C273" s="5"/>
      <c r="D273" s="48"/>
      <c r="E273" s="50"/>
      <c r="F273" s="5"/>
      <c r="G273" s="5"/>
      <c r="H273" s="5"/>
      <c r="I273" s="5"/>
      <c r="J273" s="5"/>
      <c r="K273" s="50"/>
      <c r="L273" s="50"/>
      <c r="M273" s="50"/>
      <c r="N273" s="50"/>
      <c r="O273" s="50"/>
      <c r="P273" s="50"/>
      <c r="Q273" s="50"/>
      <c r="R273" s="50"/>
      <c r="S273" s="50"/>
      <c r="T273" s="50"/>
      <c r="U273" s="50"/>
      <c r="V273" s="50"/>
      <c r="W273" s="50"/>
      <c r="X273" s="50"/>
      <c r="Y273" s="50"/>
      <c r="Z273" s="50"/>
      <c r="AA273" s="50"/>
      <c r="AB273" s="50"/>
    </row>
    <row r="274" customFormat="false" ht="15.75" hidden="false" customHeight="false" outlineLevel="0" collapsed="false">
      <c r="A274" s="50"/>
      <c r="B274" s="50"/>
      <c r="C274" s="5"/>
      <c r="D274" s="48"/>
      <c r="E274" s="50"/>
      <c r="F274" s="5"/>
      <c r="G274" s="5"/>
      <c r="H274" s="5"/>
      <c r="I274" s="5"/>
      <c r="J274" s="5"/>
      <c r="K274" s="50"/>
      <c r="L274" s="50"/>
      <c r="M274" s="50"/>
      <c r="N274" s="50"/>
      <c r="O274" s="50"/>
      <c r="P274" s="50"/>
      <c r="Q274" s="50"/>
      <c r="R274" s="50"/>
      <c r="S274" s="50"/>
      <c r="T274" s="50"/>
      <c r="U274" s="50"/>
      <c r="V274" s="50"/>
      <c r="W274" s="50"/>
      <c r="X274" s="50"/>
      <c r="Y274" s="50"/>
      <c r="Z274" s="50"/>
      <c r="AA274" s="50"/>
      <c r="AB274" s="50"/>
    </row>
    <row r="275" customFormat="false" ht="15.75" hidden="false" customHeight="false" outlineLevel="0" collapsed="false">
      <c r="A275" s="50"/>
      <c r="B275" s="50"/>
      <c r="C275" s="5"/>
      <c r="D275" s="48"/>
      <c r="E275" s="50"/>
      <c r="F275" s="5"/>
      <c r="G275" s="5"/>
      <c r="H275" s="5"/>
      <c r="I275" s="5"/>
      <c r="J275" s="5"/>
      <c r="K275" s="50"/>
      <c r="L275" s="50"/>
      <c r="M275" s="50"/>
      <c r="N275" s="50"/>
      <c r="O275" s="50"/>
      <c r="P275" s="50"/>
      <c r="Q275" s="50"/>
      <c r="R275" s="50"/>
      <c r="S275" s="50"/>
      <c r="T275" s="50"/>
      <c r="U275" s="50"/>
      <c r="V275" s="50"/>
      <c r="W275" s="50"/>
      <c r="X275" s="50"/>
      <c r="Y275" s="50"/>
      <c r="Z275" s="50"/>
      <c r="AA275" s="50"/>
      <c r="AB275" s="50"/>
    </row>
    <row r="276" customFormat="false" ht="15.75" hidden="false" customHeight="false" outlineLevel="0" collapsed="false">
      <c r="A276" s="50"/>
      <c r="B276" s="50"/>
      <c r="C276" s="5"/>
      <c r="D276" s="48"/>
      <c r="E276" s="50"/>
      <c r="F276" s="5"/>
      <c r="G276" s="5"/>
      <c r="H276" s="5"/>
      <c r="I276" s="5"/>
      <c r="J276" s="5"/>
      <c r="K276" s="50"/>
      <c r="L276" s="50"/>
      <c r="M276" s="50"/>
      <c r="N276" s="50"/>
      <c r="O276" s="50"/>
      <c r="P276" s="50"/>
      <c r="Q276" s="50"/>
      <c r="R276" s="50"/>
      <c r="S276" s="50"/>
      <c r="T276" s="50"/>
      <c r="U276" s="50"/>
      <c r="V276" s="50"/>
      <c r="W276" s="50"/>
      <c r="X276" s="50"/>
      <c r="Y276" s="50"/>
      <c r="Z276" s="50"/>
      <c r="AA276" s="50"/>
      <c r="AB276" s="50"/>
    </row>
    <row r="277" customFormat="false" ht="15.75" hidden="false" customHeight="false" outlineLevel="0" collapsed="false">
      <c r="A277" s="50"/>
      <c r="B277" s="50"/>
      <c r="C277" s="5"/>
      <c r="D277" s="48"/>
      <c r="E277" s="50"/>
      <c r="F277" s="5"/>
      <c r="G277" s="5"/>
      <c r="H277" s="5"/>
      <c r="I277" s="5"/>
      <c r="J277" s="5"/>
      <c r="K277" s="50"/>
      <c r="L277" s="50"/>
      <c r="M277" s="50"/>
      <c r="N277" s="50"/>
      <c r="O277" s="50"/>
      <c r="P277" s="50"/>
      <c r="Q277" s="50"/>
      <c r="R277" s="50"/>
      <c r="S277" s="50"/>
      <c r="T277" s="50"/>
      <c r="U277" s="50"/>
      <c r="V277" s="50"/>
      <c r="W277" s="50"/>
      <c r="X277" s="50"/>
      <c r="Y277" s="50"/>
      <c r="Z277" s="50"/>
      <c r="AA277" s="50"/>
      <c r="AB277" s="50"/>
    </row>
    <row r="278" customFormat="false" ht="15.75" hidden="false" customHeight="false" outlineLevel="0" collapsed="false">
      <c r="A278" s="50"/>
      <c r="B278" s="50"/>
      <c r="C278" s="5"/>
      <c r="D278" s="48"/>
      <c r="E278" s="50"/>
      <c r="F278" s="5"/>
      <c r="G278" s="5"/>
      <c r="H278" s="5"/>
      <c r="I278" s="5"/>
      <c r="J278" s="5"/>
      <c r="K278" s="50"/>
      <c r="L278" s="50"/>
      <c r="M278" s="50"/>
      <c r="N278" s="50"/>
      <c r="O278" s="50"/>
      <c r="P278" s="50"/>
      <c r="Q278" s="50"/>
      <c r="R278" s="50"/>
      <c r="S278" s="50"/>
      <c r="T278" s="50"/>
      <c r="U278" s="50"/>
      <c r="V278" s="50"/>
      <c r="W278" s="50"/>
      <c r="X278" s="50"/>
      <c r="Y278" s="50"/>
      <c r="Z278" s="50"/>
      <c r="AA278" s="50"/>
      <c r="AB278" s="50"/>
    </row>
    <row r="279" customFormat="false" ht="15.75" hidden="false" customHeight="false" outlineLevel="0" collapsed="false">
      <c r="A279" s="50"/>
      <c r="B279" s="50"/>
      <c r="C279" s="5"/>
      <c r="D279" s="48"/>
      <c r="E279" s="50"/>
      <c r="F279" s="5"/>
      <c r="G279" s="5"/>
      <c r="H279" s="5"/>
      <c r="I279" s="5"/>
      <c r="J279" s="5"/>
      <c r="K279" s="50"/>
      <c r="L279" s="50"/>
      <c r="M279" s="50"/>
      <c r="N279" s="50"/>
      <c r="O279" s="50"/>
      <c r="P279" s="50"/>
      <c r="Q279" s="50"/>
      <c r="R279" s="50"/>
      <c r="S279" s="50"/>
      <c r="T279" s="50"/>
      <c r="U279" s="50"/>
      <c r="V279" s="50"/>
      <c r="W279" s="50"/>
      <c r="X279" s="50"/>
      <c r="Y279" s="50"/>
      <c r="Z279" s="50"/>
      <c r="AA279" s="50"/>
      <c r="AB279" s="50"/>
    </row>
    <row r="280" customFormat="false" ht="15.75" hidden="false" customHeight="false" outlineLevel="0" collapsed="false">
      <c r="A280" s="50"/>
      <c r="B280" s="50"/>
      <c r="C280" s="5"/>
      <c r="D280" s="48"/>
      <c r="E280" s="50"/>
      <c r="F280" s="5"/>
      <c r="G280" s="5"/>
      <c r="H280" s="5"/>
      <c r="I280" s="5"/>
      <c r="J280" s="5"/>
      <c r="K280" s="50"/>
      <c r="L280" s="50"/>
      <c r="M280" s="50"/>
      <c r="N280" s="50"/>
      <c r="O280" s="50"/>
      <c r="P280" s="50"/>
      <c r="Q280" s="50"/>
      <c r="R280" s="50"/>
      <c r="S280" s="50"/>
      <c r="T280" s="50"/>
      <c r="U280" s="50"/>
      <c r="V280" s="50"/>
      <c r="W280" s="50"/>
      <c r="X280" s="50"/>
      <c r="Y280" s="50"/>
      <c r="Z280" s="50"/>
      <c r="AA280" s="50"/>
      <c r="AB280" s="50"/>
    </row>
    <row r="281" customFormat="false" ht="15.75" hidden="false" customHeight="false" outlineLevel="0" collapsed="false">
      <c r="A281" s="50"/>
      <c r="B281" s="50"/>
      <c r="C281" s="5"/>
      <c r="D281" s="48"/>
      <c r="E281" s="50"/>
      <c r="F281" s="5"/>
      <c r="G281" s="5"/>
      <c r="H281" s="5"/>
      <c r="I281" s="5"/>
      <c r="J281" s="5"/>
      <c r="K281" s="50"/>
      <c r="L281" s="50"/>
      <c r="M281" s="50"/>
      <c r="N281" s="50"/>
      <c r="O281" s="50"/>
      <c r="P281" s="50"/>
      <c r="Q281" s="50"/>
      <c r="R281" s="50"/>
      <c r="S281" s="50"/>
      <c r="T281" s="50"/>
      <c r="U281" s="50"/>
      <c r="V281" s="50"/>
      <c r="W281" s="50"/>
      <c r="X281" s="50"/>
      <c r="Y281" s="50"/>
      <c r="Z281" s="50"/>
      <c r="AA281" s="50"/>
      <c r="AB281" s="50"/>
    </row>
    <row r="282" customFormat="false" ht="15.75" hidden="false" customHeight="false" outlineLevel="0" collapsed="false">
      <c r="A282" s="50"/>
      <c r="B282" s="50"/>
      <c r="C282" s="5"/>
      <c r="D282" s="48"/>
      <c r="E282" s="50"/>
      <c r="F282" s="5"/>
      <c r="G282" s="5"/>
      <c r="H282" s="5"/>
      <c r="I282" s="5"/>
      <c r="J282" s="5"/>
      <c r="K282" s="50"/>
      <c r="L282" s="50"/>
      <c r="M282" s="50"/>
      <c r="N282" s="50"/>
      <c r="O282" s="50"/>
      <c r="P282" s="50"/>
      <c r="Q282" s="50"/>
      <c r="R282" s="50"/>
      <c r="S282" s="50"/>
      <c r="T282" s="50"/>
      <c r="U282" s="50"/>
      <c r="V282" s="50"/>
      <c r="W282" s="50"/>
      <c r="X282" s="50"/>
      <c r="Y282" s="50"/>
      <c r="Z282" s="50"/>
      <c r="AA282" s="50"/>
      <c r="AB282" s="50"/>
    </row>
    <row r="283" customFormat="false" ht="15.75" hidden="false" customHeight="false" outlineLevel="0" collapsed="false">
      <c r="A283" s="50"/>
      <c r="B283" s="50"/>
      <c r="C283" s="5"/>
      <c r="D283" s="48"/>
      <c r="E283" s="50"/>
      <c r="F283" s="5"/>
      <c r="G283" s="5"/>
      <c r="H283" s="5"/>
      <c r="I283" s="5"/>
      <c r="J283" s="5"/>
      <c r="K283" s="50"/>
      <c r="L283" s="50"/>
      <c r="M283" s="50"/>
      <c r="N283" s="50"/>
      <c r="O283" s="50"/>
      <c r="P283" s="50"/>
      <c r="Q283" s="50"/>
      <c r="R283" s="50"/>
      <c r="S283" s="50"/>
      <c r="T283" s="50"/>
      <c r="U283" s="50"/>
      <c r="V283" s="50"/>
      <c r="W283" s="50"/>
      <c r="X283" s="50"/>
      <c r="Y283" s="50"/>
      <c r="Z283" s="50"/>
      <c r="AA283" s="50"/>
      <c r="AB283" s="50"/>
    </row>
    <row r="284" customFormat="false" ht="15.75" hidden="false" customHeight="false" outlineLevel="0" collapsed="false">
      <c r="A284" s="50"/>
      <c r="B284" s="50"/>
      <c r="C284" s="5"/>
      <c r="D284" s="48"/>
      <c r="E284" s="50"/>
      <c r="F284" s="5"/>
      <c r="G284" s="5"/>
      <c r="H284" s="5"/>
      <c r="I284" s="5"/>
      <c r="J284" s="5"/>
      <c r="K284" s="50"/>
      <c r="L284" s="50"/>
      <c r="M284" s="50"/>
      <c r="N284" s="50"/>
      <c r="O284" s="50"/>
      <c r="P284" s="50"/>
      <c r="Q284" s="50"/>
      <c r="R284" s="50"/>
      <c r="S284" s="50"/>
      <c r="T284" s="50"/>
      <c r="U284" s="50"/>
      <c r="V284" s="50"/>
      <c r="W284" s="50"/>
      <c r="X284" s="50"/>
      <c r="Y284" s="50"/>
      <c r="Z284" s="50"/>
      <c r="AA284" s="50"/>
      <c r="AB284" s="50"/>
    </row>
    <row r="285" customFormat="false" ht="15.75" hidden="false" customHeight="false" outlineLevel="0" collapsed="false">
      <c r="A285" s="50"/>
      <c r="B285" s="50"/>
      <c r="C285" s="5"/>
      <c r="D285" s="48"/>
      <c r="E285" s="50"/>
      <c r="F285" s="5"/>
      <c r="G285" s="5"/>
      <c r="H285" s="5"/>
      <c r="I285" s="5"/>
      <c r="J285" s="5"/>
      <c r="K285" s="50"/>
      <c r="L285" s="50"/>
      <c r="M285" s="50"/>
      <c r="N285" s="50"/>
      <c r="O285" s="50"/>
      <c r="P285" s="50"/>
      <c r="Q285" s="50"/>
      <c r="R285" s="50"/>
      <c r="S285" s="50"/>
      <c r="T285" s="50"/>
      <c r="U285" s="50"/>
      <c r="V285" s="50"/>
      <c r="W285" s="50"/>
      <c r="X285" s="50"/>
      <c r="Y285" s="50"/>
      <c r="Z285" s="50"/>
      <c r="AA285" s="50"/>
      <c r="AB285" s="50"/>
    </row>
    <row r="286" customFormat="false" ht="15.75" hidden="false" customHeight="false" outlineLevel="0" collapsed="false">
      <c r="A286" s="50"/>
      <c r="B286" s="50"/>
      <c r="C286" s="5"/>
      <c r="D286" s="48"/>
      <c r="E286" s="50"/>
      <c r="F286" s="5"/>
      <c r="G286" s="5"/>
      <c r="H286" s="5"/>
      <c r="I286" s="5"/>
      <c r="J286" s="5"/>
      <c r="K286" s="50"/>
      <c r="L286" s="50"/>
      <c r="M286" s="50"/>
      <c r="N286" s="50"/>
      <c r="O286" s="50"/>
      <c r="P286" s="50"/>
      <c r="Q286" s="50"/>
      <c r="R286" s="50"/>
      <c r="S286" s="50"/>
      <c r="T286" s="50"/>
      <c r="U286" s="50"/>
      <c r="V286" s="50"/>
      <c r="W286" s="50"/>
      <c r="X286" s="50"/>
      <c r="Y286" s="50"/>
      <c r="Z286" s="50"/>
      <c r="AA286" s="50"/>
      <c r="AB286" s="50"/>
    </row>
    <row r="287" customFormat="false" ht="15.75" hidden="false" customHeight="false" outlineLevel="0" collapsed="false">
      <c r="A287" s="50"/>
      <c r="B287" s="50"/>
      <c r="C287" s="5"/>
      <c r="D287" s="48"/>
      <c r="E287" s="50"/>
      <c r="F287" s="5"/>
      <c r="G287" s="5"/>
      <c r="H287" s="5"/>
      <c r="I287" s="5"/>
      <c r="J287" s="5"/>
      <c r="K287" s="50"/>
      <c r="L287" s="50"/>
      <c r="M287" s="50"/>
      <c r="N287" s="50"/>
      <c r="O287" s="50"/>
      <c r="P287" s="50"/>
      <c r="Q287" s="50"/>
      <c r="R287" s="50"/>
      <c r="S287" s="50"/>
      <c r="T287" s="50"/>
      <c r="U287" s="50"/>
      <c r="V287" s="50"/>
      <c r="W287" s="50"/>
      <c r="X287" s="50"/>
      <c r="Y287" s="50"/>
      <c r="Z287" s="50"/>
      <c r="AA287" s="50"/>
      <c r="AB287" s="50"/>
    </row>
    <row r="288" customFormat="false" ht="15.75" hidden="false" customHeight="false" outlineLevel="0" collapsed="false">
      <c r="A288" s="50"/>
      <c r="B288" s="50"/>
      <c r="C288" s="5"/>
      <c r="D288" s="48"/>
      <c r="E288" s="50"/>
      <c r="F288" s="5"/>
      <c r="G288" s="5"/>
      <c r="H288" s="5"/>
      <c r="I288" s="5"/>
      <c r="J288" s="5"/>
      <c r="K288" s="50"/>
      <c r="L288" s="50"/>
      <c r="M288" s="50"/>
      <c r="N288" s="50"/>
      <c r="O288" s="50"/>
      <c r="P288" s="50"/>
      <c r="Q288" s="50"/>
      <c r="R288" s="50"/>
      <c r="S288" s="50"/>
      <c r="T288" s="50"/>
      <c r="U288" s="50"/>
      <c r="V288" s="50"/>
      <c r="W288" s="50"/>
      <c r="X288" s="50"/>
      <c r="Y288" s="50"/>
      <c r="Z288" s="50"/>
      <c r="AA288" s="50"/>
      <c r="AB288" s="50"/>
    </row>
    <row r="289" customFormat="false" ht="15.75" hidden="false" customHeight="false" outlineLevel="0" collapsed="false">
      <c r="A289" s="50"/>
      <c r="B289" s="50"/>
      <c r="C289" s="5"/>
      <c r="D289" s="48"/>
      <c r="E289" s="50"/>
      <c r="F289" s="5"/>
      <c r="G289" s="5"/>
      <c r="H289" s="5"/>
      <c r="I289" s="5"/>
      <c r="J289" s="5"/>
      <c r="K289" s="50"/>
      <c r="L289" s="50"/>
      <c r="M289" s="50"/>
      <c r="N289" s="50"/>
      <c r="O289" s="50"/>
      <c r="P289" s="50"/>
      <c r="Q289" s="50"/>
      <c r="R289" s="50"/>
      <c r="S289" s="50"/>
      <c r="T289" s="50"/>
      <c r="U289" s="50"/>
      <c r="V289" s="50"/>
      <c r="W289" s="50"/>
      <c r="X289" s="50"/>
      <c r="Y289" s="50"/>
      <c r="Z289" s="50"/>
      <c r="AA289" s="50"/>
      <c r="AB289" s="50"/>
    </row>
    <row r="290" customFormat="false" ht="15.75" hidden="false" customHeight="false" outlineLevel="0" collapsed="false">
      <c r="A290" s="50"/>
      <c r="B290" s="50"/>
      <c r="C290" s="5"/>
      <c r="D290" s="48"/>
      <c r="E290" s="50"/>
      <c r="F290" s="5"/>
      <c r="G290" s="5"/>
      <c r="H290" s="5"/>
      <c r="I290" s="5"/>
      <c r="J290" s="5"/>
      <c r="K290" s="50"/>
      <c r="L290" s="50"/>
      <c r="M290" s="50"/>
      <c r="N290" s="50"/>
      <c r="O290" s="50"/>
      <c r="P290" s="50"/>
      <c r="Q290" s="50"/>
      <c r="R290" s="50"/>
      <c r="S290" s="50"/>
      <c r="T290" s="50"/>
      <c r="U290" s="50"/>
      <c r="V290" s="50"/>
      <c r="W290" s="50"/>
      <c r="X290" s="50"/>
      <c r="Y290" s="50"/>
      <c r="Z290" s="50"/>
      <c r="AA290" s="50"/>
      <c r="AB290" s="50"/>
    </row>
    <row r="291" customFormat="false" ht="15.75" hidden="false" customHeight="false" outlineLevel="0" collapsed="false">
      <c r="A291" s="50"/>
      <c r="B291" s="50"/>
      <c r="C291" s="5"/>
      <c r="D291" s="48"/>
      <c r="E291" s="50"/>
      <c r="F291" s="5"/>
      <c r="G291" s="5"/>
      <c r="H291" s="5"/>
      <c r="I291" s="5"/>
      <c r="J291" s="5"/>
      <c r="K291" s="50"/>
      <c r="L291" s="50"/>
      <c r="M291" s="50"/>
      <c r="N291" s="50"/>
      <c r="O291" s="50"/>
      <c r="P291" s="50"/>
      <c r="Q291" s="50"/>
      <c r="R291" s="50"/>
      <c r="S291" s="50"/>
      <c r="T291" s="50"/>
      <c r="U291" s="50"/>
      <c r="V291" s="50"/>
      <c r="W291" s="50"/>
      <c r="X291" s="50"/>
      <c r="Y291" s="50"/>
      <c r="Z291" s="50"/>
      <c r="AA291" s="50"/>
      <c r="AB291" s="50"/>
    </row>
    <row r="292" customFormat="false" ht="15.75" hidden="false" customHeight="false" outlineLevel="0" collapsed="false">
      <c r="A292" s="50"/>
      <c r="B292" s="50"/>
      <c r="C292" s="5"/>
      <c r="D292" s="48"/>
      <c r="E292" s="50"/>
      <c r="F292" s="5"/>
      <c r="G292" s="5"/>
      <c r="H292" s="5"/>
      <c r="I292" s="5"/>
      <c r="J292" s="5"/>
      <c r="K292" s="50"/>
      <c r="L292" s="50"/>
      <c r="M292" s="50"/>
      <c r="N292" s="50"/>
      <c r="O292" s="50"/>
      <c r="P292" s="50"/>
      <c r="Q292" s="50"/>
      <c r="R292" s="50"/>
      <c r="S292" s="50"/>
      <c r="T292" s="50"/>
      <c r="U292" s="50"/>
      <c r="V292" s="50"/>
      <c r="W292" s="50"/>
      <c r="X292" s="50"/>
      <c r="Y292" s="50"/>
      <c r="Z292" s="50"/>
      <c r="AA292" s="50"/>
      <c r="AB292" s="50"/>
    </row>
    <row r="293" customFormat="false" ht="15.75" hidden="false" customHeight="false" outlineLevel="0" collapsed="false">
      <c r="A293" s="50"/>
      <c r="B293" s="50"/>
      <c r="C293" s="5"/>
      <c r="D293" s="48"/>
      <c r="E293" s="50"/>
      <c r="F293" s="5"/>
      <c r="G293" s="5"/>
      <c r="H293" s="5"/>
      <c r="I293" s="5"/>
      <c r="J293" s="5"/>
      <c r="K293" s="50"/>
      <c r="L293" s="50"/>
      <c r="M293" s="50"/>
      <c r="N293" s="50"/>
      <c r="O293" s="50"/>
      <c r="P293" s="50"/>
      <c r="Q293" s="50"/>
      <c r="R293" s="50"/>
      <c r="S293" s="50"/>
      <c r="T293" s="50"/>
      <c r="U293" s="50"/>
      <c r="V293" s="50"/>
      <c r="W293" s="50"/>
      <c r="X293" s="50"/>
      <c r="Y293" s="50"/>
      <c r="Z293" s="50"/>
      <c r="AA293" s="50"/>
      <c r="AB293" s="50"/>
    </row>
    <row r="294" customFormat="false" ht="15.75" hidden="false" customHeight="false" outlineLevel="0" collapsed="false">
      <c r="A294" s="50"/>
      <c r="B294" s="50"/>
      <c r="C294" s="5"/>
      <c r="D294" s="48"/>
      <c r="E294" s="50"/>
      <c r="F294" s="5"/>
      <c r="G294" s="5"/>
      <c r="H294" s="5"/>
      <c r="I294" s="5"/>
      <c r="J294" s="5"/>
      <c r="K294" s="50"/>
      <c r="L294" s="50"/>
      <c r="M294" s="50"/>
      <c r="N294" s="50"/>
      <c r="O294" s="50"/>
      <c r="P294" s="50"/>
      <c r="Q294" s="50"/>
      <c r="R294" s="50"/>
      <c r="S294" s="50"/>
      <c r="T294" s="50"/>
      <c r="U294" s="50"/>
      <c r="V294" s="50"/>
      <c r="W294" s="50"/>
      <c r="X294" s="50"/>
      <c r="Y294" s="50"/>
      <c r="Z294" s="50"/>
      <c r="AA294" s="50"/>
      <c r="AB294" s="50"/>
    </row>
    <row r="295" customFormat="false" ht="15.75" hidden="false" customHeight="false" outlineLevel="0" collapsed="false">
      <c r="A295" s="50"/>
      <c r="B295" s="50"/>
      <c r="C295" s="5"/>
      <c r="D295" s="48"/>
      <c r="E295" s="50"/>
      <c r="F295" s="5"/>
      <c r="G295" s="5"/>
      <c r="H295" s="5"/>
      <c r="I295" s="5"/>
      <c r="J295" s="5"/>
      <c r="K295" s="50"/>
      <c r="L295" s="50"/>
      <c r="M295" s="50"/>
      <c r="N295" s="50"/>
      <c r="O295" s="50"/>
      <c r="P295" s="50"/>
      <c r="Q295" s="50"/>
      <c r="R295" s="50"/>
      <c r="S295" s="50"/>
      <c r="T295" s="50"/>
      <c r="U295" s="50"/>
      <c r="V295" s="50"/>
      <c r="W295" s="50"/>
      <c r="X295" s="50"/>
      <c r="Y295" s="50"/>
      <c r="Z295" s="50"/>
      <c r="AA295" s="50"/>
      <c r="AB295" s="50"/>
    </row>
    <row r="296" customFormat="false" ht="15.75" hidden="false" customHeight="false" outlineLevel="0" collapsed="false">
      <c r="A296" s="50"/>
      <c r="B296" s="50"/>
      <c r="C296" s="5"/>
      <c r="D296" s="48"/>
      <c r="E296" s="50"/>
      <c r="F296" s="5"/>
      <c r="G296" s="5"/>
      <c r="H296" s="5"/>
      <c r="I296" s="5"/>
      <c r="J296" s="5"/>
      <c r="K296" s="50"/>
      <c r="L296" s="50"/>
      <c r="M296" s="50"/>
      <c r="N296" s="50"/>
      <c r="O296" s="50"/>
      <c r="P296" s="50"/>
      <c r="Q296" s="50"/>
      <c r="R296" s="50"/>
      <c r="S296" s="50"/>
      <c r="T296" s="50"/>
      <c r="U296" s="50"/>
      <c r="V296" s="50"/>
      <c r="W296" s="50"/>
      <c r="X296" s="50"/>
      <c r="Y296" s="50"/>
      <c r="Z296" s="50"/>
      <c r="AA296" s="50"/>
      <c r="AB296" s="50"/>
    </row>
    <row r="297" customFormat="false" ht="15.75" hidden="false" customHeight="false" outlineLevel="0" collapsed="false">
      <c r="A297" s="50"/>
      <c r="B297" s="50"/>
      <c r="C297" s="5"/>
      <c r="D297" s="48"/>
      <c r="E297" s="50"/>
      <c r="F297" s="5"/>
      <c r="G297" s="5"/>
      <c r="H297" s="5"/>
      <c r="I297" s="5"/>
      <c r="J297" s="5"/>
      <c r="K297" s="50"/>
      <c r="L297" s="50"/>
      <c r="M297" s="50"/>
      <c r="N297" s="50"/>
      <c r="O297" s="50"/>
      <c r="P297" s="50"/>
      <c r="Q297" s="50"/>
      <c r="R297" s="50"/>
      <c r="S297" s="50"/>
      <c r="T297" s="50"/>
      <c r="U297" s="50"/>
      <c r="V297" s="50"/>
      <c r="W297" s="50"/>
      <c r="X297" s="50"/>
      <c r="Y297" s="50"/>
      <c r="Z297" s="50"/>
      <c r="AA297" s="50"/>
      <c r="AB297" s="50"/>
    </row>
    <row r="298" customFormat="false" ht="15.75" hidden="false" customHeight="false" outlineLevel="0" collapsed="false">
      <c r="A298" s="50"/>
      <c r="B298" s="50"/>
      <c r="C298" s="5"/>
      <c r="D298" s="48"/>
      <c r="E298" s="50"/>
      <c r="F298" s="5"/>
      <c r="G298" s="5"/>
      <c r="H298" s="5"/>
      <c r="I298" s="5"/>
      <c r="J298" s="5"/>
      <c r="K298" s="50"/>
      <c r="L298" s="50"/>
      <c r="M298" s="50"/>
      <c r="N298" s="50"/>
      <c r="O298" s="50"/>
      <c r="P298" s="50"/>
      <c r="Q298" s="50"/>
      <c r="R298" s="50"/>
      <c r="S298" s="50"/>
      <c r="T298" s="50"/>
      <c r="U298" s="50"/>
      <c r="V298" s="50"/>
      <c r="W298" s="50"/>
      <c r="X298" s="50"/>
      <c r="Y298" s="50"/>
      <c r="Z298" s="50"/>
      <c r="AA298" s="50"/>
      <c r="AB298" s="50"/>
    </row>
    <row r="299" customFormat="false" ht="15.75" hidden="false" customHeight="false" outlineLevel="0" collapsed="false">
      <c r="A299" s="50"/>
      <c r="B299" s="50"/>
      <c r="C299" s="5"/>
      <c r="D299" s="48"/>
      <c r="E299" s="50"/>
      <c r="F299" s="5"/>
      <c r="G299" s="5"/>
      <c r="H299" s="5"/>
      <c r="I299" s="5"/>
      <c r="J299" s="5"/>
      <c r="K299" s="50"/>
      <c r="L299" s="50"/>
      <c r="M299" s="50"/>
      <c r="N299" s="50"/>
      <c r="O299" s="50"/>
      <c r="P299" s="50"/>
      <c r="Q299" s="50"/>
      <c r="R299" s="50"/>
      <c r="S299" s="50"/>
      <c r="T299" s="50"/>
      <c r="U299" s="50"/>
      <c r="V299" s="50"/>
      <c r="W299" s="50"/>
      <c r="X299" s="50"/>
      <c r="Y299" s="50"/>
      <c r="Z299" s="50"/>
      <c r="AA299" s="50"/>
      <c r="AB299" s="50"/>
    </row>
    <row r="300" customFormat="false" ht="15.75" hidden="false" customHeight="false" outlineLevel="0" collapsed="false">
      <c r="A300" s="50"/>
      <c r="B300" s="50"/>
      <c r="C300" s="5"/>
      <c r="D300" s="48"/>
      <c r="E300" s="50"/>
      <c r="F300" s="5"/>
      <c r="G300" s="5"/>
      <c r="H300" s="5"/>
      <c r="I300" s="5"/>
      <c r="J300" s="5"/>
      <c r="K300" s="50"/>
      <c r="L300" s="50"/>
      <c r="M300" s="50"/>
      <c r="N300" s="50"/>
      <c r="O300" s="50"/>
      <c r="P300" s="50"/>
      <c r="Q300" s="50"/>
      <c r="R300" s="50"/>
      <c r="S300" s="50"/>
      <c r="T300" s="50"/>
      <c r="U300" s="50"/>
      <c r="V300" s="50"/>
      <c r="W300" s="50"/>
      <c r="X300" s="50"/>
      <c r="Y300" s="50"/>
      <c r="Z300" s="50"/>
      <c r="AA300" s="50"/>
      <c r="AB300" s="50"/>
    </row>
    <row r="301" customFormat="false" ht="15.75" hidden="false" customHeight="false" outlineLevel="0" collapsed="false">
      <c r="A301" s="50"/>
      <c r="B301" s="50"/>
      <c r="C301" s="5"/>
      <c r="D301" s="48"/>
      <c r="E301" s="50"/>
      <c r="F301" s="5"/>
      <c r="G301" s="5"/>
      <c r="H301" s="5"/>
      <c r="I301" s="5"/>
      <c r="J301" s="5"/>
      <c r="K301" s="50"/>
      <c r="L301" s="50"/>
      <c r="M301" s="50"/>
      <c r="N301" s="50"/>
      <c r="O301" s="50"/>
      <c r="P301" s="50"/>
      <c r="Q301" s="50"/>
      <c r="R301" s="50"/>
      <c r="S301" s="50"/>
      <c r="T301" s="50"/>
      <c r="U301" s="50"/>
      <c r="V301" s="50"/>
      <c r="W301" s="50"/>
      <c r="X301" s="50"/>
      <c r="Y301" s="50"/>
      <c r="Z301" s="50"/>
      <c r="AA301" s="50"/>
      <c r="AB301" s="50"/>
    </row>
    <row r="302" customFormat="false" ht="15.75" hidden="false" customHeight="false" outlineLevel="0" collapsed="false">
      <c r="A302" s="50"/>
      <c r="B302" s="50"/>
      <c r="C302" s="5"/>
      <c r="D302" s="48"/>
      <c r="E302" s="50"/>
      <c r="F302" s="5"/>
      <c r="G302" s="5"/>
      <c r="H302" s="5"/>
      <c r="I302" s="5"/>
      <c r="J302" s="5"/>
      <c r="K302" s="50"/>
      <c r="L302" s="50"/>
      <c r="M302" s="50"/>
      <c r="N302" s="50"/>
      <c r="O302" s="50"/>
      <c r="P302" s="50"/>
      <c r="Q302" s="50"/>
      <c r="R302" s="50"/>
      <c r="S302" s="50"/>
      <c r="T302" s="50"/>
      <c r="U302" s="50"/>
      <c r="V302" s="50"/>
      <c r="W302" s="50"/>
      <c r="X302" s="50"/>
      <c r="Y302" s="50"/>
      <c r="Z302" s="50"/>
      <c r="AA302" s="50"/>
      <c r="AB302" s="50"/>
    </row>
    <row r="303" customFormat="false" ht="15.75" hidden="false" customHeight="false" outlineLevel="0" collapsed="false">
      <c r="A303" s="50"/>
      <c r="B303" s="50"/>
      <c r="C303" s="5"/>
      <c r="D303" s="48"/>
      <c r="E303" s="50"/>
      <c r="F303" s="5"/>
      <c r="G303" s="5"/>
      <c r="H303" s="5"/>
      <c r="I303" s="5"/>
      <c r="J303" s="5"/>
      <c r="K303" s="50"/>
      <c r="L303" s="50"/>
      <c r="M303" s="50"/>
      <c r="N303" s="50"/>
      <c r="O303" s="50"/>
      <c r="P303" s="50"/>
      <c r="Q303" s="50"/>
      <c r="R303" s="50"/>
      <c r="S303" s="50"/>
      <c r="T303" s="50"/>
      <c r="U303" s="50"/>
      <c r="V303" s="50"/>
      <c r="W303" s="50"/>
      <c r="X303" s="50"/>
      <c r="Y303" s="50"/>
      <c r="Z303" s="50"/>
      <c r="AA303" s="50"/>
      <c r="AB303" s="50"/>
    </row>
    <row r="304" customFormat="false" ht="15.75" hidden="false" customHeight="false" outlineLevel="0" collapsed="false">
      <c r="A304" s="50"/>
      <c r="B304" s="50"/>
      <c r="C304" s="5"/>
      <c r="D304" s="48"/>
      <c r="E304" s="50"/>
      <c r="F304" s="5"/>
      <c r="G304" s="5"/>
      <c r="H304" s="5"/>
      <c r="I304" s="5"/>
      <c r="J304" s="5"/>
      <c r="K304" s="50"/>
      <c r="L304" s="50"/>
      <c r="M304" s="50"/>
      <c r="N304" s="50"/>
      <c r="O304" s="50"/>
      <c r="P304" s="50"/>
      <c r="Q304" s="50"/>
      <c r="R304" s="50"/>
      <c r="S304" s="50"/>
      <c r="T304" s="50"/>
      <c r="U304" s="50"/>
      <c r="V304" s="50"/>
      <c r="W304" s="50"/>
      <c r="X304" s="50"/>
      <c r="Y304" s="50"/>
      <c r="Z304" s="50"/>
      <c r="AA304" s="50"/>
      <c r="AB304" s="50"/>
    </row>
    <row r="305" customFormat="false" ht="15.75" hidden="false" customHeight="false" outlineLevel="0" collapsed="false">
      <c r="A305" s="50"/>
      <c r="B305" s="50"/>
      <c r="C305" s="5"/>
      <c r="D305" s="48"/>
      <c r="E305" s="50"/>
      <c r="F305" s="5"/>
      <c r="G305" s="5"/>
      <c r="H305" s="5"/>
      <c r="I305" s="5"/>
      <c r="J305" s="5"/>
      <c r="K305" s="50"/>
      <c r="L305" s="50"/>
      <c r="M305" s="50"/>
      <c r="N305" s="50"/>
      <c r="O305" s="50"/>
      <c r="P305" s="50"/>
      <c r="Q305" s="50"/>
      <c r="R305" s="50"/>
      <c r="S305" s="50"/>
      <c r="T305" s="50"/>
      <c r="U305" s="50"/>
      <c r="V305" s="50"/>
      <c r="W305" s="50"/>
      <c r="X305" s="50"/>
      <c r="Y305" s="50"/>
      <c r="Z305" s="50"/>
      <c r="AA305" s="50"/>
      <c r="AB305" s="50"/>
    </row>
    <row r="306" customFormat="false" ht="15.75" hidden="false" customHeight="false" outlineLevel="0" collapsed="false">
      <c r="A306" s="50"/>
      <c r="B306" s="50"/>
      <c r="C306" s="5"/>
      <c r="D306" s="48"/>
      <c r="E306" s="50"/>
      <c r="F306" s="5"/>
      <c r="G306" s="5"/>
      <c r="H306" s="5"/>
      <c r="I306" s="5"/>
      <c r="J306" s="5"/>
      <c r="K306" s="50"/>
      <c r="L306" s="50"/>
      <c r="M306" s="50"/>
      <c r="N306" s="50"/>
      <c r="O306" s="50"/>
      <c r="P306" s="50"/>
      <c r="Q306" s="50"/>
      <c r="R306" s="50"/>
      <c r="S306" s="50"/>
      <c r="T306" s="50"/>
      <c r="U306" s="50"/>
      <c r="V306" s="50"/>
      <c r="W306" s="50"/>
      <c r="X306" s="50"/>
      <c r="Y306" s="50"/>
      <c r="Z306" s="50"/>
      <c r="AA306" s="50"/>
      <c r="AB306" s="50"/>
    </row>
    <row r="307" customFormat="false" ht="15.75" hidden="false" customHeight="false" outlineLevel="0" collapsed="false">
      <c r="A307" s="50"/>
      <c r="B307" s="50"/>
      <c r="C307" s="5"/>
      <c r="D307" s="48"/>
      <c r="E307" s="50"/>
      <c r="F307" s="5"/>
      <c r="G307" s="5"/>
      <c r="H307" s="5"/>
      <c r="I307" s="5"/>
      <c r="J307" s="5"/>
      <c r="K307" s="50"/>
      <c r="L307" s="50"/>
      <c r="M307" s="50"/>
      <c r="N307" s="50"/>
      <c r="O307" s="50"/>
      <c r="P307" s="50"/>
      <c r="Q307" s="50"/>
      <c r="R307" s="50"/>
      <c r="S307" s="50"/>
      <c r="T307" s="50"/>
      <c r="U307" s="50"/>
      <c r="V307" s="50"/>
      <c r="W307" s="50"/>
      <c r="X307" s="50"/>
      <c r="Y307" s="50"/>
      <c r="Z307" s="50"/>
      <c r="AA307" s="50"/>
      <c r="AB307" s="50"/>
    </row>
    <row r="308" customFormat="false" ht="15.75" hidden="false" customHeight="false" outlineLevel="0" collapsed="false">
      <c r="A308" s="50"/>
      <c r="B308" s="50"/>
      <c r="C308" s="5"/>
      <c r="D308" s="48"/>
      <c r="E308" s="50"/>
      <c r="F308" s="5"/>
      <c r="G308" s="5"/>
      <c r="H308" s="5"/>
      <c r="I308" s="5"/>
      <c r="J308" s="5"/>
      <c r="K308" s="50"/>
      <c r="L308" s="50"/>
      <c r="M308" s="50"/>
      <c r="N308" s="50"/>
      <c r="O308" s="50"/>
      <c r="P308" s="50"/>
      <c r="Q308" s="50"/>
      <c r="R308" s="50"/>
      <c r="S308" s="50"/>
      <c r="T308" s="50"/>
      <c r="U308" s="50"/>
      <c r="V308" s="50"/>
      <c r="W308" s="50"/>
      <c r="X308" s="50"/>
      <c r="Y308" s="50"/>
      <c r="Z308" s="50"/>
      <c r="AA308" s="50"/>
      <c r="AB308" s="50"/>
    </row>
    <row r="309" customFormat="false" ht="15.75" hidden="false" customHeight="false" outlineLevel="0" collapsed="false">
      <c r="A309" s="50"/>
      <c r="B309" s="50"/>
      <c r="C309" s="5"/>
      <c r="D309" s="48"/>
      <c r="E309" s="50"/>
      <c r="F309" s="5"/>
      <c r="G309" s="5"/>
      <c r="H309" s="5"/>
      <c r="I309" s="5"/>
      <c r="J309" s="5"/>
      <c r="K309" s="50"/>
      <c r="L309" s="50"/>
      <c r="M309" s="50"/>
      <c r="N309" s="50"/>
      <c r="O309" s="50"/>
      <c r="P309" s="50"/>
      <c r="Q309" s="50"/>
      <c r="R309" s="50"/>
      <c r="S309" s="50"/>
      <c r="T309" s="50"/>
      <c r="U309" s="50"/>
      <c r="V309" s="50"/>
      <c r="W309" s="50"/>
      <c r="X309" s="50"/>
      <c r="Y309" s="50"/>
      <c r="Z309" s="50"/>
      <c r="AA309" s="50"/>
      <c r="AB309" s="50"/>
    </row>
    <row r="310" customFormat="false" ht="15.75" hidden="false" customHeight="false" outlineLevel="0" collapsed="false">
      <c r="A310" s="50"/>
      <c r="B310" s="50"/>
      <c r="C310" s="5"/>
      <c r="D310" s="48"/>
      <c r="E310" s="50"/>
      <c r="F310" s="5"/>
      <c r="G310" s="5"/>
      <c r="H310" s="5"/>
      <c r="I310" s="5"/>
      <c r="J310" s="5"/>
      <c r="K310" s="50"/>
      <c r="L310" s="50"/>
      <c r="M310" s="50"/>
      <c r="N310" s="50"/>
      <c r="O310" s="50"/>
      <c r="P310" s="50"/>
      <c r="Q310" s="50"/>
      <c r="R310" s="50"/>
      <c r="S310" s="50"/>
      <c r="T310" s="50"/>
      <c r="U310" s="50"/>
      <c r="V310" s="50"/>
      <c r="W310" s="50"/>
      <c r="X310" s="50"/>
      <c r="Y310" s="50"/>
      <c r="Z310" s="50"/>
      <c r="AA310" s="50"/>
      <c r="AB310" s="50"/>
    </row>
    <row r="311" customFormat="false" ht="15.75" hidden="false" customHeight="false" outlineLevel="0" collapsed="false">
      <c r="A311" s="50"/>
      <c r="B311" s="50"/>
      <c r="C311" s="5"/>
      <c r="D311" s="48"/>
      <c r="E311" s="50"/>
      <c r="F311" s="5"/>
      <c r="G311" s="5"/>
      <c r="H311" s="5"/>
      <c r="I311" s="5"/>
      <c r="J311" s="5"/>
      <c r="K311" s="50"/>
      <c r="L311" s="50"/>
      <c r="M311" s="50"/>
      <c r="N311" s="50"/>
      <c r="O311" s="50"/>
      <c r="P311" s="50"/>
      <c r="Q311" s="50"/>
      <c r="R311" s="50"/>
      <c r="S311" s="50"/>
      <c r="T311" s="50"/>
      <c r="U311" s="50"/>
      <c r="V311" s="50"/>
      <c r="W311" s="50"/>
      <c r="X311" s="50"/>
      <c r="Y311" s="50"/>
      <c r="Z311" s="50"/>
      <c r="AA311" s="50"/>
      <c r="AB311" s="50"/>
    </row>
    <row r="312" customFormat="false" ht="15.75" hidden="false" customHeight="false" outlineLevel="0" collapsed="false">
      <c r="A312" s="50"/>
      <c r="B312" s="50"/>
      <c r="C312" s="5"/>
      <c r="D312" s="48"/>
      <c r="E312" s="50"/>
      <c r="F312" s="5"/>
      <c r="G312" s="5"/>
      <c r="H312" s="5"/>
      <c r="I312" s="5"/>
      <c r="J312" s="5"/>
      <c r="K312" s="50"/>
      <c r="L312" s="50"/>
      <c r="M312" s="50"/>
      <c r="N312" s="50"/>
      <c r="O312" s="50"/>
      <c r="P312" s="50"/>
      <c r="Q312" s="50"/>
      <c r="R312" s="50"/>
      <c r="S312" s="50"/>
      <c r="T312" s="50"/>
      <c r="U312" s="50"/>
      <c r="V312" s="50"/>
      <c r="W312" s="50"/>
      <c r="X312" s="50"/>
      <c r="Y312" s="50"/>
      <c r="Z312" s="50"/>
      <c r="AA312" s="50"/>
      <c r="AB312" s="50"/>
    </row>
    <row r="313" customFormat="false" ht="15.75" hidden="false" customHeight="false" outlineLevel="0" collapsed="false">
      <c r="A313" s="50"/>
      <c r="B313" s="50"/>
      <c r="C313" s="5"/>
      <c r="D313" s="48"/>
      <c r="E313" s="50"/>
      <c r="F313" s="5"/>
      <c r="G313" s="5"/>
      <c r="H313" s="5"/>
      <c r="I313" s="5"/>
      <c r="J313" s="5"/>
      <c r="K313" s="50"/>
      <c r="L313" s="50"/>
      <c r="M313" s="50"/>
      <c r="N313" s="50"/>
      <c r="O313" s="50"/>
      <c r="P313" s="50"/>
      <c r="Q313" s="50"/>
      <c r="R313" s="50"/>
      <c r="S313" s="50"/>
      <c r="T313" s="50"/>
      <c r="U313" s="50"/>
      <c r="V313" s="50"/>
      <c r="W313" s="50"/>
      <c r="X313" s="50"/>
      <c r="Y313" s="50"/>
      <c r="Z313" s="50"/>
      <c r="AA313" s="50"/>
      <c r="AB313" s="50"/>
    </row>
    <row r="314" customFormat="false" ht="15.75" hidden="false" customHeight="false" outlineLevel="0" collapsed="false">
      <c r="A314" s="50"/>
      <c r="B314" s="50"/>
      <c r="C314" s="5"/>
      <c r="D314" s="48"/>
      <c r="E314" s="50"/>
      <c r="F314" s="5"/>
      <c r="G314" s="5"/>
      <c r="H314" s="5"/>
      <c r="I314" s="5"/>
      <c r="J314" s="5"/>
      <c r="K314" s="50"/>
      <c r="L314" s="50"/>
      <c r="M314" s="50"/>
      <c r="N314" s="50"/>
      <c r="O314" s="50"/>
      <c r="P314" s="50"/>
      <c r="Q314" s="50"/>
      <c r="R314" s="50"/>
      <c r="S314" s="50"/>
      <c r="T314" s="50"/>
      <c r="U314" s="50"/>
      <c r="V314" s="50"/>
      <c r="W314" s="50"/>
      <c r="X314" s="50"/>
      <c r="Y314" s="50"/>
      <c r="Z314" s="50"/>
      <c r="AA314" s="50"/>
      <c r="AB314" s="50"/>
    </row>
    <row r="315" customFormat="false" ht="15.75" hidden="false" customHeight="false" outlineLevel="0" collapsed="false">
      <c r="A315" s="50"/>
      <c r="B315" s="50"/>
      <c r="C315" s="5"/>
      <c r="D315" s="48"/>
      <c r="E315" s="50"/>
      <c r="F315" s="5"/>
      <c r="G315" s="5"/>
      <c r="H315" s="5"/>
      <c r="I315" s="5"/>
      <c r="J315" s="5"/>
      <c r="K315" s="50"/>
      <c r="L315" s="50"/>
      <c r="M315" s="50"/>
      <c r="N315" s="50"/>
      <c r="O315" s="50"/>
      <c r="P315" s="50"/>
      <c r="Q315" s="50"/>
      <c r="R315" s="50"/>
      <c r="S315" s="50"/>
      <c r="T315" s="50"/>
      <c r="U315" s="50"/>
      <c r="V315" s="50"/>
      <c r="W315" s="50"/>
      <c r="X315" s="50"/>
      <c r="Y315" s="50"/>
      <c r="Z315" s="50"/>
      <c r="AA315" s="50"/>
      <c r="AB315" s="50"/>
    </row>
    <row r="316" customFormat="false" ht="15.75" hidden="false" customHeight="false" outlineLevel="0" collapsed="false">
      <c r="A316" s="50"/>
      <c r="B316" s="50"/>
      <c r="C316" s="5"/>
      <c r="D316" s="48"/>
      <c r="E316" s="50"/>
      <c r="F316" s="5"/>
      <c r="G316" s="5"/>
      <c r="H316" s="5"/>
      <c r="I316" s="5"/>
      <c r="J316" s="5"/>
      <c r="K316" s="50"/>
      <c r="L316" s="50"/>
      <c r="M316" s="50"/>
      <c r="N316" s="50"/>
      <c r="O316" s="50"/>
      <c r="P316" s="50"/>
      <c r="Q316" s="50"/>
      <c r="R316" s="50"/>
      <c r="S316" s="50"/>
      <c r="T316" s="50"/>
      <c r="U316" s="50"/>
      <c r="V316" s="50"/>
      <c r="W316" s="50"/>
      <c r="X316" s="50"/>
      <c r="Y316" s="50"/>
      <c r="Z316" s="50"/>
      <c r="AA316" s="50"/>
      <c r="AB316" s="50"/>
    </row>
    <row r="317" customFormat="false" ht="15.75" hidden="false" customHeight="false" outlineLevel="0" collapsed="false">
      <c r="A317" s="50"/>
      <c r="B317" s="50"/>
      <c r="C317" s="5"/>
      <c r="D317" s="48"/>
      <c r="E317" s="50"/>
      <c r="F317" s="5"/>
      <c r="G317" s="5"/>
      <c r="H317" s="5"/>
      <c r="I317" s="5"/>
      <c r="J317" s="5"/>
      <c r="K317" s="50"/>
      <c r="L317" s="50"/>
      <c r="M317" s="50"/>
      <c r="N317" s="50"/>
      <c r="O317" s="50"/>
      <c r="P317" s="50"/>
      <c r="Q317" s="50"/>
      <c r="R317" s="50"/>
      <c r="S317" s="50"/>
      <c r="T317" s="50"/>
      <c r="U317" s="50"/>
      <c r="V317" s="50"/>
      <c r="W317" s="50"/>
      <c r="X317" s="50"/>
      <c r="Y317" s="50"/>
      <c r="Z317" s="50"/>
      <c r="AA317" s="50"/>
      <c r="AB317" s="50"/>
    </row>
    <row r="318" customFormat="false" ht="15.75" hidden="false" customHeight="false" outlineLevel="0" collapsed="false">
      <c r="A318" s="50"/>
      <c r="B318" s="50"/>
      <c r="C318" s="5"/>
      <c r="D318" s="48"/>
      <c r="E318" s="50"/>
      <c r="F318" s="5"/>
      <c r="G318" s="5"/>
      <c r="H318" s="5"/>
      <c r="I318" s="5"/>
      <c r="J318" s="5"/>
      <c r="K318" s="50"/>
      <c r="L318" s="50"/>
      <c r="M318" s="50"/>
      <c r="N318" s="50"/>
      <c r="O318" s="50"/>
      <c r="P318" s="50"/>
      <c r="Q318" s="50"/>
      <c r="R318" s="50"/>
      <c r="S318" s="50"/>
      <c r="T318" s="50"/>
      <c r="U318" s="50"/>
      <c r="V318" s="50"/>
      <c r="W318" s="50"/>
      <c r="X318" s="50"/>
      <c r="Y318" s="50"/>
      <c r="Z318" s="50"/>
      <c r="AA318" s="50"/>
      <c r="AB318" s="50"/>
    </row>
    <row r="319" customFormat="false" ht="15.75" hidden="false" customHeight="false" outlineLevel="0" collapsed="false">
      <c r="A319" s="50"/>
      <c r="B319" s="50"/>
      <c r="C319" s="5"/>
      <c r="D319" s="48"/>
      <c r="E319" s="50"/>
      <c r="F319" s="5"/>
      <c r="G319" s="5"/>
      <c r="H319" s="5"/>
      <c r="I319" s="5"/>
      <c r="J319" s="5"/>
      <c r="K319" s="50"/>
      <c r="L319" s="50"/>
      <c r="M319" s="50"/>
      <c r="N319" s="50"/>
      <c r="O319" s="50"/>
      <c r="P319" s="50"/>
      <c r="Q319" s="50"/>
      <c r="R319" s="50"/>
      <c r="S319" s="50"/>
      <c r="T319" s="50"/>
      <c r="U319" s="50"/>
      <c r="V319" s="50"/>
      <c r="W319" s="50"/>
      <c r="X319" s="50"/>
      <c r="Y319" s="50"/>
      <c r="Z319" s="50"/>
      <c r="AA319" s="50"/>
      <c r="AB319" s="50"/>
    </row>
    <row r="320" customFormat="false" ht="15.75" hidden="false" customHeight="false" outlineLevel="0" collapsed="false">
      <c r="A320" s="50"/>
      <c r="B320" s="50"/>
      <c r="C320" s="5"/>
      <c r="D320" s="48"/>
      <c r="E320" s="50"/>
      <c r="F320" s="5"/>
      <c r="G320" s="5"/>
      <c r="H320" s="5"/>
      <c r="I320" s="5"/>
      <c r="J320" s="5"/>
      <c r="K320" s="50"/>
      <c r="L320" s="50"/>
      <c r="M320" s="50"/>
      <c r="N320" s="50"/>
      <c r="O320" s="50"/>
      <c r="P320" s="50"/>
      <c r="Q320" s="50"/>
      <c r="R320" s="50"/>
      <c r="S320" s="50"/>
      <c r="T320" s="50"/>
      <c r="U320" s="50"/>
      <c r="V320" s="50"/>
      <c r="W320" s="50"/>
      <c r="X320" s="50"/>
      <c r="Y320" s="50"/>
      <c r="Z320" s="50"/>
      <c r="AA320" s="50"/>
      <c r="AB320" s="50"/>
    </row>
    <row r="321" customFormat="false" ht="15.75" hidden="false" customHeight="false" outlineLevel="0" collapsed="false">
      <c r="A321" s="50"/>
      <c r="B321" s="50"/>
      <c r="C321" s="5"/>
      <c r="D321" s="48"/>
      <c r="E321" s="50"/>
      <c r="F321" s="5"/>
      <c r="G321" s="5"/>
      <c r="H321" s="5"/>
      <c r="I321" s="5"/>
      <c r="J321" s="5"/>
      <c r="K321" s="50"/>
      <c r="L321" s="50"/>
      <c r="M321" s="50"/>
      <c r="N321" s="50"/>
      <c r="O321" s="50"/>
      <c r="P321" s="50"/>
      <c r="Q321" s="50"/>
      <c r="R321" s="50"/>
      <c r="S321" s="50"/>
      <c r="T321" s="50"/>
      <c r="U321" s="50"/>
      <c r="V321" s="50"/>
      <c r="W321" s="50"/>
      <c r="X321" s="50"/>
      <c r="Y321" s="50"/>
      <c r="Z321" s="50"/>
      <c r="AA321" s="50"/>
      <c r="AB321" s="50"/>
    </row>
    <row r="322" customFormat="false" ht="15.75" hidden="false" customHeight="false" outlineLevel="0" collapsed="false">
      <c r="A322" s="50"/>
      <c r="B322" s="50"/>
      <c r="C322" s="5"/>
      <c r="D322" s="48"/>
      <c r="E322" s="50"/>
      <c r="F322" s="5"/>
      <c r="G322" s="5"/>
      <c r="H322" s="5"/>
      <c r="I322" s="5"/>
      <c r="J322" s="5"/>
      <c r="K322" s="50"/>
      <c r="L322" s="50"/>
      <c r="M322" s="50"/>
      <c r="N322" s="50"/>
      <c r="O322" s="50"/>
      <c r="P322" s="50"/>
      <c r="Q322" s="50"/>
      <c r="R322" s="50"/>
      <c r="S322" s="50"/>
      <c r="T322" s="50"/>
      <c r="U322" s="50"/>
      <c r="V322" s="50"/>
      <c r="W322" s="50"/>
      <c r="X322" s="50"/>
      <c r="Y322" s="50"/>
      <c r="Z322" s="50"/>
      <c r="AA322" s="50"/>
      <c r="AB322" s="50"/>
    </row>
    <row r="323" customFormat="false" ht="15.75" hidden="false" customHeight="false" outlineLevel="0" collapsed="false">
      <c r="A323" s="50"/>
      <c r="B323" s="50"/>
      <c r="C323" s="5"/>
      <c r="D323" s="48"/>
      <c r="E323" s="50"/>
      <c r="F323" s="5"/>
      <c r="G323" s="5"/>
      <c r="H323" s="5"/>
      <c r="I323" s="5"/>
      <c r="J323" s="5"/>
      <c r="K323" s="50"/>
      <c r="L323" s="50"/>
      <c r="M323" s="50"/>
      <c r="N323" s="50"/>
      <c r="O323" s="50"/>
      <c r="P323" s="50"/>
      <c r="Q323" s="50"/>
      <c r="R323" s="50"/>
      <c r="S323" s="50"/>
      <c r="T323" s="50"/>
      <c r="U323" s="50"/>
      <c r="V323" s="50"/>
      <c r="W323" s="50"/>
      <c r="X323" s="50"/>
      <c r="Y323" s="50"/>
      <c r="Z323" s="50"/>
      <c r="AA323" s="50"/>
      <c r="AB323" s="50"/>
    </row>
    <row r="324" customFormat="false" ht="15.75" hidden="false" customHeight="false" outlineLevel="0" collapsed="false">
      <c r="A324" s="50"/>
      <c r="B324" s="50"/>
      <c r="C324" s="5"/>
      <c r="D324" s="48"/>
      <c r="E324" s="50"/>
      <c r="F324" s="5"/>
      <c r="G324" s="5"/>
      <c r="H324" s="5"/>
      <c r="I324" s="5"/>
      <c r="J324" s="5"/>
      <c r="K324" s="50"/>
      <c r="L324" s="50"/>
      <c r="M324" s="50"/>
      <c r="N324" s="50"/>
      <c r="O324" s="50"/>
      <c r="P324" s="50"/>
      <c r="Q324" s="50"/>
      <c r="R324" s="50"/>
      <c r="S324" s="50"/>
      <c r="T324" s="50"/>
      <c r="U324" s="50"/>
      <c r="V324" s="50"/>
      <c r="W324" s="50"/>
      <c r="X324" s="50"/>
      <c r="Y324" s="50"/>
      <c r="Z324" s="50"/>
      <c r="AA324" s="50"/>
      <c r="AB324" s="50"/>
    </row>
    <row r="325" customFormat="false" ht="15.75" hidden="false" customHeight="false" outlineLevel="0" collapsed="false">
      <c r="A325" s="50"/>
      <c r="B325" s="50"/>
      <c r="C325" s="5"/>
      <c r="D325" s="48"/>
      <c r="E325" s="50"/>
      <c r="F325" s="5"/>
      <c r="G325" s="5"/>
      <c r="H325" s="5"/>
      <c r="I325" s="5"/>
      <c r="J325" s="5"/>
      <c r="K325" s="50"/>
      <c r="L325" s="50"/>
      <c r="M325" s="50"/>
      <c r="N325" s="50"/>
      <c r="O325" s="50"/>
      <c r="P325" s="50"/>
      <c r="Q325" s="50"/>
      <c r="R325" s="50"/>
      <c r="S325" s="50"/>
      <c r="T325" s="50"/>
      <c r="U325" s="50"/>
      <c r="V325" s="50"/>
      <c r="W325" s="50"/>
      <c r="X325" s="50"/>
      <c r="Y325" s="50"/>
      <c r="Z325" s="50"/>
      <c r="AA325" s="50"/>
      <c r="AB325" s="50"/>
    </row>
    <row r="326" customFormat="false" ht="15.75" hidden="false" customHeight="false" outlineLevel="0" collapsed="false">
      <c r="A326" s="50"/>
      <c r="B326" s="50"/>
      <c r="C326" s="5"/>
      <c r="D326" s="48"/>
      <c r="E326" s="50"/>
      <c r="F326" s="5"/>
      <c r="G326" s="5"/>
      <c r="H326" s="5"/>
      <c r="I326" s="5"/>
      <c r="J326" s="5"/>
      <c r="K326" s="50"/>
      <c r="L326" s="50"/>
      <c r="M326" s="50"/>
      <c r="N326" s="50"/>
      <c r="O326" s="50"/>
      <c r="P326" s="50"/>
      <c r="Q326" s="50"/>
      <c r="R326" s="50"/>
      <c r="S326" s="50"/>
      <c r="T326" s="50"/>
      <c r="U326" s="50"/>
      <c r="V326" s="50"/>
      <c r="W326" s="50"/>
      <c r="X326" s="50"/>
      <c r="Y326" s="50"/>
      <c r="Z326" s="50"/>
      <c r="AA326" s="50"/>
      <c r="AB326" s="50"/>
    </row>
    <row r="327" customFormat="false" ht="15.75" hidden="false" customHeight="false" outlineLevel="0" collapsed="false">
      <c r="A327" s="50"/>
      <c r="B327" s="50"/>
      <c r="C327" s="5"/>
      <c r="D327" s="48"/>
      <c r="E327" s="50"/>
      <c r="F327" s="5"/>
      <c r="G327" s="5"/>
      <c r="H327" s="5"/>
      <c r="I327" s="5"/>
      <c r="J327" s="5"/>
      <c r="K327" s="50"/>
      <c r="L327" s="50"/>
      <c r="M327" s="50"/>
      <c r="N327" s="50"/>
      <c r="O327" s="50"/>
      <c r="P327" s="50"/>
      <c r="Q327" s="50"/>
      <c r="R327" s="50"/>
      <c r="S327" s="50"/>
      <c r="T327" s="50"/>
      <c r="U327" s="50"/>
      <c r="V327" s="50"/>
      <c r="W327" s="50"/>
      <c r="X327" s="50"/>
      <c r="Y327" s="50"/>
      <c r="Z327" s="50"/>
      <c r="AA327" s="50"/>
      <c r="AB327" s="50"/>
    </row>
    <row r="328" customFormat="false" ht="15.75" hidden="false" customHeight="false" outlineLevel="0" collapsed="false">
      <c r="A328" s="50"/>
      <c r="B328" s="50"/>
      <c r="C328" s="5"/>
      <c r="D328" s="48"/>
      <c r="E328" s="50"/>
      <c r="F328" s="5"/>
      <c r="G328" s="5"/>
      <c r="H328" s="5"/>
      <c r="I328" s="5"/>
      <c r="J328" s="5"/>
      <c r="K328" s="50"/>
      <c r="L328" s="50"/>
      <c r="M328" s="50"/>
      <c r="N328" s="50"/>
      <c r="O328" s="50"/>
      <c r="P328" s="50"/>
      <c r="Q328" s="50"/>
      <c r="R328" s="50"/>
      <c r="S328" s="50"/>
      <c r="T328" s="50"/>
      <c r="U328" s="50"/>
      <c r="V328" s="50"/>
      <c r="W328" s="50"/>
      <c r="X328" s="50"/>
      <c r="Y328" s="50"/>
      <c r="Z328" s="50"/>
      <c r="AA328" s="50"/>
      <c r="AB328" s="50"/>
    </row>
    <row r="329" customFormat="false" ht="15.75" hidden="false" customHeight="false" outlineLevel="0" collapsed="false">
      <c r="A329" s="50"/>
      <c r="B329" s="50"/>
      <c r="C329" s="5"/>
      <c r="D329" s="48"/>
      <c r="E329" s="50"/>
      <c r="F329" s="5"/>
      <c r="G329" s="5"/>
      <c r="H329" s="5"/>
      <c r="I329" s="5"/>
      <c r="J329" s="5"/>
      <c r="K329" s="50"/>
      <c r="L329" s="50"/>
      <c r="M329" s="50"/>
      <c r="N329" s="50"/>
      <c r="O329" s="50"/>
      <c r="P329" s="50"/>
      <c r="Q329" s="50"/>
      <c r="R329" s="50"/>
      <c r="S329" s="50"/>
      <c r="T329" s="50"/>
      <c r="U329" s="50"/>
      <c r="V329" s="50"/>
      <c r="W329" s="50"/>
      <c r="X329" s="50"/>
      <c r="Y329" s="50"/>
      <c r="Z329" s="50"/>
      <c r="AA329" s="50"/>
      <c r="AB329" s="50"/>
    </row>
    <row r="330" customFormat="false" ht="15.75" hidden="false" customHeight="false" outlineLevel="0" collapsed="false">
      <c r="A330" s="50"/>
      <c r="B330" s="50"/>
      <c r="C330" s="5"/>
      <c r="D330" s="48"/>
      <c r="E330" s="50"/>
      <c r="F330" s="5"/>
      <c r="G330" s="5"/>
      <c r="H330" s="5"/>
      <c r="I330" s="5"/>
      <c r="J330" s="5"/>
      <c r="K330" s="50"/>
      <c r="L330" s="50"/>
      <c r="M330" s="50"/>
      <c r="N330" s="50"/>
      <c r="O330" s="50"/>
      <c r="P330" s="50"/>
      <c r="Q330" s="50"/>
      <c r="R330" s="50"/>
      <c r="S330" s="50"/>
      <c r="T330" s="50"/>
      <c r="U330" s="50"/>
      <c r="V330" s="50"/>
      <c r="W330" s="50"/>
      <c r="X330" s="50"/>
      <c r="Y330" s="50"/>
      <c r="Z330" s="50"/>
      <c r="AA330" s="50"/>
      <c r="AB330" s="50"/>
    </row>
    <row r="331" customFormat="false" ht="15.75" hidden="false" customHeight="false" outlineLevel="0" collapsed="false">
      <c r="A331" s="50"/>
      <c r="B331" s="50"/>
      <c r="C331" s="5"/>
      <c r="D331" s="48"/>
      <c r="E331" s="50"/>
      <c r="F331" s="5"/>
      <c r="G331" s="5"/>
      <c r="H331" s="5"/>
      <c r="I331" s="5"/>
      <c r="J331" s="5"/>
      <c r="K331" s="50"/>
      <c r="L331" s="50"/>
      <c r="M331" s="50"/>
      <c r="N331" s="50"/>
      <c r="O331" s="50"/>
      <c r="P331" s="50"/>
      <c r="Q331" s="50"/>
      <c r="R331" s="50"/>
      <c r="S331" s="50"/>
      <c r="T331" s="50"/>
      <c r="U331" s="50"/>
      <c r="V331" s="50"/>
      <c r="W331" s="50"/>
      <c r="X331" s="50"/>
      <c r="Y331" s="50"/>
      <c r="Z331" s="50"/>
      <c r="AA331" s="50"/>
      <c r="AB331" s="50"/>
    </row>
    <row r="332" customFormat="false" ht="15.75" hidden="false" customHeight="false" outlineLevel="0" collapsed="false">
      <c r="A332" s="50"/>
      <c r="B332" s="50"/>
      <c r="C332" s="5"/>
      <c r="D332" s="48"/>
      <c r="E332" s="50"/>
      <c r="F332" s="5"/>
      <c r="G332" s="5"/>
      <c r="H332" s="5"/>
      <c r="I332" s="5"/>
      <c r="J332" s="5"/>
      <c r="K332" s="50"/>
      <c r="L332" s="50"/>
      <c r="M332" s="50"/>
      <c r="N332" s="50"/>
      <c r="O332" s="50"/>
      <c r="P332" s="50"/>
      <c r="Q332" s="50"/>
      <c r="R332" s="50"/>
      <c r="S332" s="50"/>
      <c r="T332" s="50"/>
      <c r="U332" s="50"/>
      <c r="V332" s="50"/>
      <c r="W332" s="50"/>
      <c r="X332" s="50"/>
      <c r="Y332" s="50"/>
      <c r="Z332" s="50"/>
      <c r="AA332" s="50"/>
      <c r="AB332" s="50"/>
    </row>
    <row r="333" customFormat="false" ht="15.75" hidden="false" customHeight="false" outlineLevel="0" collapsed="false">
      <c r="A333" s="50"/>
      <c r="B333" s="50"/>
      <c r="C333" s="5"/>
      <c r="D333" s="48"/>
      <c r="E333" s="50"/>
      <c r="F333" s="5"/>
      <c r="G333" s="5"/>
      <c r="H333" s="5"/>
      <c r="I333" s="5"/>
      <c r="J333" s="5"/>
      <c r="K333" s="50"/>
      <c r="L333" s="50"/>
      <c r="M333" s="50"/>
      <c r="N333" s="50"/>
      <c r="O333" s="50"/>
      <c r="P333" s="50"/>
      <c r="Q333" s="50"/>
      <c r="R333" s="50"/>
      <c r="S333" s="50"/>
      <c r="T333" s="50"/>
      <c r="U333" s="50"/>
      <c r="V333" s="50"/>
      <c r="W333" s="50"/>
      <c r="X333" s="50"/>
      <c r="Y333" s="50"/>
      <c r="Z333" s="50"/>
      <c r="AA333" s="50"/>
      <c r="AB333" s="50"/>
    </row>
    <row r="334" customFormat="false" ht="15.75" hidden="false" customHeight="false" outlineLevel="0" collapsed="false">
      <c r="A334" s="50"/>
      <c r="B334" s="50"/>
      <c r="C334" s="5"/>
      <c r="D334" s="48"/>
      <c r="E334" s="50"/>
      <c r="F334" s="5"/>
      <c r="G334" s="5"/>
      <c r="H334" s="5"/>
      <c r="I334" s="5"/>
      <c r="J334" s="5"/>
      <c r="K334" s="50"/>
      <c r="L334" s="50"/>
      <c r="M334" s="50"/>
      <c r="N334" s="50"/>
      <c r="O334" s="50"/>
      <c r="P334" s="50"/>
      <c r="Q334" s="50"/>
      <c r="R334" s="50"/>
      <c r="S334" s="50"/>
      <c r="T334" s="50"/>
      <c r="U334" s="50"/>
      <c r="V334" s="50"/>
      <c r="W334" s="50"/>
      <c r="X334" s="50"/>
      <c r="Y334" s="50"/>
      <c r="Z334" s="50"/>
      <c r="AA334" s="50"/>
      <c r="AB334" s="50"/>
    </row>
    <row r="335" customFormat="false" ht="15.75" hidden="false" customHeight="false" outlineLevel="0" collapsed="false">
      <c r="A335" s="50"/>
      <c r="B335" s="50"/>
      <c r="C335" s="5"/>
      <c r="D335" s="48"/>
      <c r="E335" s="50"/>
      <c r="F335" s="5"/>
      <c r="G335" s="5"/>
      <c r="H335" s="5"/>
      <c r="I335" s="5"/>
      <c r="J335" s="5"/>
      <c r="K335" s="50"/>
      <c r="L335" s="50"/>
      <c r="M335" s="50"/>
      <c r="N335" s="50"/>
      <c r="O335" s="50"/>
      <c r="P335" s="50"/>
      <c r="Q335" s="50"/>
      <c r="R335" s="50"/>
      <c r="S335" s="50"/>
      <c r="T335" s="50"/>
      <c r="U335" s="50"/>
      <c r="V335" s="50"/>
      <c r="W335" s="50"/>
      <c r="X335" s="50"/>
      <c r="Y335" s="50"/>
      <c r="Z335" s="50"/>
      <c r="AA335" s="50"/>
      <c r="AB335" s="50"/>
    </row>
    <row r="336" customFormat="false" ht="15.75" hidden="false" customHeight="false" outlineLevel="0" collapsed="false">
      <c r="A336" s="50"/>
      <c r="B336" s="50"/>
      <c r="C336" s="5"/>
      <c r="D336" s="48"/>
      <c r="E336" s="50"/>
      <c r="F336" s="5"/>
      <c r="G336" s="5"/>
      <c r="H336" s="5"/>
      <c r="I336" s="5"/>
      <c r="J336" s="5"/>
      <c r="K336" s="50"/>
      <c r="L336" s="50"/>
      <c r="M336" s="50"/>
      <c r="N336" s="50"/>
      <c r="O336" s="50"/>
      <c r="P336" s="50"/>
      <c r="Q336" s="50"/>
      <c r="R336" s="50"/>
      <c r="S336" s="50"/>
      <c r="T336" s="50"/>
      <c r="U336" s="50"/>
      <c r="V336" s="50"/>
      <c r="W336" s="50"/>
      <c r="X336" s="50"/>
      <c r="Y336" s="50"/>
      <c r="Z336" s="50"/>
      <c r="AA336" s="50"/>
      <c r="AB336" s="50"/>
    </row>
    <row r="337" customFormat="false" ht="15.75" hidden="false" customHeight="false" outlineLevel="0" collapsed="false">
      <c r="A337" s="50"/>
      <c r="B337" s="50"/>
      <c r="C337" s="5"/>
      <c r="D337" s="48"/>
      <c r="E337" s="50"/>
      <c r="F337" s="5"/>
      <c r="G337" s="5"/>
      <c r="H337" s="5"/>
      <c r="I337" s="5"/>
      <c r="J337" s="5"/>
      <c r="K337" s="50"/>
      <c r="L337" s="50"/>
      <c r="M337" s="50"/>
      <c r="N337" s="50"/>
      <c r="O337" s="50"/>
      <c r="P337" s="50"/>
      <c r="Q337" s="50"/>
      <c r="R337" s="50"/>
      <c r="S337" s="50"/>
      <c r="T337" s="50"/>
      <c r="U337" s="50"/>
      <c r="V337" s="50"/>
      <c r="W337" s="50"/>
      <c r="X337" s="50"/>
      <c r="Y337" s="50"/>
      <c r="Z337" s="50"/>
      <c r="AA337" s="50"/>
      <c r="AB337" s="50"/>
    </row>
    <row r="338" customFormat="false" ht="15.75" hidden="false" customHeight="false" outlineLevel="0" collapsed="false">
      <c r="A338" s="50"/>
      <c r="B338" s="50"/>
      <c r="C338" s="5"/>
      <c r="D338" s="48"/>
      <c r="E338" s="50"/>
      <c r="F338" s="5"/>
      <c r="G338" s="5"/>
      <c r="H338" s="5"/>
      <c r="I338" s="5"/>
      <c r="J338" s="5"/>
      <c r="K338" s="50"/>
      <c r="L338" s="50"/>
      <c r="M338" s="50"/>
      <c r="N338" s="50"/>
      <c r="O338" s="50"/>
      <c r="P338" s="50"/>
      <c r="Q338" s="50"/>
      <c r="R338" s="50"/>
      <c r="S338" s="50"/>
      <c r="T338" s="50"/>
      <c r="U338" s="50"/>
      <c r="V338" s="50"/>
      <c r="W338" s="50"/>
      <c r="X338" s="50"/>
      <c r="Y338" s="50"/>
      <c r="Z338" s="50"/>
      <c r="AA338" s="50"/>
      <c r="AB338" s="50"/>
    </row>
    <row r="339" customFormat="false" ht="15.75" hidden="false" customHeight="false" outlineLevel="0" collapsed="false">
      <c r="A339" s="50"/>
      <c r="B339" s="50"/>
      <c r="C339" s="5"/>
      <c r="D339" s="48"/>
      <c r="E339" s="50"/>
      <c r="F339" s="5"/>
      <c r="G339" s="5"/>
      <c r="H339" s="5"/>
      <c r="I339" s="5"/>
      <c r="J339" s="5"/>
      <c r="K339" s="50"/>
      <c r="L339" s="50"/>
      <c r="M339" s="50"/>
      <c r="N339" s="50"/>
      <c r="O339" s="50"/>
      <c r="P339" s="50"/>
      <c r="Q339" s="50"/>
      <c r="R339" s="50"/>
      <c r="S339" s="50"/>
      <c r="T339" s="50"/>
      <c r="U339" s="50"/>
      <c r="V339" s="50"/>
      <c r="W339" s="50"/>
      <c r="X339" s="50"/>
      <c r="Y339" s="50"/>
      <c r="Z339" s="50"/>
      <c r="AA339" s="50"/>
      <c r="AB339" s="50"/>
    </row>
    <row r="340" customFormat="false" ht="15.75" hidden="false" customHeight="false" outlineLevel="0" collapsed="false">
      <c r="A340" s="50"/>
      <c r="B340" s="50"/>
      <c r="C340" s="5"/>
      <c r="D340" s="48"/>
      <c r="E340" s="50"/>
      <c r="F340" s="5"/>
      <c r="G340" s="5"/>
      <c r="H340" s="5"/>
      <c r="I340" s="5"/>
      <c r="J340" s="5"/>
      <c r="K340" s="50"/>
      <c r="L340" s="50"/>
      <c r="M340" s="50"/>
      <c r="N340" s="50"/>
      <c r="O340" s="50"/>
      <c r="P340" s="50"/>
      <c r="Q340" s="50"/>
      <c r="R340" s="50"/>
      <c r="S340" s="50"/>
      <c r="T340" s="50"/>
      <c r="U340" s="50"/>
      <c r="V340" s="50"/>
      <c r="W340" s="50"/>
      <c r="X340" s="50"/>
      <c r="Y340" s="50"/>
      <c r="Z340" s="50"/>
      <c r="AA340" s="50"/>
      <c r="AB340" s="50"/>
    </row>
    <row r="341" customFormat="false" ht="15.75" hidden="false" customHeight="false" outlineLevel="0" collapsed="false">
      <c r="A341" s="50"/>
      <c r="B341" s="50"/>
      <c r="C341" s="5"/>
      <c r="D341" s="48"/>
      <c r="E341" s="50"/>
      <c r="F341" s="5"/>
      <c r="G341" s="5"/>
      <c r="H341" s="5"/>
      <c r="I341" s="5"/>
      <c r="J341" s="5"/>
      <c r="K341" s="50"/>
      <c r="L341" s="50"/>
      <c r="M341" s="50"/>
      <c r="N341" s="50"/>
      <c r="O341" s="50"/>
      <c r="P341" s="50"/>
      <c r="Q341" s="50"/>
      <c r="R341" s="50"/>
      <c r="S341" s="50"/>
      <c r="T341" s="50"/>
      <c r="U341" s="50"/>
      <c r="V341" s="50"/>
      <c r="W341" s="50"/>
      <c r="X341" s="50"/>
      <c r="Y341" s="50"/>
      <c r="Z341" s="50"/>
      <c r="AA341" s="50"/>
      <c r="AB341" s="50"/>
    </row>
    <row r="342" customFormat="false" ht="15.75" hidden="false" customHeight="false" outlineLevel="0" collapsed="false">
      <c r="A342" s="50"/>
      <c r="B342" s="50"/>
      <c r="C342" s="5"/>
      <c r="D342" s="48"/>
      <c r="E342" s="50"/>
      <c r="F342" s="5"/>
      <c r="G342" s="5"/>
      <c r="H342" s="5"/>
      <c r="I342" s="5"/>
      <c r="J342" s="5"/>
      <c r="K342" s="50"/>
      <c r="L342" s="50"/>
      <c r="M342" s="50"/>
      <c r="N342" s="50"/>
      <c r="O342" s="50"/>
      <c r="P342" s="50"/>
      <c r="Q342" s="50"/>
      <c r="R342" s="50"/>
      <c r="S342" s="50"/>
      <c r="T342" s="50"/>
      <c r="U342" s="50"/>
      <c r="V342" s="50"/>
      <c r="W342" s="50"/>
      <c r="X342" s="50"/>
      <c r="Y342" s="50"/>
      <c r="Z342" s="50"/>
      <c r="AA342" s="50"/>
      <c r="AB342" s="50"/>
    </row>
    <row r="343" customFormat="false" ht="15.75" hidden="false" customHeight="false" outlineLevel="0" collapsed="false">
      <c r="A343" s="50"/>
      <c r="B343" s="50"/>
      <c r="C343" s="5"/>
      <c r="D343" s="48"/>
      <c r="E343" s="50"/>
      <c r="F343" s="5"/>
      <c r="G343" s="5"/>
      <c r="H343" s="5"/>
      <c r="I343" s="5"/>
      <c r="J343" s="5"/>
      <c r="K343" s="50"/>
      <c r="L343" s="50"/>
      <c r="M343" s="50"/>
      <c r="N343" s="50"/>
      <c r="O343" s="50"/>
      <c r="P343" s="50"/>
      <c r="Q343" s="50"/>
      <c r="R343" s="50"/>
      <c r="S343" s="50"/>
      <c r="T343" s="50"/>
      <c r="U343" s="50"/>
      <c r="V343" s="50"/>
      <c r="W343" s="50"/>
      <c r="X343" s="50"/>
      <c r="Y343" s="50"/>
      <c r="Z343" s="50"/>
      <c r="AA343" s="50"/>
      <c r="AB343" s="50"/>
    </row>
    <row r="344" customFormat="false" ht="15.75" hidden="false" customHeight="false" outlineLevel="0" collapsed="false">
      <c r="A344" s="50"/>
      <c r="B344" s="50"/>
      <c r="C344" s="5"/>
      <c r="D344" s="48"/>
      <c r="E344" s="50"/>
      <c r="F344" s="5"/>
      <c r="G344" s="5"/>
      <c r="H344" s="5"/>
      <c r="I344" s="5"/>
      <c r="J344" s="5"/>
      <c r="K344" s="50"/>
      <c r="L344" s="50"/>
      <c r="M344" s="50"/>
      <c r="N344" s="50"/>
      <c r="O344" s="50"/>
      <c r="P344" s="50"/>
      <c r="Q344" s="50"/>
      <c r="R344" s="50"/>
      <c r="S344" s="50"/>
      <c r="T344" s="50"/>
      <c r="U344" s="50"/>
      <c r="V344" s="50"/>
      <c r="W344" s="50"/>
      <c r="X344" s="50"/>
      <c r="Y344" s="50"/>
      <c r="Z344" s="50"/>
      <c r="AA344" s="50"/>
      <c r="AB344" s="50"/>
    </row>
    <row r="345" customFormat="false" ht="15.75" hidden="false" customHeight="false" outlineLevel="0" collapsed="false">
      <c r="A345" s="50"/>
      <c r="B345" s="50"/>
      <c r="C345" s="5"/>
      <c r="D345" s="48"/>
      <c r="E345" s="50"/>
      <c r="F345" s="5"/>
      <c r="G345" s="5"/>
      <c r="H345" s="5"/>
      <c r="I345" s="5"/>
      <c r="J345" s="5"/>
      <c r="K345" s="50"/>
      <c r="L345" s="50"/>
      <c r="M345" s="50"/>
      <c r="N345" s="50"/>
      <c r="O345" s="50"/>
      <c r="P345" s="50"/>
      <c r="Q345" s="50"/>
      <c r="R345" s="50"/>
      <c r="S345" s="50"/>
      <c r="T345" s="50"/>
      <c r="U345" s="50"/>
      <c r="V345" s="50"/>
      <c r="W345" s="50"/>
      <c r="X345" s="50"/>
      <c r="Y345" s="50"/>
      <c r="Z345" s="50"/>
      <c r="AA345" s="50"/>
      <c r="AB345" s="50"/>
    </row>
    <row r="346" customFormat="false" ht="15.75" hidden="false" customHeight="false" outlineLevel="0" collapsed="false">
      <c r="A346" s="50"/>
      <c r="B346" s="50"/>
      <c r="C346" s="5"/>
      <c r="D346" s="48"/>
      <c r="E346" s="50"/>
      <c r="F346" s="5"/>
      <c r="G346" s="5"/>
      <c r="H346" s="5"/>
      <c r="I346" s="5"/>
      <c r="J346" s="5"/>
      <c r="K346" s="50"/>
      <c r="L346" s="50"/>
      <c r="M346" s="50"/>
      <c r="N346" s="50"/>
      <c r="O346" s="50"/>
      <c r="P346" s="50"/>
      <c r="Q346" s="50"/>
      <c r="R346" s="50"/>
      <c r="S346" s="50"/>
      <c r="T346" s="50"/>
      <c r="U346" s="50"/>
      <c r="V346" s="50"/>
      <c r="W346" s="50"/>
      <c r="X346" s="50"/>
      <c r="Y346" s="50"/>
      <c r="Z346" s="50"/>
      <c r="AA346" s="50"/>
      <c r="AB346" s="50"/>
    </row>
    <row r="347" customFormat="false" ht="15.75" hidden="false" customHeight="false" outlineLevel="0" collapsed="false">
      <c r="A347" s="50"/>
      <c r="B347" s="50"/>
      <c r="C347" s="5"/>
      <c r="D347" s="48"/>
      <c r="E347" s="50"/>
      <c r="F347" s="5"/>
      <c r="G347" s="5"/>
      <c r="H347" s="5"/>
      <c r="I347" s="5"/>
      <c r="J347" s="5"/>
      <c r="K347" s="50"/>
      <c r="L347" s="50"/>
      <c r="M347" s="50"/>
      <c r="N347" s="50"/>
      <c r="O347" s="50"/>
      <c r="P347" s="50"/>
      <c r="Q347" s="50"/>
      <c r="R347" s="50"/>
      <c r="S347" s="50"/>
      <c r="T347" s="50"/>
      <c r="U347" s="50"/>
      <c r="V347" s="50"/>
      <c r="W347" s="50"/>
      <c r="X347" s="50"/>
      <c r="Y347" s="50"/>
      <c r="Z347" s="50"/>
      <c r="AA347" s="50"/>
      <c r="AB347" s="50"/>
    </row>
    <row r="348" customFormat="false" ht="15.75" hidden="false" customHeight="false" outlineLevel="0" collapsed="false">
      <c r="A348" s="50"/>
      <c r="B348" s="50"/>
      <c r="C348" s="5"/>
      <c r="D348" s="48"/>
      <c r="E348" s="50"/>
      <c r="F348" s="5"/>
      <c r="G348" s="5"/>
      <c r="H348" s="5"/>
      <c r="I348" s="5"/>
      <c r="J348" s="5"/>
      <c r="K348" s="50"/>
      <c r="L348" s="50"/>
      <c r="M348" s="50"/>
      <c r="N348" s="50"/>
      <c r="O348" s="50"/>
      <c r="P348" s="50"/>
      <c r="Q348" s="50"/>
      <c r="R348" s="50"/>
      <c r="S348" s="50"/>
      <c r="T348" s="50"/>
      <c r="U348" s="50"/>
      <c r="V348" s="50"/>
      <c r="W348" s="50"/>
      <c r="X348" s="50"/>
      <c r="Y348" s="50"/>
      <c r="Z348" s="50"/>
      <c r="AA348" s="50"/>
      <c r="AB348" s="50"/>
    </row>
    <row r="349" customFormat="false" ht="15.75" hidden="false" customHeight="false" outlineLevel="0" collapsed="false">
      <c r="A349" s="50"/>
      <c r="B349" s="50"/>
      <c r="C349" s="5"/>
      <c r="D349" s="48"/>
      <c r="E349" s="50"/>
      <c r="F349" s="5"/>
      <c r="G349" s="5"/>
      <c r="H349" s="5"/>
      <c r="I349" s="5"/>
      <c r="J349" s="5"/>
      <c r="K349" s="50"/>
      <c r="L349" s="50"/>
      <c r="M349" s="50"/>
      <c r="N349" s="50"/>
      <c r="O349" s="50"/>
      <c r="P349" s="50"/>
      <c r="Q349" s="50"/>
      <c r="R349" s="50"/>
      <c r="S349" s="50"/>
      <c r="T349" s="50"/>
      <c r="U349" s="50"/>
      <c r="V349" s="50"/>
      <c r="W349" s="50"/>
      <c r="X349" s="50"/>
      <c r="Y349" s="50"/>
      <c r="Z349" s="50"/>
      <c r="AA349" s="50"/>
      <c r="AB349" s="50"/>
    </row>
    <row r="350" customFormat="false" ht="15.75" hidden="false" customHeight="false" outlineLevel="0" collapsed="false">
      <c r="A350" s="50"/>
      <c r="B350" s="50"/>
      <c r="C350" s="5"/>
      <c r="D350" s="48"/>
      <c r="E350" s="50"/>
      <c r="F350" s="5"/>
      <c r="G350" s="5"/>
      <c r="H350" s="5"/>
      <c r="I350" s="5"/>
      <c r="J350" s="5"/>
      <c r="K350" s="50"/>
      <c r="L350" s="50"/>
      <c r="M350" s="50"/>
      <c r="N350" s="50"/>
      <c r="O350" s="50"/>
      <c r="P350" s="50"/>
      <c r="Q350" s="50"/>
      <c r="R350" s="50"/>
      <c r="S350" s="50"/>
      <c r="T350" s="50"/>
      <c r="U350" s="50"/>
      <c r="V350" s="50"/>
      <c r="W350" s="50"/>
      <c r="X350" s="50"/>
      <c r="Y350" s="50"/>
      <c r="Z350" s="50"/>
      <c r="AA350" s="50"/>
      <c r="AB350" s="50"/>
    </row>
    <row r="351" customFormat="false" ht="15.75" hidden="false" customHeight="false" outlineLevel="0" collapsed="false">
      <c r="A351" s="50"/>
      <c r="B351" s="50"/>
      <c r="C351" s="5"/>
      <c r="D351" s="48"/>
      <c r="E351" s="50"/>
      <c r="F351" s="5"/>
      <c r="G351" s="5"/>
      <c r="H351" s="5"/>
      <c r="I351" s="5"/>
      <c r="J351" s="5"/>
      <c r="K351" s="50"/>
      <c r="L351" s="50"/>
      <c r="M351" s="50"/>
      <c r="N351" s="50"/>
      <c r="O351" s="50"/>
      <c r="P351" s="50"/>
      <c r="Q351" s="50"/>
      <c r="R351" s="50"/>
      <c r="S351" s="50"/>
      <c r="T351" s="50"/>
      <c r="U351" s="50"/>
      <c r="V351" s="50"/>
      <c r="W351" s="50"/>
      <c r="X351" s="50"/>
      <c r="Y351" s="50"/>
      <c r="Z351" s="50"/>
      <c r="AA351" s="50"/>
      <c r="AB351" s="50"/>
    </row>
    <row r="352" customFormat="false" ht="15.75" hidden="false" customHeight="false" outlineLevel="0" collapsed="false">
      <c r="A352" s="50"/>
      <c r="B352" s="50"/>
      <c r="C352" s="5"/>
      <c r="D352" s="48"/>
      <c r="E352" s="50"/>
      <c r="F352" s="5"/>
      <c r="G352" s="5"/>
      <c r="H352" s="5"/>
      <c r="I352" s="5"/>
      <c r="J352" s="5"/>
      <c r="K352" s="50"/>
      <c r="L352" s="50"/>
      <c r="M352" s="50"/>
      <c r="N352" s="50"/>
      <c r="O352" s="50"/>
      <c r="P352" s="50"/>
      <c r="Q352" s="50"/>
      <c r="R352" s="50"/>
      <c r="S352" s="50"/>
      <c r="T352" s="50"/>
      <c r="U352" s="50"/>
      <c r="V352" s="50"/>
      <c r="W352" s="50"/>
      <c r="X352" s="50"/>
      <c r="Y352" s="50"/>
      <c r="Z352" s="50"/>
      <c r="AA352" s="50"/>
      <c r="AB352" s="50"/>
    </row>
    <row r="353" customFormat="false" ht="15.75" hidden="false" customHeight="false" outlineLevel="0" collapsed="false">
      <c r="A353" s="50"/>
      <c r="B353" s="50"/>
      <c r="C353" s="5"/>
      <c r="D353" s="48"/>
      <c r="E353" s="50"/>
      <c r="F353" s="5"/>
      <c r="G353" s="5"/>
      <c r="H353" s="5"/>
      <c r="I353" s="5"/>
      <c r="J353" s="5"/>
      <c r="K353" s="50"/>
      <c r="L353" s="50"/>
      <c r="M353" s="50"/>
      <c r="N353" s="50"/>
      <c r="O353" s="50"/>
      <c r="P353" s="50"/>
      <c r="Q353" s="50"/>
      <c r="R353" s="50"/>
      <c r="S353" s="50"/>
      <c r="T353" s="50"/>
      <c r="U353" s="50"/>
      <c r="V353" s="50"/>
      <c r="W353" s="50"/>
      <c r="X353" s="50"/>
      <c r="Y353" s="50"/>
      <c r="Z353" s="50"/>
      <c r="AA353" s="50"/>
      <c r="AB353" s="50"/>
    </row>
    <row r="354" customFormat="false" ht="15.75" hidden="false" customHeight="false" outlineLevel="0" collapsed="false">
      <c r="A354" s="50"/>
      <c r="B354" s="50"/>
      <c r="C354" s="5"/>
      <c r="D354" s="48"/>
      <c r="E354" s="50"/>
      <c r="F354" s="5"/>
      <c r="G354" s="5"/>
      <c r="H354" s="5"/>
      <c r="I354" s="5"/>
      <c r="J354" s="5"/>
      <c r="K354" s="50"/>
      <c r="L354" s="50"/>
      <c r="M354" s="50"/>
      <c r="N354" s="50"/>
      <c r="O354" s="50"/>
      <c r="P354" s="50"/>
      <c r="Q354" s="50"/>
      <c r="R354" s="50"/>
      <c r="S354" s="50"/>
      <c r="T354" s="50"/>
      <c r="U354" s="50"/>
      <c r="V354" s="50"/>
      <c r="W354" s="50"/>
      <c r="X354" s="50"/>
      <c r="Y354" s="50"/>
      <c r="Z354" s="50"/>
      <c r="AA354" s="50"/>
      <c r="AB354" s="50"/>
    </row>
    <row r="355" customFormat="false" ht="15.75" hidden="false" customHeight="false" outlineLevel="0" collapsed="false">
      <c r="A355" s="50"/>
      <c r="B355" s="50"/>
      <c r="C355" s="5"/>
      <c r="D355" s="48"/>
      <c r="E355" s="50"/>
      <c r="F355" s="5"/>
      <c r="G355" s="5"/>
      <c r="H355" s="5"/>
      <c r="I355" s="5"/>
      <c r="J355" s="5"/>
      <c r="K355" s="50"/>
      <c r="L355" s="50"/>
      <c r="M355" s="50"/>
      <c r="N355" s="50"/>
      <c r="O355" s="50"/>
      <c r="P355" s="50"/>
      <c r="Q355" s="50"/>
      <c r="R355" s="50"/>
      <c r="S355" s="50"/>
      <c r="T355" s="50"/>
      <c r="U355" s="50"/>
      <c r="V355" s="50"/>
      <c r="W355" s="50"/>
      <c r="X355" s="50"/>
      <c r="Y355" s="50"/>
      <c r="Z355" s="50"/>
      <c r="AA355" s="50"/>
      <c r="AB355" s="50"/>
    </row>
    <row r="356" customFormat="false" ht="15.75" hidden="false" customHeight="false" outlineLevel="0" collapsed="false">
      <c r="A356" s="50"/>
      <c r="B356" s="50"/>
      <c r="C356" s="5"/>
      <c r="D356" s="48"/>
      <c r="E356" s="50"/>
      <c r="F356" s="5"/>
      <c r="G356" s="5"/>
      <c r="H356" s="5"/>
      <c r="I356" s="5"/>
      <c r="J356" s="5"/>
      <c r="K356" s="50"/>
      <c r="L356" s="50"/>
      <c r="M356" s="50"/>
      <c r="N356" s="50"/>
      <c r="O356" s="50"/>
      <c r="P356" s="50"/>
      <c r="Q356" s="50"/>
      <c r="R356" s="50"/>
      <c r="S356" s="50"/>
      <c r="T356" s="50"/>
      <c r="U356" s="50"/>
      <c r="V356" s="50"/>
      <c r="W356" s="50"/>
      <c r="X356" s="50"/>
      <c r="Y356" s="50"/>
      <c r="Z356" s="50"/>
      <c r="AA356" s="50"/>
      <c r="AB356" s="50"/>
    </row>
    <row r="357" customFormat="false" ht="15.75" hidden="false" customHeight="false" outlineLevel="0" collapsed="false">
      <c r="A357" s="50"/>
      <c r="B357" s="50"/>
      <c r="C357" s="5"/>
      <c r="D357" s="48"/>
      <c r="E357" s="50"/>
      <c r="F357" s="5"/>
      <c r="G357" s="5"/>
      <c r="H357" s="5"/>
      <c r="I357" s="5"/>
      <c r="J357" s="5"/>
      <c r="K357" s="50"/>
      <c r="L357" s="50"/>
      <c r="M357" s="50"/>
      <c r="N357" s="50"/>
      <c r="O357" s="50"/>
      <c r="P357" s="50"/>
      <c r="Q357" s="50"/>
      <c r="R357" s="50"/>
      <c r="S357" s="50"/>
      <c r="T357" s="50"/>
      <c r="U357" s="50"/>
      <c r="V357" s="50"/>
      <c r="W357" s="50"/>
      <c r="X357" s="50"/>
      <c r="Y357" s="50"/>
      <c r="Z357" s="50"/>
      <c r="AA357" s="50"/>
      <c r="AB357" s="50"/>
    </row>
    <row r="358" customFormat="false" ht="15.75" hidden="false" customHeight="false" outlineLevel="0" collapsed="false">
      <c r="A358" s="50"/>
      <c r="B358" s="50"/>
      <c r="C358" s="5"/>
      <c r="D358" s="48"/>
      <c r="E358" s="50"/>
      <c r="F358" s="5"/>
      <c r="G358" s="5"/>
      <c r="H358" s="5"/>
      <c r="I358" s="5"/>
      <c r="J358" s="5"/>
      <c r="K358" s="50"/>
      <c r="L358" s="50"/>
      <c r="M358" s="50"/>
      <c r="N358" s="50"/>
      <c r="O358" s="50"/>
      <c r="P358" s="50"/>
      <c r="Q358" s="50"/>
      <c r="R358" s="50"/>
      <c r="S358" s="50"/>
      <c r="T358" s="50"/>
      <c r="U358" s="50"/>
      <c r="V358" s="50"/>
      <c r="W358" s="50"/>
      <c r="X358" s="50"/>
      <c r="Y358" s="50"/>
      <c r="Z358" s="50"/>
      <c r="AA358" s="50"/>
      <c r="AB358" s="50"/>
    </row>
    <row r="359" customFormat="false" ht="15.75" hidden="false" customHeight="false" outlineLevel="0" collapsed="false">
      <c r="A359" s="50"/>
      <c r="B359" s="50"/>
      <c r="C359" s="5"/>
      <c r="D359" s="48"/>
      <c r="E359" s="50"/>
      <c r="F359" s="5"/>
      <c r="G359" s="5"/>
      <c r="H359" s="5"/>
      <c r="I359" s="5"/>
      <c r="J359" s="5"/>
      <c r="K359" s="50"/>
      <c r="L359" s="50"/>
      <c r="M359" s="50"/>
      <c r="N359" s="50"/>
      <c r="O359" s="50"/>
      <c r="P359" s="50"/>
      <c r="Q359" s="50"/>
      <c r="R359" s="50"/>
      <c r="S359" s="50"/>
      <c r="T359" s="50"/>
      <c r="U359" s="50"/>
      <c r="V359" s="50"/>
      <c r="W359" s="50"/>
      <c r="X359" s="50"/>
      <c r="Y359" s="50"/>
      <c r="Z359" s="50"/>
      <c r="AA359" s="50"/>
      <c r="AB359" s="50"/>
    </row>
    <row r="360" customFormat="false" ht="15.75" hidden="false" customHeight="false" outlineLevel="0" collapsed="false">
      <c r="A360" s="50"/>
      <c r="B360" s="50"/>
      <c r="C360" s="5"/>
      <c r="D360" s="48"/>
      <c r="E360" s="50"/>
      <c r="F360" s="5"/>
      <c r="G360" s="5"/>
      <c r="H360" s="5"/>
      <c r="I360" s="5"/>
      <c r="J360" s="5"/>
      <c r="K360" s="50"/>
      <c r="L360" s="50"/>
      <c r="M360" s="50"/>
      <c r="N360" s="50"/>
      <c r="O360" s="50"/>
      <c r="P360" s="50"/>
      <c r="Q360" s="50"/>
      <c r="R360" s="50"/>
      <c r="S360" s="50"/>
      <c r="T360" s="50"/>
      <c r="U360" s="50"/>
      <c r="V360" s="50"/>
      <c r="W360" s="50"/>
      <c r="X360" s="50"/>
      <c r="Y360" s="50"/>
      <c r="Z360" s="50"/>
      <c r="AA360" s="50"/>
      <c r="AB360" s="50"/>
    </row>
    <row r="361" customFormat="false" ht="15.75" hidden="false" customHeight="false" outlineLevel="0" collapsed="false">
      <c r="A361" s="50"/>
      <c r="B361" s="50"/>
      <c r="C361" s="5"/>
      <c r="D361" s="48"/>
      <c r="E361" s="50"/>
      <c r="F361" s="5"/>
      <c r="G361" s="5"/>
      <c r="H361" s="5"/>
      <c r="I361" s="5"/>
      <c r="J361" s="5"/>
      <c r="K361" s="50"/>
      <c r="L361" s="50"/>
      <c r="M361" s="50"/>
      <c r="N361" s="50"/>
      <c r="O361" s="50"/>
      <c r="P361" s="50"/>
      <c r="Q361" s="50"/>
      <c r="R361" s="50"/>
      <c r="S361" s="50"/>
      <c r="T361" s="50"/>
      <c r="U361" s="50"/>
      <c r="V361" s="50"/>
      <c r="W361" s="50"/>
      <c r="X361" s="50"/>
      <c r="Y361" s="50"/>
      <c r="Z361" s="50"/>
      <c r="AA361" s="50"/>
      <c r="AB361" s="50"/>
    </row>
    <row r="362" customFormat="false" ht="15.75" hidden="false" customHeight="false" outlineLevel="0" collapsed="false">
      <c r="A362" s="50"/>
      <c r="B362" s="50"/>
      <c r="C362" s="5"/>
      <c r="D362" s="48"/>
      <c r="E362" s="50"/>
      <c r="F362" s="5"/>
      <c r="G362" s="5"/>
      <c r="H362" s="5"/>
      <c r="I362" s="5"/>
      <c r="J362" s="5"/>
      <c r="K362" s="50"/>
      <c r="L362" s="50"/>
      <c r="M362" s="50"/>
      <c r="N362" s="50"/>
      <c r="O362" s="50"/>
      <c r="P362" s="50"/>
      <c r="Q362" s="50"/>
      <c r="R362" s="50"/>
      <c r="S362" s="50"/>
      <c r="T362" s="50"/>
      <c r="U362" s="50"/>
      <c r="V362" s="50"/>
      <c r="W362" s="50"/>
      <c r="X362" s="50"/>
      <c r="Y362" s="50"/>
      <c r="Z362" s="50"/>
      <c r="AA362" s="50"/>
      <c r="AB362" s="50"/>
    </row>
    <row r="363" customFormat="false" ht="15.75" hidden="false" customHeight="false" outlineLevel="0" collapsed="false">
      <c r="A363" s="50"/>
      <c r="B363" s="50"/>
      <c r="C363" s="5"/>
      <c r="D363" s="48"/>
      <c r="E363" s="50"/>
      <c r="F363" s="5"/>
      <c r="G363" s="5"/>
      <c r="H363" s="5"/>
      <c r="I363" s="5"/>
      <c r="J363" s="5"/>
      <c r="K363" s="50"/>
      <c r="L363" s="50"/>
      <c r="M363" s="50"/>
      <c r="N363" s="50"/>
      <c r="O363" s="50"/>
      <c r="P363" s="50"/>
      <c r="Q363" s="50"/>
      <c r="R363" s="50"/>
      <c r="S363" s="50"/>
      <c r="T363" s="50"/>
      <c r="U363" s="50"/>
      <c r="V363" s="50"/>
      <c r="W363" s="50"/>
      <c r="X363" s="50"/>
      <c r="Y363" s="50"/>
      <c r="Z363" s="50"/>
      <c r="AA363" s="50"/>
      <c r="AB363" s="50"/>
    </row>
    <row r="364" customFormat="false" ht="15.75" hidden="false" customHeight="false" outlineLevel="0" collapsed="false">
      <c r="A364" s="50"/>
      <c r="B364" s="50"/>
      <c r="C364" s="5"/>
      <c r="D364" s="48"/>
      <c r="E364" s="50"/>
      <c r="F364" s="5"/>
      <c r="G364" s="5"/>
      <c r="H364" s="5"/>
      <c r="I364" s="5"/>
      <c r="J364" s="5"/>
      <c r="K364" s="50"/>
      <c r="L364" s="50"/>
      <c r="M364" s="50"/>
      <c r="N364" s="50"/>
      <c r="O364" s="50"/>
      <c r="P364" s="50"/>
      <c r="Q364" s="50"/>
      <c r="R364" s="50"/>
      <c r="S364" s="50"/>
      <c r="T364" s="50"/>
      <c r="U364" s="50"/>
      <c r="V364" s="50"/>
      <c r="W364" s="50"/>
      <c r="X364" s="50"/>
      <c r="Y364" s="50"/>
      <c r="Z364" s="50"/>
      <c r="AA364" s="50"/>
      <c r="AB364" s="50"/>
    </row>
    <row r="365" customFormat="false" ht="15.75" hidden="false" customHeight="false" outlineLevel="0" collapsed="false">
      <c r="A365" s="50"/>
      <c r="B365" s="50"/>
      <c r="C365" s="5"/>
      <c r="D365" s="48"/>
      <c r="E365" s="50"/>
      <c r="F365" s="5"/>
      <c r="G365" s="5"/>
      <c r="H365" s="5"/>
      <c r="I365" s="5"/>
      <c r="J365" s="5"/>
      <c r="K365" s="50"/>
      <c r="L365" s="50"/>
      <c r="M365" s="50"/>
      <c r="N365" s="50"/>
      <c r="O365" s="50"/>
      <c r="P365" s="50"/>
      <c r="Q365" s="50"/>
      <c r="R365" s="50"/>
      <c r="S365" s="50"/>
      <c r="T365" s="50"/>
      <c r="U365" s="50"/>
      <c r="V365" s="50"/>
      <c r="W365" s="50"/>
      <c r="X365" s="50"/>
      <c r="Y365" s="50"/>
      <c r="Z365" s="50"/>
      <c r="AA365" s="50"/>
      <c r="AB365" s="50"/>
    </row>
    <row r="366" customFormat="false" ht="15.75" hidden="false" customHeight="false" outlineLevel="0" collapsed="false">
      <c r="A366" s="50"/>
      <c r="B366" s="50"/>
      <c r="C366" s="5"/>
      <c r="D366" s="48"/>
      <c r="E366" s="50"/>
      <c r="F366" s="5"/>
      <c r="G366" s="5"/>
      <c r="H366" s="5"/>
      <c r="I366" s="5"/>
      <c r="J366" s="5"/>
      <c r="K366" s="50"/>
      <c r="L366" s="50"/>
      <c r="M366" s="50"/>
      <c r="N366" s="50"/>
      <c r="O366" s="50"/>
      <c r="P366" s="50"/>
      <c r="Q366" s="50"/>
      <c r="R366" s="50"/>
      <c r="S366" s="50"/>
      <c r="T366" s="50"/>
      <c r="U366" s="50"/>
      <c r="V366" s="50"/>
      <c r="W366" s="50"/>
      <c r="X366" s="50"/>
      <c r="Y366" s="50"/>
      <c r="Z366" s="50"/>
      <c r="AA366" s="50"/>
      <c r="AB366" s="50"/>
    </row>
    <row r="367" customFormat="false" ht="15.75" hidden="false" customHeight="false" outlineLevel="0" collapsed="false">
      <c r="A367" s="50"/>
      <c r="B367" s="50"/>
      <c r="C367" s="5"/>
      <c r="D367" s="48"/>
      <c r="E367" s="50"/>
      <c r="F367" s="5"/>
      <c r="G367" s="5"/>
      <c r="H367" s="5"/>
      <c r="I367" s="5"/>
      <c r="J367" s="5"/>
      <c r="K367" s="50"/>
      <c r="L367" s="50"/>
      <c r="M367" s="50"/>
      <c r="N367" s="50"/>
      <c r="O367" s="50"/>
      <c r="P367" s="50"/>
      <c r="Q367" s="50"/>
      <c r="R367" s="50"/>
      <c r="S367" s="50"/>
      <c r="T367" s="50"/>
      <c r="U367" s="50"/>
      <c r="V367" s="50"/>
      <c r="W367" s="50"/>
      <c r="X367" s="50"/>
      <c r="Y367" s="50"/>
      <c r="Z367" s="50"/>
      <c r="AA367" s="50"/>
      <c r="AB367" s="50"/>
    </row>
    <row r="368" customFormat="false" ht="15.75" hidden="false" customHeight="false" outlineLevel="0" collapsed="false">
      <c r="A368" s="50"/>
      <c r="B368" s="50"/>
      <c r="C368" s="5"/>
      <c r="D368" s="48"/>
      <c r="E368" s="50"/>
      <c r="F368" s="5"/>
      <c r="G368" s="5"/>
      <c r="H368" s="5"/>
      <c r="I368" s="5"/>
      <c r="J368" s="5"/>
      <c r="K368" s="50"/>
      <c r="L368" s="50"/>
      <c r="M368" s="50"/>
      <c r="N368" s="50"/>
      <c r="O368" s="50"/>
      <c r="P368" s="50"/>
      <c r="Q368" s="50"/>
      <c r="R368" s="50"/>
      <c r="S368" s="50"/>
      <c r="T368" s="50"/>
      <c r="U368" s="50"/>
      <c r="V368" s="50"/>
      <c r="W368" s="50"/>
      <c r="X368" s="50"/>
      <c r="Y368" s="50"/>
      <c r="Z368" s="50"/>
      <c r="AA368" s="50"/>
      <c r="AB368" s="50"/>
    </row>
    <row r="369" customFormat="false" ht="15.75" hidden="false" customHeight="false" outlineLevel="0" collapsed="false">
      <c r="A369" s="50"/>
      <c r="B369" s="50"/>
      <c r="C369" s="5"/>
      <c r="D369" s="48"/>
      <c r="E369" s="50"/>
      <c r="F369" s="5"/>
      <c r="G369" s="5"/>
      <c r="H369" s="5"/>
      <c r="I369" s="5"/>
      <c r="J369" s="5"/>
      <c r="K369" s="50"/>
      <c r="L369" s="50"/>
      <c r="M369" s="50"/>
      <c r="N369" s="50"/>
      <c r="O369" s="50"/>
      <c r="P369" s="50"/>
      <c r="Q369" s="50"/>
      <c r="R369" s="50"/>
      <c r="S369" s="50"/>
      <c r="T369" s="50"/>
      <c r="U369" s="50"/>
      <c r="V369" s="50"/>
      <c r="W369" s="50"/>
      <c r="X369" s="50"/>
      <c r="Y369" s="50"/>
      <c r="Z369" s="50"/>
      <c r="AA369" s="50"/>
      <c r="AB369" s="50"/>
    </row>
    <row r="370" customFormat="false" ht="15.75" hidden="false" customHeight="false" outlineLevel="0" collapsed="false">
      <c r="A370" s="50"/>
      <c r="B370" s="50"/>
      <c r="C370" s="5"/>
      <c r="D370" s="48"/>
      <c r="E370" s="50"/>
      <c r="F370" s="5"/>
      <c r="G370" s="5"/>
      <c r="H370" s="5"/>
      <c r="I370" s="5"/>
      <c r="J370" s="5"/>
      <c r="K370" s="50"/>
      <c r="L370" s="50"/>
      <c r="M370" s="50"/>
      <c r="N370" s="50"/>
      <c r="O370" s="50"/>
      <c r="P370" s="50"/>
      <c r="Q370" s="50"/>
      <c r="R370" s="50"/>
      <c r="S370" s="50"/>
      <c r="T370" s="50"/>
      <c r="U370" s="50"/>
      <c r="V370" s="50"/>
      <c r="W370" s="50"/>
      <c r="X370" s="50"/>
      <c r="Y370" s="50"/>
      <c r="Z370" s="50"/>
      <c r="AA370" s="50"/>
      <c r="AB370" s="50"/>
    </row>
    <row r="371" customFormat="false" ht="15.75" hidden="false" customHeight="false" outlineLevel="0" collapsed="false">
      <c r="A371" s="50"/>
      <c r="B371" s="50"/>
      <c r="C371" s="5"/>
      <c r="D371" s="48"/>
      <c r="E371" s="50"/>
      <c r="F371" s="5"/>
      <c r="G371" s="5"/>
      <c r="H371" s="5"/>
      <c r="I371" s="5"/>
      <c r="J371" s="5"/>
      <c r="K371" s="50"/>
      <c r="L371" s="50"/>
      <c r="M371" s="50"/>
      <c r="N371" s="50"/>
      <c r="O371" s="50"/>
      <c r="P371" s="50"/>
      <c r="Q371" s="50"/>
      <c r="R371" s="50"/>
      <c r="S371" s="50"/>
      <c r="T371" s="50"/>
      <c r="U371" s="50"/>
      <c r="V371" s="50"/>
      <c r="W371" s="50"/>
      <c r="X371" s="50"/>
      <c r="Y371" s="50"/>
      <c r="Z371" s="50"/>
      <c r="AA371" s="50"/>
      <c r="AB371" s="50"/>
    </row>
    <row r="372" customFormat="false" ht="15.75" hidden="false" customHeight="false" outlineLevel="0" collapsed="false">
      <c r="A372" s="50"/>
      <c r="B372" s="50"/>
      <c r="C372" s="5"/>
      <c r="D372" s="48"/>
      <c r="E372" s="50"/>
      <c r="F372" s="5"/>
      <c r="G372" s="5"/>
      <c r="H372" s="5"/>
      <c r="I372" s="5"/>
      <c r="J372" s="5"/>
      <c r="K372" s="50"/>
      <c r="L372" s="50"/>
      <c r="M372" s="50"/>
      <c r="N372" s="50"/>
      <c r="O372" s="50"/>
      <c r="P372" s="50"/>
      <c r="Q372" s="50"/>
      <c r="R372" s="50"/>
      <c r="S372" s="50"/>
      <c r="T372" s="50"/>
      <c r="U372" s="50"/>
      <c r="V372" s="50"/>
      <c r="W372" s="50"/>
      <c r="X372" s="50"/>
      <c r="Y372" s="50"/>
      <c r="Z372" s="50"/>
      <c r="AA372" s="50"/>
      <c r="AB372" s="50"/>
    </row>
    <row r="373" customFormat="false" ht="15.75" hidden="false" customHeight="false" outlineLevel="0" collapsed="false">
      <c r="A373" s="50"/>
      <c r="B373" s="50"/>
      <c r="C373" s="5"/>
      <c r="D373" s="48"/>
      <c r="E373" s="50"/>
      <c r="F373" s="5"/>
      <c r="G373" s="5"/>
      <c r="H373" s="5"/>
      <c r="I373" s="5"/>
      <c r="J373" s="5"/>
      <c r="K373" s="50"/>
      <c r="L373" s="50"/>
      <c r="M373" s="50"/>
      <c r="N373" s="50"/>
      <c r="O373" s="50"/>
      <c r="P373" s="50"/>
      <c r="Q373" s="50"/>
      <c r="R373" s="50"/>
      <c r="S373" s="50"/>
      <c r="T373" s="50"/>
      <c r="U373" s="50"/>
      <c r="V373" s="50"/>
      <c r="W373" s="50"/>
      <c r="X373" s="50"/>
      <c r="Y373" s="50"/>
      <c r="Z373" s="50"/>
      <c r="AA373" s="50"/>
      <c r="AB373" s="50"/>
    </row>
    <row r="374" customFormat="false" ht="15.75" hidden="false" customHeight="false" outlineLevel="0" collapsed="false">
      <c r="A374" s="50"/>
      <c r="B374" s="50"/>
      <c r="C374" s="5"/>
      <c r="D374" s="48"/>
      <c r="E374" s="50"/>
      <c r="F374" s="5"/>
      <c r="G374" s="5"/>
      <c r="H374" s="5"/>
      <c r="I374" s="5"/>
      <c r="J374" s="5"/>
      <c r="K374" s="50"/>
      <c r="L374" s="50"/>
      <c r="M374" s="50"/>
      <c r="N374" s="50"/>
      <c r="O374" s="50"/>
      <c r="P374" s="50"/>
      <c r="Q374" s="50"/>
      <c r="R374" s="50"/>
      <c r="S374" s="50"/>
      <c r="T374" s="50"/>
      <c r="U374" s="50"/>
      <c r="V374" s="50"/>
      <c r="W374" s="50"/>
      <c r="X374" s="50"/>
      <c r="Y374" s="50"/>
      <c r="Z374" s="50"/>
      <c r="AA374" s="50"/>
      <c r="AB374" s="50"/>
    </row>
    <row r="375" customFormat="false" ht="15.75" hidden="false" customHeight="false" outlineLevel="0" collapsed="false">
      <c r="A375" s="50"/>
      <c r="B375" s="50"/>
      <c r="C375" s="5"/>
      <c r="D375" s="48"/>
      <c r="E375" s="50"/>
      <c r="F375" s="5"/>
      <c r="G375" s="5"/>
      <c r="H375" s="5"/>
      <c r="I375" s="5"/>
      <c r="J375" s="5"/>
      <c r="K375" s="50"/>
      <c r="L375" s="50"/>
      <c r="M375" s="50"/>
      <c r="N375" s="50"/>
      <c r="O375" s="50"/>
      <c r="P375" s="50"/>
      <c r="Q375" s="50"/>
      <c r="R375" s="50"/>
      <c r="S375" s="50"/>
      <c r="T375" s="50"/>
      <c r="U375" s="50"/>
      <c r="V375" s="50"/>
      <c r="W375" s="50"/>
      <c r="X375" s="50"/>
      <c r="Y375" s="50"/>
      <c r="Z375" s="50"/>
      <c r="AA375" s="50"/>
      <c r="AB375" s="50"/>
    </row>
    <row r="376" customFormat="false" ht="15.75" hidden="false" customHeight="false" outlineLevel="0" collapsed="false">
      <c r="A376" s="50"/>
      <c r="B376" s="50"/>
      <c r="C376" s="5"/>
      <c r="D376" s="48"/>
      <c r="E376" s="50"/>
      <c r="F376" s="5"/>
      <c r="G376" s="5"/>
      <c r="H376" s="5"/>
      <c r="I376" s="5"/>
      <c r="J376" s="5"/>
      <c r="K376" s="50"/>
      <c r="L376" s="50"/>
      <c r="M376" s="50"/>
      <c r="N376" s="50"/>
      <c r="O376" s="50"/>
      <c r="P376" s="50"/>
      <c r="Q376" s="50"/>
      <c r="R376" s="50"/>
      <c r="S376" s="50"/>
      <c r="T376" s="50"/>
      <c r="U376" s="50"/>
      <c r="V376" s="50"/>
      <c r="W376" s="50"/>
      <c r="X376" s="50"/>
      <c r="Y376" s="50"/>
      <c r="Z376" s="50"/>
      <c r="AA376" s="50"/>
      <c r="AB376" s="50"/>
    </row>
    <row r="377" customFormat="false" ht="15.75" hidden="false" customHeight="false" outlineLevel="0" collapsed="false">
      <c r="A377" s="50"/>
      <c r="B377" s="50"/>
      <c r="C377" s="5"/>
      <c r="D377" s="48"/>
      <c r="E377" s="50"/>
      <c r="F377" s="5"/>
      <c r="G377" s="5"/>
      <c r="H377" s="5"/>
      <c r="I377" s="5"/>
      <c r="J377" s="5"/>
      <c r="K377" s="50"/>
      <c r="L377" s="50"/>
      <c r="M377" s="50"/>
      <c r="N377" s="50"/>
      <c r="O377" s="50"/>
      <c r="P377" s="50"/>
      <c r="Q377" s="50"/>
      <c r="R377" s="50"/>
      <c r="S377" s="50"/>
      <c r="T377" s="50"/>
      <c r="U377" s="50"/>
      <c r="V377" s="50"/>
      <c r="W377" s="50"/>
      <c r="X377" s="50"/>
      <c r="Y377" s="50"/>
      <c r="Z377" s="50"/>
      <c r="AA377" s="50"/>
      <c r="AB377" s="50"/>
    </row>
    <row r="378" customFormat="false" ht="15.75" hidden="false" customHeight="false" outlineLevel="0" collapsed="false">
      <c r="A378" s="50"/>
      <c r="B378" s="50"/>
      <c r="C378" s="5"/>
      <c r="D378" s="48"/>
      <c r="E378" s="50"/>
      <c r="F378" s="5"/>
      <c r="G378" s="5"/>
      <c r="H378" s="5"/>
      <c r="I378" s="5"/>
      <c r="J378" s="5"/>
      <c r="K378" s="50"/>
      <c r="L378" s="50"/>
      <c r="M378" s="50"/>
      <c r="N378" s="50"/>
      <c r="O378" s="50"/>
      <c r="P378" s="50"/>
      <c r="Q378" s="50"/>
      <c r="R378" s="50"/>
      <c r="S378" s="50"/>
      <c r="T378" s="50"/>
      <c r="U378" s="50"/>
      <c r="V378" s="50"/>
      <c r="W378" s="50"/>
      <c r="X378" s="50"/>
      <c r="Y378" s="50"/>
      <c r="Z378" s="50"/>
      <c r="AA378" s="50"/>
      <c r="AB378" s="50"/>
    </row>
    <row r="379" customFormat="false" ht="15.75" hidden="false" customHeight="false" outlineLevel="0" collapsed="false">
      <c r="A379" s="50"/>
      <c r="B379" s="50"/>
      <c r="C379" s="5"/>
      <c r="D379" s="48"/>
      <c r="E379" s="50"/>
      <c r="F379" s="5"/>
      <c r="G379" s="5"/>
      <c r="H379" s="5"/>
      <c r="I379" s="5"/>
      <c r="J379" s="5"/>
      <c r="K379" s="50"/>
      <c r="L379" s="50"/>
      <c r="M379" s="50"/>
      <c r="N379" s="50"/>
      <c r="O379" s="50"/>
      <c r="P379" s="50"/>
      <c r="Q379" s="50"/>
      <c r="R379" s="50"/>
      <c r="S379" s="50"/>
      <c r="T379" s="50"/>
      <c r="U379" s="50"/>
      <c r="V379" s="50"/>
      <c r="W379" s="50"/>
      <c r="X379" s="50"/>
      <c r="Y379" s="50"/>
      <c r="Z379" s="50"/>
      <c r="AA379" s="50"/>
      <c r="AB379" s="50"/>
    </row>
    <row r="380" customFormat="false" ht="15.75" hidden="false" customHeight="false" outlineLevel="0" collapsed="false">
      <c r="A380" s="50"/>
      <c r="B380" s="50"/>
      <c r="C380" s="5"/>
      <c r="D380" s="48"/>
      <c r="E380" s="50"/>
      <c r="F380" s="5"/>
      <c r="G380" s="5"/>
      <c r="H380" s="5"/>
      <c r="I380" s="5"/>
      <c r="J380" s="5"/>
      <c r="K380" s="50"/>
      <c r="L380" s="50"/>
      <c r="M380" s="50"/>
      <c r="N380" s="50"/>
      <c r="O380" s="50"/>
      <c r="P380" s="50"/>
      <c r="Q380" s="50"/>
      <c r="R380" s="50"/>
      <c r="S380" s="50"/>
      <c r="T380" s="50"/>
      <c r="U380" s="50"/>
      <c r="V380" s="50"/>
      <c r="W380" s="50"/>
      <c r="X380" s="50"/>
      <c r="Y380" s="50"/>
      <c r="Z380" s="50"/>
      <c r="AA380" s="50"/>
      <c r="AB380" s="50"/>
    </row>
    <row r="381" customFormat="false" ht="15.75" hidden="false" customHeight="false" outlineLevel="0" collapsed="false">
      <c r="A381" s="50"/>
      <c r="B381" s="50"/>
      <c r="C381" s="5"/>
      <c r="D381" s="48"/>
      <c r="E381" s="50"/>
      <c r="F381" s="5"/>
      <c r="G381" s="5"/>
      <c r="H381" s="5"/>
      <c r="I381" s="5"/>
      <c r="J381" s="5"/>
      <c r="K381" s="50"/>
      <c r="L381" s="50"/>
      <c r="M381" s="50"/>
      <c r="N381" s="50"/>
      <c r="O381" s="50"/>
      <c r="P381" s="50"/>
      <c r="Q381" s="50"/>
      <c r="R381" s="50"/>
      <c r="S381" s="50"/>
      <c r="T381" s="50"/>
      <c r="U381" s="50"/>
      <c r="V381" s="50"/>
      <c r="W381" s="50"/>
      <c r="X381" s="50"/>
      <c r="Y381" s="50"/>
      <c r="Z381" s="50"/>
      <c r="AA381" s="50"/>
      <c r="AB381" s="50"/>
    </row>
    <row r="382" customFormat="false" ht="15.75" hidden="false" customHeight="false" outlineLevel="0" collapsed="false">
      <c r="A382" s="50"/>
      <c r="B382" s="50"/>
      <c r="C382" s="5"/>
      <c r="D382" s="48"/>
      <c r="E382" s="50"/>
      <c r="F382" s="5"/>
      <c r="G382" s="5"/>
      <c r="H382" s="5"/>
      <c r="I382" s="5"/>
      <c r="J382" s="5"/>
      <c r="K382" s="50"/>
      <c r="L382" s="50"/>
      <c r="M382" s="50"/>
      <c r="N382" s="50"/>
      <c r="O382" s="50"/>
      <c r="P382" s="50"/>
      <c r="Q382" s="50"/>
      <c r="R382" s="50"/>
      <c r="S382" s="50"/>
      <c r="T382" s="50"/>
      <c r="U382" s="50"/>
      <c r="V382" s="50"/>
      <c r="W382" s="50"/>
      <c r="X382" s="50"/>
      <c r="Y382" s="50"/>
      <c r="Z382" s="50"/>
      <c r="AA382" s="50"/>
      <c r="AB382" s="50"/>
    </row>
    <row r="383" customFormat="false" ht="15.75" hidden="false" customHeight="false" outlineLevel="0" collapsed="false">
      <c r="A383" s="50"/>
      <c r="B383" s="50"/>
      <c r="C383" s="5"/>
      <c r="D383" s="48"/>
      <c r="E383" s="50"/>
      <c r="F383" s="5"/>
      <c r="G383" s="5"/>
      <c r="H383" s="5"/>
      <c r="I383" s="5"/>
      <c r="J383" s="5"/>
      <c r="K383" s="50"/>
      <c r="L383" s="50"/>
      <c r="M383" s="50"/>
      <c r="N383" s="50"/>
      <c r="O383" s="50"/>
      <c r="P383" s="50"/>
      <c r="Q383" s="50"/>
      <c r="R383" s="50"/>
      <c r="S383" s="50"/>
      <c r="T383" s="50"/>
      <c r="U383" s="50"/>
      <c r="V383" s="50"/>
      <c r="W383" s="50"/>
      <c r="X383" s="50"/>
      <c r="Y383" s="50"/>
      <c r="Z383" s="50"/>
      <c r="AA383" s="50"/>
      <c r="AB383" s="50"/>
    </row>
    <row r="384" customFormat="false" ht="15.75" hidden="false" customHeight="false" outlineLevel="0" collapsed="false">
      <c r="A384" s="50"/>
      <c r="B384" s="50"/>
      <c r="C384" s="5"/>
      <c r="D384" s="48"/>
      <c r="E384" s="50"/>
      <c r="F384" s="5"/>
      <c r="G384" s="5"/>
      <c r="H384" s="5"/>
      <c r="I384" s="5"/>
      <c r="J384" s="5"/>
      <c r="K384" s="50"/>
      <c r="L384" s="50"/>
      <c r="M384" s="50"/>
      <c r="N384" s="50"/>
      <c r="O384" s="50"/>
      <c r="P384" s="50"/>
      <c r="Q384" s="50"/>
      <c r="R384" s="50"/>
      <c r="S384" s="50"/>
      <c r="T384" s="50"/>
      <c r="U384" s="50"/>
      <c r="V384" s="50"/>
      <c r="W384" s="50"/>
      <c r="X384" s="50"/>
      <c r="Y384" s="50"/>
      <c r="Z384" s="50"/>
      <c r="AA384" s="50"/>
      <c r="AB384" s="50"/>
    </row>
    <row r="385" customFormat="false" ht="15.75" hidden="false" customHeight="false" outlineLevel="0" collapsed="false">
      <c r="A385" s="50"/>
      <c r="B385" s="50"/>
      <c r="C385" s="5"/>
      <c r="D385" s="48"/>
      <c r="E385" s="50"/>
      <c r="F385" s="5"/>
      <c r="G385" s="5"/>
      <c r="H385" s="5"/>
      <c r="I385" s="5"/>
      <c r="J385" s="5"/>
      <c r="K385" s="50"/>
      <c r="L385" s="50"/>
      <c r="M385" s="50"/>
      <c r="N385" s="50"/>
      <c r="O385" s="50"/>
      <c r="P385" s="50"/>
      <c r="Q385" s="50"/>
      <c r="R385" s="50"/>
      <c r="S385" s="50"/>
      <c r="T385" s="50"/>
      <c r="U385" s="50"/>
      <c r="V385" s="50"/>
      <c r="W385" s="50"/>
      <c r="X385" s="50"/>
      <c r="Y385" s="50"/>
      <c r="Z385" s="50"/>
      <c r="AA385" s="50"/>
      <c r="AB385" s="50"/>
    </row>
    <row r="386" customFormat="false" ht="15.75" hidden="false" customHeight="false" outlineLevel="0" collapsed="false">
      <c r="A386" s="50"/>
      <c r="B386" s="50"/>
      <c r="C386" s="5"/>
      <c r="D386" s="48"/>
      <c r="E386" s="50"/>
      <c r="F386" s="5"/>
      <c r="G386" s="5"/>
      <c r="H386" s="5"/>
      <c r="I386" s="5"/>
      <c r="J386" s="5"/>
      <c r="K386" s="50"/>
      <c r="L386" s="50"/>
      <c r="M386" s="50"/>
      <c r="N386" s="50"/>
      <c r="O386" s="50"/>
      <c r="P386" s="50"/>
      <c r="Q386" s="50"/>
      <c r="R386" s="50"/>
      <c r="S386" s="50"/>
      <c r="T386" s="50"/>
      <c r="U386" s="50"/>
      <c r="V386" s="50"/>
      <c r="W386" s="50"/>
      <c r="X386" s="50"/>
      <c r="Y386" s="50"/>
      <c r="Z386" s="50"/>
      <c r="AA386" s="50"/>
      <c r="AB386" s="50"/>
    </row>
    <row r="387" customFormat="false" ht="15.75" hidden="false" customHeight="false" outlineLevel="0" collapsed="false">
      <c r="A387" s="50"/>
      <c r="B387" s="50"/>
      <c r="C387" s="5"/>
      <c r="D387" s="48"/>
      <c r="E387" s="50"/>
      <c r="F387" s="5"/>
      <c r="G387" s="5"/>
      <c r="H387" s="5"/>
      <c r="I387" s="5"/>
      <c r="J387" s="5"/>
      <c r="K387" s="50"/>
      <c r="L387" s="50"/>
      <c r="M387" s="50"/>
      <c r="N387" s="50"/>
      <c r="O387" s="50"/>
      <c r="P387" s="50"/>
      <c r="Q387" s="50"/>
      <c r="R387" s="50"/>
      <c r="S387" s="50"/>
      <c r="T387" s="50"/>
      <c r="U387" s="50"/>
      <c r="V387" s="50"/>
      <c r="W387" s="50"/>
      <c r="X387" s="50"/>
      <c r="Y387" s="50"/>
      <c r="Z387" s="50"/>
      <c r="AA387" s="50"/>
      <c r="AB387" s="50"/>
    </row>
    <row r="388" customFormat="false" ht="15.75" hidden="false" customHeight="false" outlineLevel="0" collapsed="false">
      <c r="A388" s="50"/>
      <c r="B388" s="50"/>
      <c r="C388" s="5"/>
      <c r="D388" s="48"/>
      <c r="E388" s="50"/>
      <c r="F388" s="5"/>
      <c r="G388" s="5"/>
      <c r="H388" s="5"/>
      <c r="I388" s="5"/>
      <c r="J388" s="5"/>
      <c r="K388" s="50"/>
      <c r="L388" s="50"/>
      <c r="M388" s="50"/>
      <c r="N388" s="50"/>
      <c r="O388" s="50"/>
      <c r="P388" s="50"/>
      <c r="Q388" s="50"/>
      <c r="R388" s="50"/>
      <c r="S388" s="50"/>
      <c r="T388" s="50"/>
      <c r="U388" s="50"/>
      <c r="V388" s="50"/>
      <c r="W388" s="50"/>
      <c r="X388" s="50"/>
      <c r="Y388" s="50"/>
      <c r="Z388" s="50"/>
      <c r="AA388" s="50"/>
      <c r="AB388" s="50"/>
    </row>
    <row r="389" customFormat="false" ht="15.75" hidden="false" customHeight="false" outlineLevel="0" collapsed="false">
      <c r="A389" s="50"/>
      <c r="B389" s="50"/>
      <c r="C389" s="5"/>
      <c r="D389" s="48"/>
      <c r="E389" s="50"/>
      <c r="F389" s="5"/>
      <c r="G389" s="5"/>
      <c r="H389" s="5"/>
      <c r="I389" s="5"/>
      <c r="J389" s="5"/>
      <c r="K389" s="50"/>
      <c r="L389" s="50"/>
      <c r="M389" s="50"/>
      <c r="N389" s="50"/>
      <c r="O389" s="50"/>
      <c r="P389" s="50"/>
      <c r="Q389" s="50"/>
      <c r="R389" s="50"/>
      <c r="S389" s="50"/>
      <c r="T389" s="50"/>
      <c r="U389" s="50"/>
      <c r="V389" s="50"/>
      <c r="W389" s="50"/>
      <c r="X389" s="50"/>
      <c r="Y389" s="50"/>
      <c r="Z389" s="50"/>
      <c r="AA389" s="50"/>
      <c r="AB389" s="50"/>
    </row>
    <row r="390" customFormat="false" ht="15.75" hidden="false" customHeight="false" outlineLevel="0" collapsed="false">
      <c r="A390" s="50"/>
      <c r="B390" s="50"/>
      <c r="C390" s="5"/>
      <c r="D390" s="48"/>
      <c r="E390" s="50"/>
      <c r="F390" s="5"/>
      <c r="G390" s="5"/>
      <c r="H390" s="5"/>
      <c r="I390" s="5"/>
      <c r="J390" s="5"/>
      <c r="K390" s="50"/>
      <c r="L390" s="50"/>
      <c r="M390" s="50"/>
      <c r="N390" s="50"/>
      <c r="O390" s="50"/>
      <c r="P390" s="50"/>
      <c r="Q390" s="50"/>
      <c r="R390" s="50"/>
      <c r="S390" s="50"/>
      <c r="T390" s="50"/>
      <c r="U390" s="50"/>
      <c r="V390" s="50"/>
      <c r="W390" s="50"/>
      <c r="X390" s="50"/>
      <c r="Y390" s="50"/>
      <c r="Z390" s="50"/>
      <c r="AA390" s="50"/>
      <c r="AB390" s="50"/>
    </row>
    <row r="391" customFormat="false" ht="15.75" hidden="false" customHeight="false" outlineLevel="0" collapsed="false">
      <c r="A391" s="50"/>
      <c r="B391" s="50"/>
      <c r="C391" s="5"/>
      <c r="D391" s="48"/>
      <c r="E391" s="50"/>
      <c r="F391" s="5"/>
      <c r="G391" s="5"/>
      <c r="H391" s="5"/>
      <c r="I391" s="5"/>
      <c r="J391" s="5"/>
      <c r="K391" s="50"/>
      <c r="L391" s="50"/>
      <c r="M391" s="50"/>
      <c r="N391" s="50"/>
      <c r="O391" s="50"/>
      <c r="P391" s="50"/>
      <c r="Q391" s="50"/>
      <c r="R391" s="50"/>
      <c r="S391" s="50"/>
      <c r="T391" s="50"/>
      <c r="U391" s="50"/>
      <c r="V391" s="50"/>
      <c r="W391" s="50"/>
      <c r="X391" s="50"/>
      <c r="Y391" s="50"/>
      <c r="Z391" s="50"/>
      <c r="AA391" s="50"/>
      <c r="AB391" s="50"/>
    </row>
    <row r="392" customFormat="false" ht="15.75" hidden="false" customHeight="false" outlineLevel="0" collapsed="false">
      <c r="A392" s="50"/>
      <c r="B392" s="50"/>
      <c r="C392" s="5"/>
      <c r="D392" s="48"/>
      <c r="E392" s="50"/>
      <c r="F392" s="5"/>
      <c r="G392" s="5"/>
      <c r="H392" s="5"/>
      <c r="I392" s="5"/>
      <c r="J392" s="5"/>
      <c r="K392" s="50"/>
      <c r="L392" s="50"/>
      <c r="M392" s="50"/>
      <c r="N392" s="50"/>
      <c r="O392" s="50"/>
      <c r="P392" s="50"/>
      <c r="Q392" s="50"/>
      <c r="R392" s="50"/>
      <c r="S392" s="50"/>
      <c r="T392" s="50"/>
      <c r="U392" s="50"/>
      <c r="V392" s="50"/>
      <c r="W392" s="50"/>
      <c r="X392" s="50"/>
      <c r="Y392" s="50"/>
      <c r="Z392" s="50"/>
      <c r="AA392" s="50"/>
      <c r="AB392" s="50"/>
    </row>
    <row r="393" customFormat="false" ht="15.75" hidden="false" customHeight="false" outlineLevel="0" collapsed="false">
      <c r="A393" s="50"/>
      <c r="B393" s="50"/>
      <c r="C393" s="5"/>
      <c r="D393" s="48"/>
      <c r="E393" s="50"/>
      <c r="F393" s="5"/>
      <c r="G393" s="5"/>
      <c r="H393" s="5"/>
      <c r="I393" s="5"/>
      <c r="J393" s="5"/>
      <c r="K393" s="50"/>
      <c r="L393" s="50"/>
      <c r="M393" s="50"/>
      <c r="N393" s="50"/>
      <c r="O393" s="50"/>
      <c r="P393" s="50"/>
      <c r="Q393" s="50"/>
      <c r="R393" s="50"/>
      <c r="S393" s="50"/>
      <c r="T393" s="50"/>
      <c r="U393" s="50"/>
      <c r="V393" s="50"/>
      <c r="W393" s="50"/>
      <c r="X393" s="50"/>
      <c r="Y393" s="50"/>
      <c r="Z393" s="50"/>
      <c r="AA393" s="50"/>
      <c r="AB393" s="50"/>
    </row>
    <row r="394" customFormat="false" ht="15.75" hidden="false" customHeight="false" outlineLevel="0" collapsed="false">
      <c r="A394" s="50"/>
      <c r="B394" s="50"/>
      <c r="C394" s="5"/>
      <c r="D394" s="48"/>
      <c r="E394" s="50"/>
      <c r="F394" s="5"/>
      <c r="G394" s="5"/>
      <c r="H394" s="5"/>
      <c r="I394" s="5"/>
      <c r="J394" s="5"/>
      <c r="K394" s="50"/>
      <c r="L394" s="50"/>
      <c r="M394" s="50"/>
      <c r="N394" s="50"/>
      <c r="O394" s="50"/>
      <c r="P394" s="50"/>
      <c r="Q394" s="50"/>
      <c r="R394" s="50"/>
      <c r="S394" s="50"/>
      <c r="T394" s="50"/>
      <c r="U394" s="50"/>
      <c r="V394" s="50"/>
      <c r="W394" s="50"/>
      <c r="X394" s="50"/>
      <c r="Y394" s="50"/>
      <c r="Z394" s="50"/>
      <c r="AA394" s="50"/>
      <c r="AB394" s="50"/>
    </row>
    <row r="395" customFormat="false" ht="15.75" hidden="false" customHeight="false" outlineLevel="0" collapsed="false">
      <c r="A395" s="50"/>
      <c r="B395" s="50"/>
      <c r="C395" s="5"/>
      <c r="D395" s="48"/>
      <c r="E395" s="50"/>
      <c r="F395" s="5"/>
      <c r="G395" s="5"/>
      <c r="H395" s="5"/>
      <c r="I395" s="5"/>
      <c r="J395" s="5"/>
      <c r="K395" s="50"/>
      <c r="L395" s="50"/>
      <c r="M395" s="50"/>
      <c r="N395" s="50"/>
      <c r="O395" s="50"/>
      <c r="P395" s="50"/>
      <c r="Q395" s="50"/>
      <c r="R395" s="50"/>
      <c r="S395" s="50"/>
      <c r="T395" s="50"/>
      <c r="U395" s="50"/>
      <c r="V395" s="50"/>
      <c r="W395" s="50"/>
      <c r="X395" s="50"/>
      <c r="Y395" s="50"/>
      <c r="Z395" s="50"/>
      <c r="AA395" s="50"/>
      <c r="AB395" s="50"/>
    </row>
    <row r="396" customFormat="false" ht="15.75" hidden="false" customHeight="false" outlineLevel="0" collapsed="false">
      <c r="A396" s="50"/>
      <c r="B396" s="50"/>
      <c r="C396" s="5"/>
      <c r="D396" s="48"/>
      <c r="E396" s="50"/>
      <c r="F396" s="5"/>
      <c r="G396" s="5"/>
      <c r="H396" s="5"/>
      <c r="I396" s="5"/>
      <c r="J396" s="5"/>
      <c r="K396" s="50"/>
      <c r="L396" s="50"/>
      <c r="M396" s="50"/>
      <c r="N396" s="50"/>
      <c r="O396" s="50"/>
      <c r="P396" s="50"/>
      <c r="Q396" s="50"/>
      <c r="R396" s="50"/>
      <c r="S396" s="50"/>
      <c r="T396" s="50"/>
      <c r="U396" s="50"/>
      <c r="V396" s="50"/>
      <c r="W396" s="50"/>
      <c r="X396" s="50"/>
      <c r="Y396" s="50"/>
      <c r="Z396" s="50"/>
      <c r="AA396" s="50"/>
      <c r="AB396" s="50"/>
    </row>
    <row r="397" customFormat="false" ht="15.75" hidden="false" customHeight="false" outlineLevel="0" collapsed="false">
      <c r="A397" s="50"/>
      <c r="B397" s="50"/>
      <c r="C397" s="5"/>
      <c r="D397" s="48"/>
      <c r="E397" s="50"/>
      <c r="F397" s="5"/>
      <c r="G397" s="5"/>
      <c r="H397" s="5"/>
      <c r="I397" s="5"/>
      <c r="J397" s="5"/>
      <c r="K397" s="50"/>
      <c r="L397" s="50"/>
      <c r="M397" s="50"/>
      <c r="N397" s="50"/>
      <c r="O397" s="50"/>
      <c r="P397" s="50"/>
      <c r="Q397" s="50"/>
      <c r="R397" s="50"/>
      <c r="S397" s="50"/>
      <c r="T397" s="50"/>
      <c r="U397" s="50"/>
      <c r="V397" s="50"/>
      <c r="W397" s="50"/>
      <c r="X397" s="50"/>
      <c r="Y397" s="50"/>
      <c r="Z397" s="50"/>
      <c r="AA397" s="50"/>
      <c r="AB397" s="50"/>
    </row>
    <row r="398" customFormat="false" ht="15.75" hidden="false" customHeight="false" outlineLevel="0" collapsed="false">
      <c r="A398" s="50"/>
      <c r="B398" s="50"/>
      <c r="C398" s="5"/>
      <c r="D398" s="48"/>
      <c r="E398" s="50"/>
      <c r="F398" s="5"/>
      <c r="G398" s="5"/>
      <c r="H398" s="5"/>
      <c r="I398" s="5"/>
      <c r="J398" s="5"/>
      <c r="K398" s="50"/>
      <c r="L398" s="50"/>
      <c r="M398" s="50"/>
      <c r="N398" s="50"/>
      <c r="O398" s="50"/>
      <c r="P398" s="50"/>
      <c r="Q398" s="50"/>
      <c r="R398" s="50"/>
      <c r="S398" s="50"/>
      <c r="T398" s="50"/>
      <c r="U398" s="50"/>
      <c r="V398" s="50"/>
      <c r="W398" s="50"/>
      <c r="X398" s="50"/>
      <c r="Y398" s="50"/>
      <c r="Z398" s="50"/>
      <c r="AA398" s="50"/>
      <c r="AB398" s="50"/>
    </row>
    <row r="399" customFormat="false" ht="15.75" hidden="false" customHeight="false" outlineLevel="0" collapsed="false">
      <c r="A399" s="50"/>
      <c r="B399" s="50"/>
      <c r="C399" s="5"/>
      <c r="D399" s="48"/>
      <c r="E399" s="50"/>
      <c r="F399" s="5"/>
      <c r="G399" s="5"/>
      <c r="H399" s="5"/>
      <c r="I399" s="5"/>
      <c r="J399" s="5"/>
      <c r="K399" s="50"/>
      <c r="L399" s="50"/>
      <c r="M399" s="50"/>
      <c r="N399" s="50"/>
      <c r="O399" s="50"/>
      <c r="P399" s="50"/>
      <c r="Q399" s="50"/>
      <c r="R399" s="50"/>
      <c r="S399" s="50"/>
      <c r="T399" s="50"/>
      <c r="U399" s="50"/>
      <c r="V399" s="50"/>
      <c r="W399" s="50"/>
      <c r="X399" s="50"/>
      <c r="Y399" s="50"/>
      <c r="Z399" s="50"/>
      <c r="AA399" s="50"/>
      <c r="AB399" s="50"/>
    </row>
    <row r="400" customFormat="false" ht="15.75" hidden="false" customHeight="false" outlineLevel="0" collapsed="false">
      <c r="A400" s="50"/>
      <c r="B400" s="50"/>
      <c r="C400" s="5"/>
      <c r="D400" s="48"/>
      <c r="E400" s="50"/>
      <c r="F400" s="5"/>
      <c r="G400" s="5"/>
      <c r="H400" s="5"/>
      <c r="I400" s="5"/>
      <c r="J400" s="5"/>
      <c r="K400" s="50"/>
      <c r="L400" s="50"/>
      <c r="M400" s="50"/>
      <c r="N400" s="50"/>
      <c r="O400" s="50"/>
      <c r="P400" s="50"/>
      <c r="Q400" s="50"/>
      <c r="R400" s="50"/>
      <c r="S400" s="50"/>
      <c r="T400" s="50"/>
      <c r="U400" s="50"/>
      <c r="V400" s="50"/>
      <c r="W400" s="50"/>
      <c r="X400" s="50"/>
      <c r="Y400" s="50"/>
      <c r="Z400" s="50"/>
      <c r="AA400" s="50"/>
      <c r="AB400" s="50"/>
    </row>
    <row r="401" customFormat="false" ht="15.75" hidden="false" customHeight="false" outlineLevel="0" collapsed="false">
      <c r="A401" s="50"/>
      <c r="B401" s="50"/>
      <c r="C401" s="5"/>
      <c r="D401" s="48"/>
      <c r="E401" s="50"/>
      <c r="F401" s="5"/>
      <c r="G401" s="5"/>
      <c r="H401" s="5"/>
      <c r="I401" s="5"/>
      <c r="J401" s="5"/>
      <c r="K401" s="50"/>
      <c r="L401" s="50"/>
      <c r="M401" s="50"/>
      <c r="N401" s="50"/>
      <c r="O401" s="50"/>
      <c r="P401" s="50"/>
      <c r="Q401" s="50"/>
      <c r="R401" s="50"/>
      <c r="S401" s="50"/>
      <c r="T401" s="50"/>
      <c r="U401" s="50"/>
      <c r="V401" s="50"/>
      <c r="W401" s="50"/>
      <c r="X401" s="50"/>
      <c r="Y401" s="50"/>
      <c r="Z401" s="50"/>
      <c r="AA401" s="50"/>
      <c r="AB401" s="50"/>
    </row>
    <row r="402" customFormat="false" ht="15.75" hidden="false" customHeight="false" outlineLevel="0" collapsed="false">
      <c r="A402" s="50"/>
      <c r="B402" s="50"/>
      <c r="C402" s="5"/>
      <c r="D402" s="48"/>
      <c r="E402" s="50"/>
      <c r="F402" s="5"/>
      <c r="G402" s="5"/>
      <c r="H402" s="5"/>
      <c r="I402" s="5"/>
      <c r="J402" s="5"/>
      <c r="K402" s="50"/>
      <c r="L402" s="50"/>
      <c r="M402" s="50"/>
      <c r="N402" s="50"/>
      <c r="O402" s="50"/>
      <c r="P402" s="50"/>
      <c r="Q402" s="50"/>
      <c r="R402" s="50"/>
      <c r="S402" s="50"/>
      <c r="T402" s="50"/>
      <c r="U402" s="50"/>
      <c r="V402" s="50"/>
      <c r="W402" s="50"/>
      <c r="X402" s="50"/>
      <c r="Y402" s="50"/>
      <c r="Z402" s="50"/>
      <c r="AA402" s="50"/>
      <c r="AB402" s="50"/>
    </row>
    <row r="403" customFormat="false" ht="15.75" hidden="false" customHeight="false" outlineLevel="0" collapsed="false">
      <c r="A403" s="50"/>
      <c r="B403" s="50"/>
      <c r="C403" s="5"/>
      <c r="D403" s="48"/>
      <c r="E403" s="50"/>
      <c r="F403" s="5"/>
      <c r="G403" s="5"/>
      <c r="H403" s="5"/>
      <c r="I403" s="5"/>
      <c r="J403" s="5"/>
      <c r="K403" s="50"/>
      <c r="L403" s="50"/>
      <c r="M403" s="50"/>
      <c r="N403" s="50"/>
      <c r="O403" s="50"/>
      <c r="P403" s="50"/>
      <c r="Q403" s="50"/>
      <c r="R403" s="50"/>
      <c r="S403" s="50"/>
      <c r="T403" s="50"/>
      <c r="U403" s="50"/>
      <c r="V403" s="50"/>
      <c r="W403" s="50"/>
      <c r="X403" s="50"/>
      <c r="Y403" s="50"/>
      <c r="Z403" s="50"/>
      <c r="AA403" s="50"/>
      <c r="AB403" s="50"/>
    </row>
    <row r="404" customFormat="false" ht="15.75" hidden="false" customHeight="false" outlineLevel="0" collapsed="false">
      <c r="A404" s="50"/>
      <c r="B404" s="50"/>
      <c r="C404" s="5"/>
      <c r="D404" s="48"/>
      <c r="E404" s="50"/>
      <c r="F404" s="5"/>
      <c r="G404" s="5"/>
      <c r="H404" s="5"/>
      <c r="I404" s="5"/>
      <c r="J404" s="5"/>
      <c r="K404" s="50"/>
      <c r="L404" s="50"/>
      <c r="M404" s="50"/>
      <c r="N404" s="50"/>
      <c r="O404" s="50"/>
      <c r="P404" s="50"/>
      <c r="Q404" s="50"/>
      <c r="R404" s="50"/>
      <c r="S404" s="50"/>
      <c r="T404" s="50"/>
      <c r="U404" s="50"/>
      <c r="V404" s="50"/>
      <c r="W404" s="50"/>
      <c r="X404" s="50"/>
      <c r="Y404" s="50"/>
      <c r="Z404" s="50"/>
      <c r="AA404" s="50"/>
      <c r="AB404" s="50"/>
    </row>
    <row r="405" customFormat="false" ht="15.75" hidden="false" customHeight="false" outlineLevel="0" collapsed="false">
      <c r="A405" s="50"/>
      <c r="B405" s="50"/>
      <c r="C405" s="5"/>
      <c r="D405" s="48"/>
      <c r="E405" s="50"/>
      <c r="F405" s="5"/>
      <c r="G405" s="5"/>
      <c r="H405" s="5"/>
      <c r="I405" s="5"/>
      <c r="J405" s="5"/>
      <c r="K405" s="50"/>
      <c r="L405" s="50"/>
      <c r="M405" s="50"/>
      <c r="N405" s="50"/>
      <c r="O405" s="50"/>
      <c r="P405" s="50"/>
      <c r="Q405" s="50"/>
      <c r="R405" s="50"/>
      <c r="S405" s="50"/>
      <c r="T405" s="50"/>
      <c r="U405" s="50"/>
      <c r="V405" s="50"/>
      <c r="W405" s="50"/>
      <c r="X405" s="50"/>
      <c r="Y405" s="50"/>
      <c r="Z405" s="50"/>
      <c r="AA405" s="50"/>
      <c r="AB405" s="50"/>
    </row>
    <row r="406" customFormat="false" ht="15.75" hidden="false" customHeight="false" outlineLevel="0" collapsed="false">
      <c r="A406" s="50"/>
      <c r="B406" s="50"/>
      <c r="C406" s="5"/>
      <c r="D406" s="48"/>
      <c r="E406" s="50"/>
      <c r="F406" s="5"/>
      <c r="G406" s="5"/>
      <c r="H406" s="5"/>
      <c r="I406" s="5"/>
      <c r="J406" s="5"/>
      <c r="K406" s="50"/>
      <c r="L406" s="50"/>
      <c r="M406" s="50"/>
      <c r="N406" s="50"/>
      <c r="O406" s="50"/>
      <c r="P406" s="50"/>
      <c r="Q406" s="50"/>
      <c r="R406" s="50"/>
      <c r="S406" s="50"/>
      <c r="T406" s="50"/>
      <c r="U406" s="50"/>
      <c r="V406" s="50"/>
      <c r="W406" s="50"/>
      <c r="X406" s="50"/>
      <c r="Y406" s="50"/>
      <c r="Z406" s="50"/>
      <c r="AA406" s="50"/>
      <c r="AB406" s="50"/>
    </row>
    <row r="407" customFormat="false" ht="15.75" hidden="false" customHeight="false" outlineLevel="0" collapsed="false">
      <c r="A407" s="50"/>
      <c r="B407" s="50"/>
      <c r="C407" s="5"/>
      <c r="D407" s="48"/>
      <c r="E407" s="50"/>
      <c r="F407" s="5"/>
      <c r="G407" s="5"/>
      <c r="H407" s="5"/>
      <c r="I407" s="5"/>
      <c r="J407" s="5"/>
      <c r="K407" s="50"/>
      <c r="L407" s="50"/>
      <c r="M407" s="50"/>
      <c r="N407" s="50"/>
      <c r="O407" s="50"/>
      <c r="P407" s="50"/>
      <c r="Q407" s="50"/>
      <c r="R407" s="50"/>
      <c r="S407" s="50"/>
      <c r="T407" s="50"/>
      <c r="U407" s="50"/>
      <c r="V407" s="50"/>
      <c r="W407" s="50"/>
      <c r="X407" s="50"/>
      <c r="Y407" s="50"/>
      <c r="Z407" s="50"/>
      <c r="AA407" s="50"/>
      <c r="AB407" s="50"/>
    </row>
    <row r="408" customFormat="false" ht="15.75" hidden="false" customHeight="false" outlineLevel="0" collapsed="false">
      <c r="A408" s="50"/>
      <c r="B408" s="50"/>
      <c r="C408" s="5"/>
      <c r="D408" s="48"/>
      <c r="E408" s="50"/>
      <c r="F408" s="5"/>
      <c r="G408" s="5"/>
      <c r="H408" s="5"/>
      <c r="I408" s="5"/>
      <c r="J408" s="5"/>
      <c r="K408" s="50"/>
      <c r="L408" s="50"/>
      <c r="M408" s="50"/>
      <c r="N408" s="50"/>
      <c r="O408" s="50"/>
      <c r="P408" s="50"/>
      <c r="Q408" s="50"/>
      <c r="R408" s="50"/>
      <c r="S408" s="50"/>
      <c r="T408" s="50"/>
      <c r="U408" s="50"/>
      <c r="V408" s="50"/>
      <c r="W408" s="50"/>
      <c r="X408" s="50"/>
      <c r="Y408" s="50"/>
      <c r="Z408" s="50"/>
      <c r="AA408" s="50"/>
      <c r="AB408" s="50"/>
    </row>
    <row r="409" customFormat="false" ht="15.75" hidden="false" customHeight="false" outlineLevel="0" collapsed="false">
      <c r="A409" s="50"/>
      <c r="B409" s="50"/>
      <c r="C409" s="5"/>
      <c r="D409" s="48"/>
      <c r="E409" s="50"/>
      <c r="F409" s="5"/>
      <c r="G409" s="5"/>
      <c r="H409" s="5"/>
      <c r="I409" s="5"/>
      <c r="J409" s="5"/>
      <c r="K409" s="50"/>
      <c r="L409" s="50"/>
      <c r="M409" s="50"/>
      <c r="N409" s="50"/>
      <c r="O409" s="50"/>
      <c r="P409" s="50"/>
      <c r="Q409" s="50"/>
      <c r="R409" s="50"/>
      <c r="S409" s="50"/>
      <c r="T409" s="50"/>
      <c r="U409" s="50"/>
      <c r="V409" s="50"/>
      <c r="W409" s="50"/>
      <c r="X409" s="50"/>
      <c r="Y409" s="50"/>
      <c r="Z409" s="50"/>
      <c r="AA409" s="50"/>
      <c r="AB409" s="50"/>
    </row>
    <row r="410" customFormat="false" ht="15.75" hidden="false" customHeight="false" outlineLevel="0" collapsed="false">
      <c r="A410" s="50"/>
      <c r="B410" s="50"/>
      <c r="C410" s="5"/>
      <c r="D410" s="48"/>
      <c r="E410" s="50"/>
      <c r="F410" s="5"/>
      <c r="G410" s="5"/>
      <c r="H410" s="5"/>
      <c r="I410" s="5"/>
      <c r="J410" s="5"/>
      <c r="K410" s="50"/>
      <c r="L410" s="50"/>
      <c r="M410" s="50"/>
      <c r="N410" s="50"/>
      <c r="O410" s="50"/>
      <c r="P410" s="50"/>
      <c r="Q410" s="50"/>
      <c r="R410" s="50"/>
      <c r="S410" s="50"/>
      <c r="T410" s="50"/>
      <c r="U410" s="50"/>
      <c r="V410" s="50"/>
      <c r="W410" s="50"/>
      <c r="X410" s="50"/>
      <c r="Y410" s="50"/>
      <c r="Z410" s="50"/>
      <c r="AA410" s="50"/>
      <c r="AB410" s="50"/>
    </row>
    <row r="411" customFormat="false" ht="15.75" hidden="false" customHeight="false" outlineLevel="0" collapsed="false">
      <c r="A411" s="50"/>
      <c r="B411" s="50"/>
      <c r="C411" s="5"/>
      <c r="D411" s="48"/>
      <c r="E411" s="50"/>
      <c r="F411" s="5"/>
      <c r="G411" s="5"/>
      <c r="H411" s="5"/>
      <c r="I411" s="5"/>
      <c r="J411" s="5"/>
      <c r="K411" s="50"/>
      <c r="L411" s="50"/>
      <c r="M411" s="50"/>
      <c r="N411" s="50"/>
      <c r="O411" s="50"/>
      <c r="P411" s="50"/>
      <c r="Q411" s="50"/>
      <c r="R411" s="50"/>
      <c r="S411" s="50"/>
      <c r="T411" s="50"/>
      <c r="U411" s="50"/>
      <c r="V411" s="50"/>
      <c r="W411" s="50"/>
      <c r="X411" s="50"/>
      <c r="Y411" s="50"/>
      <c r="Z411" s="50"/>
      <c r="AA411" s="50"/>
      <c r="AB411" s="50"/>
    </row>
    <row r="412" customFormat="false" ht="15.75" hidden="false" customHeight="false" outlineLevel="0" collapsed="false">
      <c r="A412" s="50"/>
      <c r="B412" s="50"/>
      <c r="C412" s="5"/>
      <c r="D412" s="48"/>
      <c r="E412" s="50"/>
      <c r="F412" s="5"/>
      <c r="G412" s="5"/>
      <c r="H412" s="5"/>
      <c r="I412" s="5"/>
      <c r="J412" s="5"/>
      <c r="K412" s="50"/>
      <c r="L412" s="50"/>
      <c r="M412" s="50"/>
      <c r="N412" s="50"/>
      <c r="O412" s="50"/>
      <c r="P412" s="50"/>
      <c r="Q412" s="50"/>
      <c r="R412" s="50"/>
      <c r="S412" s="50"/>
      <c r="T412" s="50"/>
      <c r="U412" s="50"/>
      <c r="V412" s="50"/>
      <c r="W412" s="50"/>
      <c r="X412" s="50"/>
      <c r="Y412" s="50"/>
      <c r="Z412" s="50"/>
      <c r="AA412" s="50"/>
      <c r="AB412" s="50"/>
    </row>
    <row r="413" customFormat="false" ht="15.75" hidden="false" customHeight="false" outlineLevel="0" collapsed="false">
      <c r="A413" s="50"/>
      <c r="B413" s="50"/>
      <c r="C413" s="5"/>
      <c r="D413" s="48"/>
      <c r="E413" s="50"/>
      <c r="F413" s="5"/>
      <c r="G413" s="5"/>
      <c r="H413" s="5"/>
      <c r="I413" s="5"/>
      <c r="J413" s="5"/>
      <c r="K413" s="50"/>
      <c r="L413" s="50"/>
      <c r="M413" s="50"/>
      <c r="N413" s="50"/>
      <c r="O413" s="50"/>
      <c r="P413" s="50"/>
      <c r="Q413" s="50"/>
      <c r="R413" s="50"/>
      <c r="S413" s="50"/>
      <c r="T413" s="50"/>
      <c r="U413" s="50"/>
      <c r="V413" s="50"/>
      <c r="W413" s="50"/>
      <c r="X413" s="50"/>
      <c r="Y413" s="50"/>
      <c r="Z413" s="50"/>
      <c r="AA413" s="50"/>
      <c r="AB413" s="50"/>
    </row>
    <row r="414" customFormat="false" ht="15.75" hidden="false" customHeight="false" outlineLevel="0" collapsed="false">
      <c r="A414" s="50"/>
      <c r="B414" s="50"/>
      <c r="C414" s="5"/>
      <c r="D414" s="48"/>
      <c r="E414" s="50"/>
      <c r="F414" s="5"/>
      <c r="G414" s="5"/>
      <c r="H414" s="5"/>
      <c r="I414" s="5"/>
      <c r="J414" s="5"/>
      <c r="K414" s="50"/>
      <c r="L414" s="50"/>
      <c r="M414" s="50"/>
      <c r="N414" s="50"/>
      <c r="O414" s="50"/>
      <c r="P414" s="50"/>
      <c r="Q414" s="50"/>
      <c r="R414" s="50"/>
      <c r="S414" s="50"/>
      <c r="T414" s="50"/>
      <c r="U414" s="50"/>
      <c r="V414" s="50"/>
      <c r="W414" s="50"/>
      <c r="X414" s="50"/>
      <c r="Y414" s="50"/>
      <c r="Z414" s="50"/>
      <c r="AA414" s="50"/>
      <c r="AB414" s="50"/>
    </row>
    <row r="415" customFormat="false" ht="15.75" hidden="false" customHeight="false" outlineLevel="0" collapsed="false">
      <c r="A415" s="50"/>
      <c r="B415" s="50"/>
      <c r="C415" s="5"/>
      <c r="D415" s="48"/>
      <c r="E415" s="50"/>
      <c r="F415" s="5"/>
      <c r="G415" s="5"/>
      <c r="H415" s="5"/>
      <c r="I415" s="5"/>
      <c r="J415" s="5"/>
      <c r="K415" s="50"/>
      <c r="L415" s="50"/>
      <c r="M415" s="50"/>
      <c r="N415" s="50"/>
      <c r="O415" s="50"/>
      <c r="P415" s="50"/>
      <c r="Q415" s="50"/>
      <c r="R415" s="50"/>
      <c r="S415" s="50"/>
      <c r="T415" s="50"/>
      <c r="U415" s="50"/>
      <c r="V415" s="50"/>
      <c r="W415" s="50"/>
      <c r="X415" s="50"/>
      <c r="Y415" s="50"/>
      <c r="Z415" s="50"/>
      <c r="AA415" s="50"/>
      <c r="AB415" s="50"/>
    </row>
    <row r="416" customFormat="false" ht="15.75" hidden="false" customHeight="false" outlineLevel="0" collapsed="false">
      <c r="A416" s="50"/>
      <c r="B416" s="50"/>
      <c r="C416" s="5"/>
      <c r="D416" s="48"/>
      <c r="E416" s="50"/>
      <c r="F416" s="5"/>
      <c r="G416" s="5"/>
      <c r="H416" s="5"/>
      <c r="I416" s="5"/>
      <c r="J416" s="5"/>
      <c r="K416" s="50"/>
      <c r="L416" s="50"/>
      <c r="M416" s="50"/>
      <c r="N416" s="50"/>
      <c r="O416" s="50"/>
      <c r="P416" s="50"/>
      <c r="Q416" s="50"/>
      <c r="R416" s="50"/>
      <c r="S416" s="50"/>
      <c r="T416" s="50"/>
      <c r="U416" s="50"/>
      <c r="V416" s="50"/>
      <c r="W416" s="50"/>
      <c r="X416" s="50"/>
      <c r="Y416" s="50"/>
      <c r="Z416" s="50"/>
      <c r="AA416" s="50"/>
      <c r="AB416" s="50"/>
    </row>
    <row r="417" customFormat="false" ht="15.75" hidden="false" customHeight="false" outlineLevel="0" collapsed="false">
      <c r="A417" s="50"/>
      <c r="B417" s="50"/>
      <c r="C417" s="5"/>
      <c r="D417" s="48"/>
      <c r="E417" s="50"/>
      <c r="F417" s="5"/>
      <c r="G417" s="5"/>
      <c r="H417" s="5"/>
      <c r="I417" s="5"/>
      <c r="J417" s="5"/>
      <c r="K417" s="50"/>
      <c r="L417" s="50"/>
      <c r="M417" s="50"/>
      <c r="N417" s="50"/>
      <c r="O417" s="50"/>
      <c r="P417" s="50"/>
      <c r="Q417" s="50"/>
      <c r="R417" s="50"/>
      <c r="S417" s="50"/>
      <c r="T417" s="50"/>
      <c r="U417" s="50"/>
      <c r="V417" s="50"/>
      <c r="W417" s="50"/>
      <c r="X417" s="50"/>
      <c r="Y417" s="50"/>
      <c r="Z417" s="50"/>
      <c r="AA417" s="50"/>
      <c r="AB417" s="50"/>
    </row>
    <row r="418" customFormat="false" ht="15.75" hidden="false" customHeight="false" outlineLevel="0" collapsed="false">
      <c r="A418" s="50"/>
      <c r="B418" s="50"/>
      <c r="C418" s="5"/>
      <c r="D418" s="48"/>
      <c r="E418" s="50"/>
      <c r="F418" s="5"/>
      <c r="G418" s="5"/>
      <c r="H418" s="5"/>
      <c r="I418" s="5"/>
      <c r="J418" s="5"/>
      <c r="K418" s="50"/>
      <c r="L418" s="50"/>
      <c r="M418" s="50"/>
      <c r="N418" s="50"/>
      <c r="O418" s="50"/>
      <c r="P418" s="50"/>
      <c r="Q418" s="50"/>
      <c r="R418" s="50"/>
      <c r="S418" s="50"/>
      <c r="T418" s="50"/>
      <c r="U418" s="50"/>
      <c r="V418" s="50"/>
      <c r="W418" s="50"/>
      <c r="X418" s="50"/>
      <c r="Y418" s="50"/>
      <c r="Z418" s="50"/>
      <c r="AA418" s="50"/>
      <c r="AB418" s="50"/>
    </row>
    <row r="419" customFormat="false" ht="15.75" hidden="false" customHeight="false" outlineLevel="0" collapsed="false">
      <c r="A419" s="50"/>
      <c r="B419" s="50"/>
      <c r="C419" s="5"/>
      <c r="D419" s="48"/>
      <c r="E419" s="50"/>
      <c r="F419" s="5"/>
      <c r="G419" s="5"/>
      <c r="H419" s="5"/>
      <c r="I419" s="5"/>
      <c r="J419" s="5"/>
      <c r="K419" s="50"/>
      <c r="L419" s="50"/>
      <c r="M419" s="50"/>
      <c r="N419" s="50"/>
      <c r="O419" s="50"/>
      <c r="P419" s="50"/>
      <c r="Q419" s="50"/>
      <c r="R419" s="50"/>
      <c r="S419" s="50"/>
      <c r="T419" s="50"/>
      <c r="U419" s="50"/>
      <c r="V419" s="50"/>
      <c r="W419" s="50"/>
      <c r="X419" s="50"/>
      <c r="Y419" s="50"/>
      <c r="Z419" s="50"/>
      <c r="AA419" s="50"/>
      <c r="AB419" s="50"/>
    </row>
    <row r="420" customFormat="false" ht="15.75" hidden="false" customHeight="false" outlineLevel="0" collapsed="false">
      <c r="A420" s="50"/>
      <c r="B420" s="50"/>
      <c r="C420" s="5"/>
      <c r="D420" s="48"/>
      <c r="E420" s="50"/>
      <c r="F420" s="5"/>
      <c r="G420" s="5"/>
      <c r="H420" s="5"/>
      <c r="I420" s="5"/>
      <c r="J420" s="5"/>
      <c r="K420" s="50"/>
      <c r="L420" s="50"/>
      <c r="M420" s="50"/>
      <c r="N420" s="50"/>
      <c r="O420" s="50"/>
      <c r="P420" s="50"/>
      <c r="Q420" s="50"/>
      <c r="R420" s="50"/>
      <c r="S420" s="50"/>
      <c r="T420" s="50"/>
      <c r="U420" s="50"/>
      <c r="V420" s="50"/>
      <c r="W420" s="50"/>
      <c r="X420" s="50"/>
      <c r="Y420" s="50"/>
      <c r="Z420" s="50"/>
      <c r="AA420" s="50"/>
      <c r="AB420" s="50"/>
    </row>
    <row r="421" customFormat="false" ht="15.75" hidden="false" customHeight="false" outlineLevel="0" collapsed="false">
      <c r="A421" s="50"/>
      <c r="B421" s="50"/>
      <c r="C421" s="5"/>
      <c r="D421" s="48"/>
      <c r="E421" s="50"/>
      <c r="F421" s="5"/>
      <c r="G421" s="5"/>
      <c r="H421" s="5"/>
      <c r="I421" s="5"/>
      <c r="J421" s="5"/>
      <c r="K421" s="50"/>
      <c r="L421" s="50"/>
      <c r="M421" s="50"/>
      <c r="N421" s="50"/>
      <c r="O421" s="50"/>
      <c r="P421" s="50"/>
      <c r="Q421" s="50"/>
      <c r="R421" s="50"/>
      <c r="S421" s="50"/>
      <c r="T421" s="50"/>
      <c r="U421" s="50"/>
      <c r="V421" s="50"/>
      <c r="W421" s="50"/>
      <c r="X421" s="50"/>
      <c r="Y421" s="50"/>
      <c r="Z421" s="50"/>
      <c r="AA421" s="50"/>
      <c r="AB421" s="50"/>
    </row>
    <row r="422" customFormat="false" ht="15.75" hidden="false" customHeight="false" outlineLevel="0" collapsed="false">
      <c r="A422" s="50"/>
      <c r="B422" s="50"/>
      <c r="C422" s="5"/>
      <c r="D422" s="48"/>
      <c r="E422" s="50"/>
      <c r="F422" s="5"/>
      <c r="G422" s="5"/>
      <c r="H422" s="5"/>
      <c r="I422" s="5"/>
      <c r="J422" s="5"/>
      <c r="K422" s="50"/>
      <c r="L422" s="50"/>
      <c r="M422" s="50"/>
      <c r="N422" s="50"/>
      <c r="O422" s="50"/>
      <c r="P422" s="50"/>
      <c r="Q422" s="50"/>
      <c r="R422" s="50"/>
      <c r="S422" s="50"/>
      <c r="T422" s="50"/>
      <c r="U422" s="50"/>
      <c r="V422" s="50"/>
      <c r="W422" s="50"/>
      <c r="X422" s="50"/>
      <c r="Y422" s="50"/>
      <c r="Z422" s="50"/>
      <c r="AA422" s="50"/>
      <c r="AB422" s="50"/>
    </row>
    <row r="423" customFormat="false" ht="15.75" hidden="false" customHeight="false" outlineLevel="0" collapsed="false">
      <c r="A423" s="50"/>
      <c r="B423" s="50"/>
      <c r="C423" s="5"/>
      <c r="D423" s="48"/>
      <c r="E423" s="50"/>
      <c r="F423" s="5"/>
      <c r="G423" s="5"/>
      <c r="H423" s="5"/>
      <c r="I423" s="5"/>
      <c r="J423" s="5"/>
      <c r="K423" s="50"/>
      <c r="L423" s="50"/>
      <c r="M423" s="50"/>
      <c r="N423" s="50"/>
      <c r="O423" s="50"/>
      <c r="P423" s="50"/>
      <c r="Q423" s="50"/>
      <c r="R423" s="50"/>
      <c r="S423" s="50"/>
      <c r="T423" s="50"/>
      <c r="U423" s="50"/>
      <c r="V423" s="50"/>
      <c r="W423" s="50"/>
      <c r="X423" s="50"/>
      <c r="Y423" s="50"/>
      <c r="Z423" s="50"/>
      <c r="AA423" s="50"/>
      <c r="AB423" s="50"/>
    </row>
    <row r="424" customFormat="false" ht="15.75" hidden="false" customHeight="false" outlineLevel="0" collapsed="false">
      <c r="A424" s="50"/>
      <c r="B424" s="50"/>
      <c r="C424" s="5"/>
      <c r="D424" s="48"/>
      <c r="E424" s="50"/>
      <c r="F424" s="5"/>
      <c r="G424" s="5"/>
      <c r="H424" s="5"/>
      <c r="I424" s="5"/>
      <c r="J424" s="5"/>
      <c r="K424" s="50"/>
      <c r="L424" s="50"/>
      <c r="M424" s="50"/>
      <c r="N424" s="50"/>
      <c r="O424" s="50"/>
      <c r="P424" s="50"/>
      <c r="Q424" s="50"/>
      <c r="R424" s="50"/>
      <c r="S424" s="50"/>
      <c r="T424" s="50"/>
      <c r="U424" s="50"/>
      <c r="V424" s="50"/>
      <c r="W424" s="50"/>
      <c r="X424" s="50"/>
      <c r="Y424" s="50"/>
      <c r="Z424" s="50"/>
      <c r="AA424" s="50"/>
      <c r="AB424" s="50"/>
    </row>
    <row r="425" customFormat="false" ht="15.75" hidden="false" customHeight="false" outlineLevel="0" collapsed="false">
      <c r="A425" s="50"/>
      <c r="B425" s="50"/>
      <c r="C425" s="5"/>
      <c r="D425" s="48"/>
      <c r="E425" s="50"/>
      <c r="F425" s="5"/>
      <c r="G425" s="5"/>
      <c r="H425" s="5"/>
      <c r="I425" s="5"/>
      <c r="J425" s="5"/>
      <c r="K425" s="50"/>
      <c r="L425" s="50"/>
      <c r="M425" s="50"/>
      <c r="N425" s="50"/>
      <c r="O425" s="50"/>
      <c r="P425" s="50"/>
      <c r="Q425" s="50"/>
      <c r="R425" s="50"/>
      <c r="S425" s="50"/>
      <c r="T425" s="50"/>
      <c r="U425" s="50"/>
      <c r="V425" s="50"/>
      <c r="W425" s="50"/>
      <c r="X425" s="50"/>
      <c r="Y425" s="50"/>
      <c r="Z425" s="50"/>
      <c r="AA425" s="50"/>
      <c r="AB425" s="50"/>
    </row>
    <row r="426" customFormat="false" ht="15.75" hidden="false" customHeight="false" outlineLevel="0" collapsed="false">
      <c r="A426" s="50"/>
      <c r="B426" s="50"/>
      <c r="C426" s="5"/>
      <c r="D426" s="48"/>
      <c r="E426" s="50"/>
      <c r="F426" s="5"/>
      <c r="G426" s="5"/>
      <c r="H426" s="5"/>
      <c r="I426" s="5"/>
      <c r="J426" s="5"/>
      <c r="K426" s="50"/>
      <c r="L426" s="50"/>
      <c r="M426" s="50"/>
      <c r="N426" s="50"/>
      <c r="O426" s="50"/>
      <c r="P426" s="50"/>
      <c r="Q426" s="50"/>
      <c r="R426" s="50"/>
      <c r="S426" s="50"/>
      <c r="T426" s="50"/>
      <c r="U426" s="50"/>
      <c r="V426" s="50"/>
      <c r="W426" s="50"/>
      <c r="X426" s="50"/>
      <c r="Y426" s="50"/>
      <c r="Z426" s="50"/>
      <c r="AA426" s="50"/>
      <c r="AB426" s="50"/>
    </row>
    <row r="427" customFormat="false" ht="15.75" hidden="false" customHeight="false" outlineLevel="0" collapsed="false">
      <c r="A427" s="50"/>
      <c r="B427" s="50"/>
      <c r="C427" s="5"/>
      <c r="D427" s="48"/>
      <c r="E427" s="50"/>
      <c r="F427" s="5"/>
      <c r="G427" s="5"/>
      <c r="H427" s="5"/>
      <c r="I427" s="5"/>
      <c r="J427" s="5"/>
      <c r="K427" s="50"/>
      <c r="L427" s="50"/>
      <c r="M427" s="50"/>
      <c r="N427" s="50"/>
      <c r="O427" s="50"/>
      <c r="P427" s="50"/>
      <c r="Q427" s="50"/>
      <c r="R427" s="50"/>
      <c r="S427" s="50"/>
      <c r="T427" s="50"/>
      <c r="U427" s="50"/>
      <c r="V427" s="50"/>
      <c r="W427" s="50"/>
      <c r="X427" s="50"/>
      <c r="Y427" s="50"/>
      <c r="Z427" s="50"/>
      <c r="AA427" s="50"/>
      <c r="AB427" s="50"/>
    </row>
    <row r="428" customFormat="false" ht="15.75" hidden="false" customHeight="false" outlineLevel="0" collapsed="false">
      <c r="A428" s="50"/>
      <c r="B428" s="50"/>
      <c r="C428" s="5"/>
      <c r="D428" s="48"/>
      <c r="E428" s="50"/>
      <c r="F428" s="5"/>
      <c r="G428" s="5"/>
      <c r="H428" s="5"/>
      <c r="I428" s="5"/>
      <c r="J428" s="5"/>
      <c r="K428" s="50"/>
      <c r="L428" s="50"/>
      <c r="M428" s="50"/>
      <c r="N428" s="50"/>
      <c r="O428" s="50"/>
      <c r="P428" s="50"/>
      <c r="Q428" s="50"/>
      <c r="R428" s="50"/>
      <c r="S428" s="50"/>
      <c r="T428" s="50"/>
      <c r="U428" s="50"/>
      <c r="V428" s="50"/>
      <c r="W428" s="50"/>
      <c r="X428" s="50"/>
      <c r="Y428" s="50"/>
      <c r="Z428" s="50"/>
      <c r="AA428" s="50"/>
      <c r="AB428" s="50"/>
    </row>
    <row r="429" customFormat="false" ht="15.75" hidden="false" customHeight="false" outlineLevel="0" collapsed="false">
      <c r="A429" s="50"/>
      <c r="B429" s="50"/>
      <c r="C429" s="5"/>
      <c r="D429" s="48"/>
      <c r="E429" s="50"/>
      <c r="F429" s="5"/>
      <c r="G429" s="5"/>
      <c r="H429" s="5"/>
      <c r="I429" s="5"/>
      <c r="J429" s="5"/>
      <c r="K429" s="50"/>
      <c r="L429" s="50"/>
      <c r="M429" s="50"/>
      <c r="N429" s="50"/>
      <c r="O429" s="50"/>
      <c r="P429" s="50"/>
      <c r="Q429" s="50"/>
      <c r="R429" s="50"/>
      <c r="S429" s="50"/>
      <c r="T429" s="50"/>
      <c r="U429" s="50"/>
      <c r="V429" s="50"/>
      <c r="W429" s="50"/>
      <c r="X429" s="50"/>
      <c r="Y429" s="50"/>
      <c r="Z429" s="50"/>
      <c r="AA429" s="50"/>
      <c r="AB429" s="50"/>
    </row>
    <row r="430" customFormat="false" ht="15.75" hidden="false" customHeight="false" outlineLevel="0" collapsed="false">
      <c r="A430" s="50"/>
      <c r="B430" s="50"/>
      <c r="C430" s="5"/>
      <c r="D430" s="48"/>
      <c r="E430" s="50"/>
      <c r="F430" s="5"/>
      <c r="G430" s="5"/>
      <c r="H430" s="5"/>
      <c r="I430" s="5"/>
      <c r="J430" s="5"/>
      <c r="K430" s="50"/>
      <c r="L430" s="50"/>
      <c r="M430" s="50"/>
      <c r="N430" s="50"/>
      <c r="O430" s="50"/>
      <c r="P430" s="50"/>
      <c r="Q430" s="50"/>
      <c r="R430" s="50"/>
      <c r="S430" s="50"/>
      <c r="T430" s="50"/>
      <c r="U430" s="50"/>
      <c r="V430" s="50"/>
      <c r="W430" s="50"/>
      <c r="X430" s="50"/>
      <c r="Y430" s="50"/>
      <c r="Z430" s="50"/>
      <c r="AA430" s="50"/>
      <c r="AB430" s="50"/>
    </row>
    <row r="431" customFormat="false" ht="15.75" hidden="false" customHeight="false" outlineLevel="0" collapsed="false">
      <c r="A431" s="50"/>
      <c r="B431" s="50"/>
      <c r="C431" s="5"/>
      <c r="D431" s="48"/>
      <c r="E431" s="50"/>
      <c r="F431" s="5"/>
      <c r="G431" s="5"/>
      <c r="H431" s="5"/>
      <c r="I431" s="5"/>
      <c r="J431" s="5"/>
      <c r="K431" s="50"/>
      <c r="L431" s="50"/>
      <c r="M431" s="50"/>
      <c r="N431" s="50"/>
      <c r="O431" s="50"/>
      <c r="P431" s="50"/>
      <c r="Q431" s="50"/>
      <c r="R431" s="50"/>
      <c r="S431" s="50"/>
      <c r="T431" s="50"/>
      <c r="U431" s="50"/>
      <c r="V431" s="50"/>
      <c r="W431" s="50"/>
      <c r="X431" s="50"/>
      <c r="Y431" s="50"/>
      <c r="Z431" s="50"/>
      <c r="AA431" s="50"/>
      <c r="AB431" s="50"/>
    </row>
    <row r="432" customFormat="false" ht="15.75" hidden="false" customHeight="false" outlineLevel="0" collapsed="false">
      <c r="A432" s="50"/>
      <c r="B432" s="50"/>
      <c r="C432" s="5"/>
      <c r="D432" s="48"/>
      <c r="E432" s="50"/>
      <c r="F432" s="5"/>
      <c r="G432" s="5"/>
      <c r="H432" s="5"/>
      <c r="I432" s="5"/>
      <c r="J432" s="5"/>
      <c r="K432" s="50"/>
      <c r="L432" s="50"/>
      <c r="M432" s="50"/>
      <c r="N432" s="50"/>
      <c r="O432" s="50"/>
      <c r="P432" s="50"/>
      <c r="Q432" s="50"/>
      <c r="R432" s="50"/>
      <c r="S432" s="50"/>
      <c r="T432" s="50"/>
      <c r="U432" s="50"/>
      <c r="V432" s="50"/>
      <c r="W432" s="50"/>
      <c r="X432" s="50"/>
      <c r="Y432" s="50"/>
      <c r="Z432" s="50"/>
      <c r="AA432" s="50"/>
      <c r="AB432" s="50"/>
    </row>
    <row r="433" customFormat="false" ht="15.75" hidden="false" customHeight="false" outlineLevel="0" collapsed="false">
      <c r="A433" s="50"/>
      <c r="B433" s="50"/>
      <c r="C433" s="5"/>
      <c r="D433" s="48"/>
      <c r="E433" s="50"/>
      <c r="F433" s="5"/>
      <c r="G433" s="5"/>
      <c r="H433" s="5"/>
      <c r="I433" s="5"/>
      <c r="J433" s="5"/>
      <c r="K433" s="50"/>
      <c r="L433" s="50"/>
      <c r="M433" s="50"/>
      <c r="N433" s="50"/>
      <c r="O433" s="50"/>
      <c r="P433" s="50"/>
      <c r="Q433" s="50"/>
      <c r="R433" s="50"/>
      <c r="S433" s="50"/>
      <c r="T433" s="50"/>
      <c r="U433" s="50"/>
      <c r="V433" s="50"/>
      <c r="W433" s="50"/>
      <c r="X433" s="50"/>
      <c r="Y433" s="50"/>
      <c r="Z433" s="50"/>
      <c r="AA433" s="50"/>
      <c r="AB433" s="50"/>
    </row>
    <row r="434" customFormat="false" ht="15.75" hidden="false" customHeight="false" outlineLevel="0" collapsed="false">
      <c r="A434" s="50"/>
      <c r="B434" s="50"/>
      <c r="C434" s="5"/>
      <c r="D434" s="48"/>
      <c r="E434" s="50"/>
      <c r="F434" s="5"/>
      <c r="G434" s="5"/>
      <c r="H434" s="5"/>
      <c r="I434" s="5"/>
      <c r="J434" s="5"/>
      <c r="K434" s="50"/>
      <c r="L434" s="50"/>
      <c r="M434" s="50"/>
      <c r="N434" s="50"/>
      <c r="O434" s="50"/>
      <c r="P434" s="50"/>
      <c r="Q434" s="50"/>
      <c r="R434" s="50"/>
      <c r="S434" s="50"/>
      <c r="T434" s="50"/>
      <c r="U434" s="50"/>
      <c r="V434" s="50"/>
      <c r="W434" s="50"/>
      <c r="X434" s="50"/>
      <c r="Y434" s="50"/>
      <c r="Z434" s="50"/>
      <c r="AA434" s="50"/>
      <c r="AB434" s="50"/>
    </row>
    <row r="435" customFormat="false" ht="15.75" hidden="false" customHeight="false" outlineLevel="0" collapsed="false">
      <c r="A435" s="50"/>
      <c r="B435" s="50"/>
      <c r="C435" s="5"/>
      <c r="D435" s="48"/>
      <c r="E435" s="50"/>
      <c r="F435" s="5"/>
      <c r="G435" s="5"/>
      <c r="H435" s="5"/>
      <c r="I435" s="5"/>
      <c r="J435" s="5"/>
      <c r="K435" s="50"/>
      <c r="L435" s="50"/>
      <c r="M435" s="50"/>
      <c r="N435" s="50"/>
      <c r="O435" s="50"/>
      <c r="P435" s="50"/>
      <c r="Q435" s="50"/>
      <c r="R435" s="50"/>
      <c r="S435" s="50"/>
      <c r="T435" s="50"/>
      <c r="U435" s="50"/>
      <c r="V435" s="50"/>
      <c r="W435" s="50"/>
      <c r="X435" s="50"/>
      <c r="Y435" s="50"/>
      <c r="Z435" s="50"/>
      <c r="AA435" s="50"/>
      <c r="AB435" s="50"/>
    </row>
    <row r="436" customFormat="false" ht="15.75" hidden="false" customHeight="false" outlineLevel="0" collapsed="false">
      <c r="A436" s="50"/>
      <c r="B436" s="50"/>
      <c r="C436" s="5"/>
      <c r="D436" s="48"/>
      <c r="E436" s="50"/>
      <c r="F436" s="5"/>
      <c r="G436" s="5"/>
      <c r="H436" s="5"/>
      <c r="I436" s="5"/>
      <c r="J436" s="5"/>
      <c r="K436" s="50"/>
      <c r="L436" s="50"/>
      <c r="M436" s="50"/>
      <c r="N436" s="50"/>
      <c r="O436" s="50"/>
      <c r="P436" s="50"/>
      <c r="Q436" s="50"/>
      <c r="R436" s="50"/>
      <c r="S436" s="50"/>
      <c r="T436" s="50"/>
      <c r="U436" s="50"/>
      <c r="V436" s="50"/>
      <c r="W436" s="50"/>
      <c r="X436" s="50"/>
      <c r="Y436" s="50"/>
      <c r="Z436" s="50"/>
      <c r="AA436" s="50"/>
      <c r="AB436" s="50"/>
    </row>
    <row r="437" customFormat="false" ht="15.75" hidden="false" customHeight="false" outlineLevel="0" collapsed="false">
      <c r="A437" s="50"/>
      <c r="B437" s="50"/>
      <c r="C437" s="5"/>
      <c r="D437" s="48"/>
      <c r="E437" s="50"/>
      <c r="F437" s="5"/>
      <c r="G437" s="5"/>
      <c r="H437" s="5"/>
      <c r="I437" s="5"/>
      <c r="J437" s="5"/>
      <c r="K437" s="50"/>
      <c r="L437" s="50"/>
      <c r="M437" s="50"/>
      <c r="N437" s="50"/>
      <c r="O437" s="50"/>
      <c r="P437" s="50"/>
      <c r="Q437" s="50"/>
      <c r="R437" s="50"/>
      <c r="S437" s="50"/>
      <c r="T437" s="50"/>
      <c r="U437" s="50"/>
      <c r="V437" s="50"/>
      <c r="W437" s="50"/>
      <c r="X437" s="50"/>
      <c r="Y437" s="50"/>
      <c r="Z437" s="50"/>
      <c r="AA437" s="50"/>
      <c r="AB437" s="50"/>
    </row>
    <row r="438" customFormat="false" ht="15.75" hidden="false" customHeight="false" outlineLevel="0" collapsed="false">
      <c r="A438" s="50"/>
      <c r="B438" s="50"/>
      <c r="C438" s="5"/>
      <c r="D438" s="48"/>
      <c r="E438" s="50"/>
      <c r="F438" s="5"/>
      <c r="G438" s="5"/>
      <c r="H438" s="5"/>
      <c r="I438" s="5"/>
      <c r="J438" s="5"/>
      <c r="K438" s="50"/>
      <c r="L438" s="50"/>
      <c r="M438" s="50"/>
      <c r="N438" s="50"/>
      <c r="O438" s="50"/>
      <c r="P438" s="50"/>
      <c r="Q438" s="50"/>
      <c r="R438" s="50"/>
      <c r="S438" s="50"/>
      <c r="T438" s="50"/>
      <c r="U438" s="50"/>
      <c r="V438" s="50"/>
      <c r="W438" s="50"/>
      <c r="X438" s="50"/>
      <c r="Y438" s="50"/>
      <c r="Z438" s="50"/>
      <c r="AA438" s="50"/>
      <c r="AB438" s="50"/>
    </row>
    <row r="439" customFormat="false" ht="15.75" hidden="false" customHeight="false" outlineLevel="0" collapsed="false">
      <c r="A439" s="50"/>
      <c r="B439" s="50"/>
      <c r="C439" s="5"/>
      <c r="D439" s="48"/>
      <c r="E439" s="50"/>
      <c r="F439" s="5"/>
      <c r="G439" s="5"/>
      <c r="H439" s="5"/>
      <c r="I439" s="5"/>
      <c r="J439" s="5"/>
      <c r="K439" s="50"/>
      <c r="L439" s="50"/>
      <c r="M439" s="50"/>
      <c r="N439" s="50"/>
      <c r="O439" s="50"/>
      <c r="P439" s="50"/>
      <c r="Q439" s="50"/>
      <c r="R439" s="50"/>
      <c r="S439" s="50"/>
      <c r="T439" s="50"/>
      <c r="U439" s="50"/>
      <c r="V439" s="50"/>
      <c r="W439" s="50"/>
      <c r="X439" s="50"/>
      <c r="Y439" s="50"/>
      <c r="Z439" s="50"/>
      <c r="AA439" s="50"/>
      <c r="AB439" s="50"/>
    </row>
    <row r="440" customFormat="false" ht="15.75" hidden="false" customHeight="false" outlineLevel="0" collapsed="false">
      <c r="A440" s="50"/>
      <c r="B440" s="50"/>
      <c r="C440" s="5"/>
      <c r="D440" s="48"/>
      <c r="E440" s="50"/>
      <c r="F440" s="5"/>
      <c r="G440" s="5"/>
      <c r="H440" s="5"/>
      <c r="I440" s="5"/>
      <c r="J440" s="5"/>
      <c r="K440" s="50"/>
      <c r="L440" s="50"/>
      <c r="M440" s="50"/>
      <c r="N440" s="50"/>
      <c r="O440" s="50"/>
      <c r="P440" s="50"/>
      <c r="Q440" s="50"/>
      <c r="R440" s="50"/>
      <c r="S440" s="50"/>
      <c r="T440" s="50"/>
      <c r="U440" s="50"/>
      <c r="V440" s="50"/>
      <c r="W440" s="50"/>
      <c r="X440" s="50"/>
      <c r="Y440" s="50"/>
      <c r="Z440" s="50"/>
      <c r="AA440" s="50"/>
      <c r="AB440" s="50"/>
    </row>
    <row r="441" customFormat="false" ht="15.75" hidden="false" customHeight="false" outlineLevel="0" collapsed="false">
      <c r="A441" s="50"/>
      <c r="B441" s="50"/>
      <c r="C441" s="5"/>
      <c r="D441" s="48"/>
      <c r="E441" s="50"/>
      <c r="F441" s="5"/>
      <c r="G441" s="5"/>
      <c r="H441" s="5"/>
      <c r="I441" s="5"/>
      <c r="J441" s="5"/>
      <c r="K441" s="50"/>
      <c r="L441" s="50"/>
      <c r="M441" s="50"/>
      <c r="N441" s="50"/>
      <c r="O441" s="50"/>
      <c r="P441" s="50"/>
      <c r="Q441" s="50"/>
      <c r="R441" s="50"/>
      <c r="S441" s="50"/>
      <c r="T441" s="50"/>
      <c r="U441" s="50"/>
      <c r="V441" s="50"/>
      <c r="W441" s="50"/>
      <c r="X441" s="50"/>
      <c r="Y441" s="50"/>
      <c r="Z441" s="50"/>
      <c r="AA441" s="50"/>
      <c r="AB441" s="50"/>
    </row>
    <row r="442" customFormat="false" ht="15.75" hidden="false" customHeight="false" outlineLevel="0" collapsed="false">
      <c r="A442" s="50"/>
      <c r="B442" s="50"/>
      <c r="C442" s="5"/>
      <c r="D442" s="48"/>
      <c r="E442" s="50"/>
      <c r="F442" s="5"/>
      <c r="G442" s="5"/>
      <c r="H442" s="5"/>
      <c r="I442" s="5"/>
      <c r="J442" s="5"/>
      <c r="K442" s="50"/>
      <c r="L442" s="50"/>
      <c r="M442" s="50"/>
      <c r="N442" s="50"/>
      <c r="O442" s="50"/>
      <c r="P442" s="50"/>
      <c r="Q442" s="50"/>
      <c r="R442" s="50"/>
      <c r="S442" s="50"/>
      <c r="T442" s="50"/>
      <c r="U442" s="50"/>
      <c r="V442" s="50"/>
      <c r="W442" s="50"/>
      <c r="X442" s="50"/>
      <c r="Y442" s="50"/>
      <c r="Z442" s="50"/>
      <c r="AA442" s="50"/>
      <c r="AB442" s="50"/>
    </row>
    <row r="443" customFormat="false" ht="15.75" hidden="false" customHeight="false" outlineLevel="0" collapsed="false">
      <c r="A443" s="50"/>
      <c r="B443" s="50"/>
      <c r="C443" s="5"/>
      <c r="D443" s="48"/>
      <c r="E443" s="50"/>
      <c r="F443" s="5"/>
      <c r="G443" s="5"/>
      <c r="H443" s="5"/>
      <c r="I443" s="5"/>
      <c r="J443" s="5"/>
      <c r="K443" s="50"/>
      <c r="L443" s="50"/>
      <c r="M443" s="50"/>
      <c r="N443" s="50"/>
      <c r="O443" s="50"/>
      <c r="P443" s="50"/>
      <c r="Q443" s="50"/>
      <c r="R443" s="50"/>
      <c r="S443" s="50"/>
      <c r="T443" s="50"/>
      <c r="U443" s="50"/>
      <c r="V443" s="50"/>
      <c r="W443" s="50"/>
      <c r="X443" s="50"/>
      <c r="Y443" s="50"/>
      <c r="Z443" s="50"/>
      <c r="AA443" s="50"/>
      <c r="AB443" s="50"/>
    </row>
    <row r="444" customFormat="false" ht="15.75" hidden="false" customHeight="false" outlineLevel="0" collapsed="false">
      <c r="A444" s="50"/>
      <c r="B444" s="50"/>
      <c r="C444" s="5"/>
      <c r="D444" s="48"/>
      <c r="E444" s="50"/>
      <c r="F444" s="5"/>
      <c r="G444" s="5"/>
      <c r="H444" s="5"/>
      <c r="I444" s="5"/>
      <c r="J444" s="5"/>
      <c r="K444" s="50"/>
      <c r="L444" s="50"/>
      <c r="M444" s="50"/>
      <c r="N444" s="50"/>
      <c r="O444" s="50"/>
      <c r="P444" s="50"/>
      <c r="Q444" s="50"/>
      <c r="R444" s="50"/>
      <c r="S444" s="50"/>
      <c r="T444" s="50"/>
      <c r="U444" s="50"/>
      <c r="V444" s="50"/>
      <c r="W444" s="50"/>
      <c r="X444" s="50"/>
      <c r="Y444" s="50"/>
      <c r="Z444" s="50"/>
      <c r="AA444" s="50"/>
      <c r="AB444" s="50"/>
    </row>
    <row r="445" customFormat="false" ht="15.75" hidden="false" customHeight="false" outlineLevel="0" collapsed="false">
      <c r="A445" s="50"/>
      <c r="B445" s="50"/>
      <c r="C445" s="5"/>
      <c r="D445" s="48"/>
      <c r="E445" s="50"/>
      <c r="F445" s="5"/>
      <c r="G445" s="5"/>
      <c r="H445" s="5"/>
      <c r="I445" s="5"/>
      <c r="J445" s="5"/>
      <c r="K445" s="50"/>
      <c r="L445" s="50"/>
      <c r="M445" s="50"/>
      <c r="N445" s="50"/>
      <c r="O445" s="50"/>
      <c r="P445" s="50"/>
      <c r="Q445" s="50"/>
      <c r="R445" s="50"/>
      <c r="S445" s="50"/>
      <c r="T445" s="50"/>
      <c r="U445" s="50"/>
      <c r="V445" s="50"/>
      <c r="W445" s="50"/>
      <c r="X445" s="50"/>
      <c r="Y445" s="50"/>
      <c r="Z445" s="50"/>
      <c r="AA445" s="50"/>
      <c r="AB445" s="50"/>
    </row>
    <row r="446" customFormat="false" ht="15.75" hidden="false" customHeight="false" outlineLevel="0" collapsed="false">
      <c r="A446" s="50"/>
      <c r="B446" s="50"/>
      <c r="C446" s="5"/>
      <c r="D446" s="48"/>
      <c r="E446" s="50"/>
      <c r="F446" s="5"/>
      <c r="G446" s="5"/>
      <c r="H446" s="5"/>
      <c r="I446" s="5"/>
      <c r="J446" s="5"/>
      <c r="K446" s="50"/>
      <c r="L446" s="50"/>
      <c r="M446" s="50"/>
      <c r="N446" s="50"/>
      <c r="O446" s="50"/>
      <c r="P446" s="50"/>
      <c r="Q446" s="50"/>
      <c r="R446" s="50"/>
      <c r="S446" s="50"/>
      <c r="T446" s="50"/>
      <c r="U446" s="50"/>
      <c r="V446" s="50"/>
      <c r="W446" s="50"/>
      <c r="X446" s="50"/>
      <c r="Y446" s="50"/>
      <c r="Z446" s="50"/>
      <c r="AA446" s="50"/>
      <c r="AB446" s="50"/>
    </row>
    <row r="447" customFormat="false" ht="15.75" hidden="false" customHeight="false" outlineLevel="0" collapsed="false">
      <c r="A447" s="50"/>
      <c r="B447" s="50"/>
      <c r="C447" s="5"/>
      <c r="D447" s="48"/>
      <c r="E447" s="50"/>
      <c r="F447" s="5"/>
      <c r="G447" s="5"/>
      <c r="H447" s="5"/>
      <c r="I447" s="5"/>
      <c r="J447" s="5"/>
      <c r="K447" s="50"/>
      <c r="L447" s="50"/>
      <c r="M447" s="50"/>
      <c r="N447" s="50"/>
      <c r="O447" s="50"/>
      <c r="P447" s="50"/>
      <c r="Q447" s="50"/>
      <c r="R447" s="50"/>
      <c r="S447" s="50"/>
      <c r="T447" s="50"/>
      <c r="U447" s="50"/>
      <c r="V447" s="50"/>
      <c r="W447" s="50"/>
      <c r="X447" s="50"/>
      <c r="Y447" s="50"/>
      <c r="Z447" s="50"/>
      <c r="AA447" s="50"/>
      <c r="AB447" s="50"/>
    </row>
    <row r="448" customFormat="false" ht="15.75" hidden="false" customHeight="false" outlineLevel="0" collapsed="false">
      <c r="A448" s="50"/>
      <c r="B448" s="50"/>
      <c r="C448" s="5"/>
      <c r="D448" s="48"/>
      <c r="E448" s="50"/>
      <c r="F448" s="5"/>
      <c r="G448" s="5"/>
      <c r="H448" s="5"/>
      <c r="I448" s="5"/>
      <c r="J448" s="5"/>
      <c r="K448" s="50"/>
      <c r="L448" s="50"/>
      <c r="M448" s="50"/>
      <c r="N448" s="50"/>
      <c r="O448" s="50"/>
      <c r="P448" s="50"/>
      <c r="Q448" s="50"/>
      <c r="R448" s="50"/>
      <c r="S448" s="50"/>
      <c r="T448" s="50"/>
      <c r="U448" s="50"/>
      <c r="V448" s="50"/>
      <c r="W448" s="50"/>
      <c r="X448" s="50"/>
      <c r="Y448" s="50"/>
      <c r="Z448" s="50"/>
      <c r="AA448" s="50"/>
      <c r="AB448" s="50"/>
    </row>
    <row r="449" customFormat="false" ht="15.75" hidden="false" customHeight="false" outlineLevel="0" collapsed="false">
      <c r="A449" s="50"/>
      <c r="B449" s="50"/>
      <c r="C449" s="5"/>
      <c r="D449" s="48"/>
      <c r="E449" s="50"/>
      <c r="F449" s="5"/>
      <c r="G449" s="5"/>
      <c r="H449" s="5"/>
      <c r="I449" s="5"/>
      <c r="J449" s="5"/>
      <c r="K449" s="50"/>
      <c r="L449" s="50"/>
      <c r="M449" s="50"/>
      <c r="N449" s="50"/>
      <c r="O449" s="50"/>
      <c r="P449" s="50"/>
      <c r="Q449" s="50"/>
      <c r="R449" s="50"/>
      <c r="S449" s="50"/>
      <c r="T449" s="50"/>
      <c r="U449" s="50"/>
      <c r="V449" s="50"/>
      <c r="W449" s="50"/>
      <c r="X449" s="50"/>
      <c r="Y449" s="50"/>
      <c r="Z449" s="50"/>
      <c r="AA449" s="50"/>
      <c r="AB449" s="50"/>
    </row>
    <row r="450" customFormat="false" ht="15.75" hidden="false" customHeight="false" outlineLevel="0" collapsed="false">
      <c r="A450" s="50"/>
      <c r="B450" s="50"/>
      <c r="C450" s="5"/>
      <c r="D450" s="48"/>
      <c r="E450" s="50"/>
      <c r="F450" s="5"/>
      <c r="G450" s="5"/>
      <c r="H450" s="5"/>
      <c r="I450" s="5"/>
      <c r="J450" s="5"/>
      <c r="K450" s="50"/>
      <c r="L450" s="50"/>
      <c r="M450" s="50"/>
      <c r="N450" s="50"/>
      <c r="O450" s="50"/>
      <c r="P450" s="50"/>
      <c r="Q450" s="50"/>
      <c r="R450" s="50"/>
      <c r="S450" s="50"/>
      <c r="T450" s="50"/>
      <c r="U450" s="50"/>
      <c r="V450" s="50"/>
      <c r="W450" s="50"/>
      <c r="X450" s="50"/>
      <c r="Y450" s="50"/>
      <c r="Z450" s="50"/>
      <c r="AA450" s="50"/>
      <c r="AB450" s="50"/>
    </row>
    <row r="451" customFormat="false" ht="15.75" hidden="false" customHeight="false" outlineLevel="0" collapsed="false">
      <c r="A451" s="50"/>
      <c r="B451" s="50"/>
      <c r="C451" s="5"/>
      <c r="D451" s="48"/>
      <c r="E451" s="50"/>
      <c r="F451" s="5"/>
      <c r="G451" s="5"/>
      <c r="H451" s="5"/>
      <c r="I451" s="5"/>
      <c r="J451" s="5"/>
      <c r="K451" s="50"/>
      <c r="L451" s="50"/>
      <c r="M451" s="50"/>
      <c r="N451" s="50"/>
      <c r="O451" s="50"/>
      <c r="P451" s="50"/>
      <c r="Q451" s="50"/>
      <c r="R451" s="50"/>
      <c r="S451" s="50"/>
      <c r="T451" s="50"/>
      <c r="U451" s="50"/>
      <c r="V451" s="50"/>
      <c r="W451" s="50"/>
      <c r="X451" s="50"/>
      <c r="Y451" s="50"/>
      <c r="Z451" s="50"/>
      <c r="AA451" s="50"/>
      <c r="AB451" s="50"/>
    </row>
    <row r="452" customFormat="false" ht="15.75" hidden="false" customHeight="false" outlineLevel="0" collapsed="false">
      <c r="A452" s="50"/>
      <c r="B452" s="50"/>
      <c r="C452" s="5"/>
      <c r="D452" s="48"/>
      <c r="E452" s="50"/>
      <c r="F452" s="5"/>
      <c r="G452" s="5"/>
      <c r="H452" s="5"/>
      <c r="I452" s="5"/>
      <c r="J452" s="5"/>
      <c r="K452" s="50"/>
      <c r="L452" s="50"/>
      <c r="M452" s="50"/>
      <c r="N452" s="50"/>
      <c r="O452" s="50"/>
      <c r="P452" s="50"/>
      <c r="Q452" s="50"/>
      <c r="R452" s="50"/>
      <c r="S452" s="50"/>
      <c r="T452" s="50"/>
      <c r="U452" s="50"/>
      <c r="V452" s="50"/>
      <c r="W452" s="50"/>
      <c r="X452" s="50"/>
      <c r="Y452" s="50"/>
      <c r="Z452" s="50"/>
      <c r="AA452" s="50"/>
      <c r="AB452" s="50"/>
    </row>
    <row r="453" customFormat="false" ht="15.75" hidden="false" customHeight="false" outlineLevel="0" collapsed="false">
      <c r="A453" s="50"/>
      <c r="B453" s="50"/>
      <c r="C453" s="5"/>
      <c r="D453" s="48"/>
      <c r="E453" s="50"/>
      <c r="F453" s="5"/>
      <c r="G453" s="5"/>
      <c r="H453" s="5"/>
      <c r="I453" s="5"/>
      <c r="J453" s="5"/>
      <c r="K453" s="50"/>
      <c r="L453" s="50"/>
      <c r="M453" s="50"/>
      <c r="N453" s="50"/>
      <c r="O453" s="50"/>
      <c r="P453" s="50"/>
      <c r="Q453" s="50"/>
      <c r="R453" s="50"/>
      <c r="S453" s="50"/>
      <c r="T453" s="50"/>
      <c r="U453" s="50"/>
      <c r="V453" s="50"/>
      <c r="W453" s="50"/>
      <c r="X453" s="50"/>
      <c r="Y453" s="50"/>
      <c r="Z453" s="50"/>
      <c r="AA453" s="50"/>
      <c r="AB453" s="50"/>
    </row>
    <row r="454" customFormat="false" ht="15.75" hidden="false" customHeight="false" outlineLevel="0" collapsed="false">
      <c r="A454" s="50"/>
      <c r="B454" s="50"/>
      <c r="C454" s="5"/>
      <c r="D454" s="48"/>
      <c r="E454" s="50"/>
      <c r="F454" s="5"/>
      <c r="G454" s="5"/>
      <c r="H454" s="5"/>
      <c r="I454" s="5"/>
      <c r="J454" s="5"/>
      <c r="K454" s="50"/>
      <c r="L454" s="50"/>
      <c r="M454" s="50"/>
      <c r="N454" s="50"/>
      <c r="O454" s="50"/>
      <c r="P454" s="50"/>
      <c r="Q454" s="50"/>
      <c r="R454" s="50"/>
      <c r="S454" s="50"/>
      <c r="T454" s="50"/>
      <c r="U454" s="50"/>
      <c r="V454" s="50"/>
      <c r="W454" s="50"/>
      <c r="X454" s="50"/>
      <c r="Y454" s="50"/>
      <c r="Z454" s="50"/>
      <c r="AA454" s="50"/>
      <c r="AB454" s="50"/>
    </row>
    <row r="455" customFormat="false" ht="15.75" hidden="false" customHeight="false" outlineLevel="0" collapsed="false">
      <c r="A455" s="50"/>
      <c r="B455" s="50"/>
      <c r="C455" s="5"/>
      <c r="D455" s="48"/>
      <c r="E455" s="50"/>
      <c r="F455" s="5"/>
      <c r="G455" s="5"/>
      <c r="H455" s="5"/>
      <c r="I455" s="5"/>
      <c r="J455" s="5"/>
      <c r="K455" s="50"/>
      <c r="L455" s="50"/>
      <c r="M455" s="50"/>
      <c r="N455" s="50"/>
      <c r="O455" s="50"/>
      <c r="P455" s="50"/>
      <c r="Q455" s="50"/>
      <c r="R455" s="50"/>
      <c r="S455" s="50"/>
      <c r="T455" s="50"/>
      <c r="U455" s="50"/>
      <c r="V455" s="50"/>
      <c r="W455" s="50"/>
      <c r="X455" s="50"/>
      <c r="Y455" s="50"/>
      <c r="Z455" s="50"/>
      <c r="AA455" s="50"/>
      <c r="AB455" s="50"/>
    </row>
    <row r="456" customFormat="false" ht="15.75" hidden="false" customHeight="false" outlineLevel="0" collapsed="false">
      <c r="A456" s="50"/>
      <c r="B456" s="50"/>
      <c r="C456" s="5"/>
      <c r="D456" s="48"/>
      <c r="E456" s="50"/>
      <c r="F456" s="5"/>
      <c r="G456" s="5"/>
      <c r="H456" s="5"/>
      <c r="I456" s="5"/>
      <c r="J456" s="5"/>
      <c r="K456" s="50"/>
      <c r="L456" s="50"/>
      <c r="M456" s="50"/>
      <c r="N456" s="50"/>
      <c r="O456" s="50"/>
      <c r="P456" s="50"/>
      <c r="Q456" s="50"/>
      <c r="R456" s="50"/>
      <c r="S456" s="50"/>
      <c r="T456" s="50"/>
      <c r="U456" s="50"/>
      <c r="V456" s="50"/>
      <c r="W456" s="50"/>
      <c r="X456" s="50"/>
      <c r="Y456" s="50"/>
      <c r="Z456" s="50"/>
      <c r="AA456" s="50"/>
      <c r="AB456" s="50"/>
    </row>
    <row r="457" customFormat="false" ht="15.75" hidden="false" customHeight="false" outlineLevel="0" collapsed="false">
      <c r="A457" s="50"/>
      <c r="B457" s="50"/>
      <c r="C457" s="5"/>
      <c r="D457" s="48"/>
      <c r="E457" s="50"/>
      <c r="F457" s="5"/>
      <c r="G457" s="5"/>
      <c r="H457" s="5"/>
      <c r="I457" s="5"/>
      <c r="J457" s="5"/>
      <c r="K457" s="50"/>
      <c r="L457" s="50"/>
      <c r="M457" s="50"/>
      <c r="N457" s="50"/>
      <c r="O457" s="50"/>
      <c r="P457" s="50"/>
      <c r="Q457" s="50"/>
      <c r="R457" s="50"/>
      <c r="S457" s="50"/>
      <c r="T457" s="50"/>
      <c r="U457" s="50"/>
      <c r="V457" s="50"/>
      <c r="W457" s="50"/>
      <c r="X457" s="50"/>
      <c r="Y457" s="50"/>
      <c r="Z457" s="50"/>
      <c r="AA457" s="50"/>
      <c r="AB457" s="50"/>
    </row>
    <row r="458" customFormat="false" ht="15.75" hidden="false" customHeight="false" outlineLevel="0" collapsed="false">
      <c r="A458" s="50"/>
      <c r="B458" s="50"/>
      <c r="C458" s="5"/>
      <c r="D458" s="48"/>
      <c r="E458" s="50"/>
      <c r="F458" s="5"/>
      <c r="G458" s="5"/>
      <c r="H458" s="5"/>
      <c r="I458" s="5"/>
      <c r="J458" s="5"/>
      <c r="K458" s="50"/>
      <c r="L458" s="50"/>
      <c r="M458" s="50"/>
      <c r="N458" s="50"/>
      <c r="O458" s="50"/>
      <c r="P458" s="50"/>
      <c r="Q458" s="50"/>
      <c r="R458" s="50"/>
      <c r="S458" s="50"/>
      <c r="T458" s="50"/>
      <c r="U458" s="50"/>
      <c r="V458" s="50"/>
      <c r="W458" s="50"/>
      <c r="X458" s="50"/>
      <c r="Y458" s="50"/>
      <c r="Z458" s="50"/>
      <c r="AA458" s="50"/>
      <c r="AB458" s="50"/>
    </row>
    <row r="459" customFormat="false" ht="15.75" hidden="false" customHeight="false" outlineLevel="0" collapsed="false">
      <c r="A459" s="50"/>
      <c r="B459" s="50"/>
      <c r="C459" s="5"/>
      <c r="D459" s="48"/>
      <c r="E459" s="50"/>
      <c r="F459" s="5"/>
      <c r="G459" s="5"/>
      <c r="H459" s="5"/>
      <c r="I459" s="5"/>
      <c r="J459" s="5"/>
      <c r="K459" s="50"/>
      <c r="L459" s="50"/>
      <c r="M459" s="50"/>
      <c r="N459" s="50"/>
      <c r="O459" s="50"/>
      <c r="P459" s="50"/>
      <c r="Q459" s="50"/>
      <c r="R459" s="50"/>
      <c r="S459" s="50"/>
      <c r="T459" s="50"/>
      <c r="U459" s="50"/>
      <c r="V459" s="50"/>
      <c r="W459" s="50"/>
      <c r="X459" s="50"/>
      <c r="Y459" s="50"/>
      <c r="Z459" s="50"/>
      <c r="AA459" s="50"/>
      <c r="AB459" s="50"/>
    </row>
    <row r="460" customFormat="false" ht="15.75" hidden="false" customHeight="false" outlineLevel="0" collapsed="false">
      <c r="A460" s="50"/>
      <c r="B460" s="50"/>
      <c r="C460" s="5"/>
      <c r="D460" s="48"/>
      <c r="E460" s="50"/>
      <c r="F460" s="5"/>
      <c r="G460" s="5"/>
      <c r="H460" s="5"/>
      <c r="I460" s="5"/>
      <c r="J460" s="5"/>
      <c r="K460" s="50"/>
      <c r="L460" s="50"/>
      <c r="M460" s="50"/>
      <c r="N460" s="50"/>
      <c r="O460" s="50"/>
      <c r="P460" s="50"/>
      <c r="Q460" s="50"/>
      <c r="R460" s="50"/>
      <c r="S460" s="50"/>
      <c r="T460" s="50"/>
      <c r="U460" s="50"/>
      <c r="V460" s="50"/>
      <c r="W460" s="50"/>
      <c r="X460" s="50"/>
      <c r="Y460" s="50"/>
      <c r="Z460" s="50"/>
      <c r="AA460" s="50"/>
      <c r="AB460" s="50"/>
    </row>
    <row r="461" customFormat="false" ht="15.75" hidden="false" customHeight="false" outlineLevel="0" collapsed="false">
      <c r="A461" s="50"/>
      <c r="B461" s="50"/>
      <c r="C461" s="5"/>
      <c r="D461" s="48"/>
      <c r="E461" s="50"/>
      <c r="F461" s="5"/>
      <c r="G461" s="5"/>
      <c r="H461" s="5"/>
      <c r="I461" s="5"/>
      <c r="J461" s="5"/>
      <c r="K461" s="50"/>
      <c r="L461" s="50"/>
      <c r="M461" s="50"/>
      <c r="N461" s="50"/>
      <c r="O461" s="50"/>
      <c r="P461" s="50"/>
      <c r="Q461" s="50"/>
      <c r="R461" s="50"/>
      <c r="S461" s="50"/>
      <c r="T461" s="50"/>
      <c r="U461" s="50"/>
      <c r="V461" s="50"/>
      <c r="W461" s="50"/>
      <c r="X461" s="50"/>
      <c r="Y461" s="50"/>
      <c r="Z461" s="50"/>
      <c r="AA461" s="50"/>
      <c r="AB461" s="50"/>
    </row>
    <row r="462" customFormat="false" ht="15.75" hidden="false" customHeight="false" outlineLevel="0" collapsed="false">
      <c r="A462" s="50"/>
      <c r="B462" s="50"/>
      <c r="C462" s="5"/>
      <c r="D462" s="48"/>
      <c r="E462" s="50"/>
      <c r="F462" s="5"/>
      <c r="G462" s="5"/>
      <c r="H462" s="5"/>
      <c r="I462" s="5"/>
      <c r="J462" s="5"/>
      <c r="K462" s="50"/>
      <c r="L462" s="50"/>
      <c r="M462" s="50"/>
      <c r="N462" s="50"/>
      <c r="O462" s="50"/>
      <c r="P462" s="50"/>
      <c r="Q462" s="50"/>
      <c r="R462" s="50"/>
      <c r="S462" s="50"/>
      <c r="T462" s="50"/>
      <c r="U462" s="50"/>
      <c r="V462" s="50"/>
      <c r="W462" s="50"/>
      <c r="X462" s="50"/>
      <c r="Y462" s="50"/>
      <c r="Z462" s="50"/>
      <c r="AA462" s="50"/>
      <c r="AB462" s="50"/>
    </row>
    <row r="463" customFormat="false" ht="15.75" hidden="false" customHeight="false" outlineLevel="0" collapsed="false">
      <c r="A463" s="50"/>
      <c r="B463" s="50"/>
      <c r="C463" s="5"/>
      <c r="D463" s="48"/>
      <c r="E463" s="50"/>
      <c r="F463" s="5"/>
      <c r="G463" s="5"/>
      <c r="H463" s="5"/>
      <c r="I463" s="5"/>
      <c r="J463" s="5"/>
      <c r="K463" s="50"/>
      <c r="L463" s="50"/>
      <c r="M463" s="50"/>
      <c r="N463" s="50"/>
      <c r="O463" s="50"/>
      <c r="P463" s="50"/>
      <c r="Q463" s="50"/>
      <c r="R463" s="50"/>
      <c r="S463" s="50"/>
      <c r="T463" s="50"/>
      <c r="U463" s="50"/>
      <c r="V463" s="50"/>
      <c r="W463" s="50"/>
      <c r="X463" s="50"/>
      <c r="Y463" s="50"/>
      <c r="Z463" s="50"/>
      <c r="AA463" s="50"/>
      <c r="AB463" s="50"/>
    </row>
    <row r="464" customFormat="false" ht="15.75" hidden="false" customHeight="false" outlineLevel="0" collapsed="false">
      <c r="A464" s="50"/>
      <c r="B464" s="50"/>
      <c r="C464" s="5"/>
      <c r="D464" s="48"/>
      <c r="E464" s="50"/>
      <c r="F464" s="5"/>
      <c r="G464" s="5"/>
      <c r="H464" s="5"/>
      <c r="I464" s="5"/>
      <c r="J464" s="5"/>
      <c r="K464" s="50"/>
      <c r="L464" s="50"/>
      <c r="M464" s="50"/>
      <c r="N464" s="50"/>
      <c r="O464" s="50"/>
      <c r="P464" s="50"/>
      <c r="Q464" s="50"/>
      <c r="R464" s="50"/>
      <c r="S464" s="50"/>
      <c r="T464" s="50"/>
      <c r="U464" s="50"/>
      <c r="V464" s="50"/>
      <c r="W464" s="50"/>
      <c r="X464" s="50"/>
      <c r="Y464" s="50"/>
      <c r="Z464" s="50"/>
      <c r="AA464" s="50"/>
      <c r="AB464" s="50"/>
    </row>
    <row r="465" customFormat="false" ht="15.75" hidden="false" customHeight="false" outlineLevel="0" collapsed="false">
      <c r="A465" s="50"/>
      <c r="B465" s="50"/>
      <c r="C465" s="5"/>
      <c r="D465" s="48"/>
      <c r="E465" s="50"/>
      <c r="F465" s="5"/>
      <c r="G465" s="5"/>
      <c r="H465" s="5"/>
      <c r="I465" s="5"/>
      <c r="J465" s="5"/>
      <c r="K465" s="50"/>
      <c r="L465" s="50"/>
      <c r="M465" s="50"/>
      <c r="N465" s="50"/>
      <c r="O465" s="50"/>
      <c r="P465" s="50"/>
      <c r="Q465" s="50"/>
      <c r="R465" s="50"/>
      <c r="S465" s="50"/>
      <c r="T465" s="50"/>
      <c r="U465" s="50"/>
      <c r="V465" s="50"/>
      <c r="W465" s="50"/>
      <c r="X465" s="50"/>
      <c r="Y465" s="50"/>
      <c r="Z465" s="50"/>
      <c r="AA465" s="50"/>
      <c r="AB465" s="50"/>
    </row>
    <row r="466" customFormat="false" ht="15.75" hidden="false" customHeight="false" outlineLevel="0" collapsed="false">
      <c r="A466" s="50"/>
      <c r="B466" s="50"/>
      <c r="C466" s="5"/>
      <c r="D466" s="48"/>
      <c r="E466" s="50"/>
      <c r="F466" s="5"/>
      <c r="G466" s="5"/>
      <c r="H466" s="5"/>
      <c r="I466" s="5"/>
      <c r="J466" s="5"/>
      <c r="K466" s="50"/>
      <c r="L466" s="50"/>
      <c r="M466" s="50"/>
      <c r="N466" s="50"/>
      <c r="O466" s="50"/>
      <c r="P466" s="50"/>
      <c r="Q466" s="50"/>
      <c r="R466" s="50"/>
      <c r="S466" s="50"/>
      <c r="T466" s="50"/>
      <c r="U466" s="50"/>
      <c r="V466" s="50"/>
      <c r="W466" s="50"/>
      <c r="X466" s="50"/>
      <c r="Y466" s="50"/>
      <c r="Z466" s="50"/>
      <c r="AA466" s="50"/>
      <c r="AB466" s="50"/>
    </row>
    <row r="467" customFormat="false" ht="15.75" hidden="false" customHeight="false" outlineLevel="0" collapsed="false">
      <c r="A467" s="50"/>
      <c r="B467" s="50"/>
      <c r="C467" s="5"/>
      <c r="D467" s="48"/>
      <c r="E467" s="50"/>
      <c r="F467" s="5"/>
      <c r="G467" s="5"/>
      <c r="H467" s="5"/>
      <c r="I467" s="5"/>
      <c r="J467" s="5"/>
      <c r="K467" s="50"/>
      <c r="L467" s="50"/>
      <c r="M467" s="50"/>
      <c r="N467" s="50"/>
      <c r="O467" s="50"/>
      <c r="P467" s="50"/>
      <c r="Q467" s="50"/>
      <c r="R467" s="50"/>
      <c r="S467" s="50"/>
      <c r="T467" s="50"/>
      <c r="U467" s="50"/>
      <c r="V467" s="50"/>
      <c r="W467" s="50"/>
      <c r="X467" s="50"/>
      <c r="Y467" s="50"/>
      <c r="Z467" s="50"/>
      <c r="AA467" s="50"/>
      <c r="AB467" s="50"/>
    </row>
    <row r="468" customFormat="false" ht="15.75" hidden="false" customHeight="false" outlineLevel="0" collapsed="false">
      <c r="A468" s="50"/>
      <c r="B468" s="50"/>
      <c r="C468" s="5"/>
      <c r="D468" s="48"/>
      <c r="E468" s="50"/>
      <c r="F468" s="5"/>
      <c r="G468" s="5"/>
      <c r="H468" s="5"/>
      <c r="I468" s="5"/>
      <c r="J468" s="5"/>
      <c r="K468" s="50"/>
      <c r="L468" s="50"/>
      <c r="M468" s="50"/>
      <c r="N468" s="50"/>
      <c r="O468" s="50"/>
      <c r="P468" s="50"/>
      <c r="Q468" s="50"/>
      <c r="R468" s="50"/>
      <c r="S468" s="50"/>
      <c r="T468" s="50"/>
      <c r="U468" s="50"/>
      <c r="V468" s="50"/>
      <c r="W468" s="50"/>
      <c r="X468" s="50"/>
      <c r="Y468" s="50"/>
      <c r="Z468" s="50"/>
      <c r="AA468" s="50"/>
      <c r="AB468" s="50"/>
    </row>
    <row r="469" customFormat="false" ht="15.75" hidden="false" customHeight="false" outlineLevel="0" collapsed="false">
      <c r="A469" s="50"/>
      <c r="B469" s="50"/>
      <c r="C469" s="5"/>
      <c r="D469" s="48"/>
      <c r="E469" s="50"/>
      <c r="F469" s="5"/>
      <c r="G469" s="5"/>
      <c r="H469" s="5"/>
      <c r="I469" s="5"/>
      <c r="J469" s="5"/>
      <c r="K469" s="50"/>
      <c r="L469" s="50"/>
      <c r="M469" s="50"/>
      <c r="N469" s="50"/>
      <c r="O469" s="50"/>
      <c r="P469" s="50"/>
      <c r="Q469" s="50"/>
      <c r="R469" s="50"/>
      <c r="S469" s="50"/>
      <c r="T469" s="50"/>
      <c r="U469" s="50"/>
      <c r="V469" s="50"/>
      <c r="W469" s="50"/>
      <c r="X469" s="50"/>
      <c r="Y469" s="50"/>
      <c r="Z469" s="50"/>
      <c r="AA469" s="50"/>
      <c r="AB469" s="50"/>
    </row>
    <row r="470" customFormat="false" ht="15.75" hidden="false" customHeight="false" outlineLevel="0" collapsed="false">
      <c r="A470" s="50"/>
      <c r="B470" s="50"/>
      <c r="C470" s="5"/>
      <c r="D470" s="48"/>
      <c r="E470" s="50"/>
      <c r="F470" s="5"/>
      <c r="G470" s="5"/>
      <c r="H470" s="5"/>
      <c r="I470" s="5"/>
      <c r="J470" s="5"/>
      <c r="K470" s="50"/>
      <c r="L470" s="50"/>
      <c r="M470" s="50"/>
      <c r="N470" s="50"/>
      <c r="O470" s="50"/>
      <c r="P470" s="50"/>
      <c r="Q470" s="50"/>
      <c r="R470" s="50"/>
      <c r="S470" s="50"/>
      <c r="T470" s="50"/>
      <c r="U470" s="50"/>
      <c r="V470" s="50"/>
      <c r="W470" s="50"/>
      <c r="X470" s="50"/>
      <c r="Y470" s="50"/>
      <c r="Z470" s="50"/>
      <c r="AA470" s="50"/>
      <c r="AB470" s="50"/>
    </row>
    <row r="471" customFormat="false" ht="15.75" hidden="false" customHeight="false" outlineLevel="0" collapsed="false">
      <c r="A471" s="50"/>
      <c r="B471" s="50"/>
      <c r="C471" s="5"/>
      <c r="D471" s="48"/>
      <c r="E471" s="50"/>
      <c r="F471" s="5"/>
      <c r="G471" s="5"/>
      <c r="H471" s="5"/>
      <c r="I471" s="5"/>
      <c r="J471" s="5"/>
      <c r="K471" s="50"/>
      <c r="L471" s="50"/>
      <c r="M471" s="50"/>
      <c r="N471" s="50"/>
      <c r="O471" s="50"/>
      <c r="P471" s="50"/>
      <c r="Q471" s="50"/>
      <c r="R471" s="50"/>
      <c r="S471" s="50"/>
      <c r="T471" s="50"/>
      <c r="U471" s="50"/>
      <c r="V471" s="50"/>
      <c r="W471" s="50"/>
      <c r="X471" s="50"/>
      <c r="Y471" s="50"/>
      <c r="Z471" s="50"/>
      <c r="AA471" s="50"/>
      <c r="AB471" s="50"/>
    </row>
    <row r="472" customFormat="false" ht="15.75" hidden="false" customHeight="false" outlineLevel="0" collapsed="false">
      <c r="A472" s="50"/>
      <c r="B472" s="50"/>
      <c r="C472" s="5"/>
      <c r="D472" s="48"/>
      <c r="E472" s="50"/>
      <c r="F472" s="5"/>
      <c r="G472" s="5"/>
      <c r="H472" s="5"/>
      <c r="I472" s="5"/>
      <c r="J472" s="5"/>
      <c r="K472" s="50"/>
      <c r="L472" s="50"/>
      <c r="M472" s="50"/>
      <c r="N472" s="50"/>
      <c r="O472" s="50"/>
      <c r="P472" s="50"/>
      <c r="Q472" s="50"/>
      <c r="R472" s="50"/>
      <c r="S472" s="50"/>
      <c r="T472" s="50"/>
      <c r="U472" s="50"/>
      <c r="V472" s="50"/>
      <c r="W472" s="50"/>
      <c r="X472" s="50"/>
      <c r="Y472" s="50"/>
      <c r="Z472" s="50"/>
      <c r="AA472" s="50"/>
      <c r="AB472" s="50"/>
    </row>
    <row r="473" customFormat="false" ht="15.75" hidden="false" customHeight="false" outlineLevel="0" collapsed="false">
      <c r="A473" s="50"/>
      <c r="B473" s="50"/>
      <c r="C473" s="5"/>
      <c r="D473" s="48"/>
      <c r="E473" s="50"/>
      <c r="F473" s="5"/>
      <c r="G473" s="5"/>
      <c r="H473" s="5"/>
      <c r="I473" s="5"/>
      <c r="J473" s="5"/>
      <c r="K473" s="50"/>
      <c r="L473" s="50"/>
      <c r="M473" s="50"/>
      <c r="N473" s="50"/>
      <c r="O473" s="50"/>
      <c r="P473" s="50"/>
      <c r="Q473" s="50"/>
      <c r="R473" s="50"/>
      <c r="S473" s="50"/>
      <c r="T473" s="50"/>
      <c r="U473" s="50"/>
      <c r="V473" s="50"/>
      <c r="W473" s="50"/>
      <c r="X473" s="50"/>
      <c r="Y473" s="50"/>
      <c r="Z473" s="50"/>
      <c r="AA473" s="50"/>
      <c r="AB473" s="50"/>
    </row>
    <row r="474" customFormat="false" ht="15.75" hidden="false" customHeight="false" outlineLevel="0" collapsed="false">
      <c r="A474" s="50"/>
      <c r="B474" s="50"/>
      <c r="C474" s="5"/>
      <c r="D474" s="48"/>
      <c r="E474" s="50"/>
      <c r="F474" s="5"/>
      <c r="G474" s="5"/>
      <c r="H474" s="5"/>
      <c r="I474" s="5"/>
      <c r="J474" s="5"/>
      <c r="K474" s="50"/>
      <c r="L474" s="50"/>
      <c r="M474" s="50"/>
      <c r="N474" s="50"/>
      <c r="O474" s="50"/>
      <c r="P474" s="50"/>
      <c r="Q474" s="50"/>
      <c r="R474" s="50"/>
      <c r="S474" s="50"/>
      <c r="T474" s="50"/>
      <c r="U474" s="50"/>
      <c r="V474" s="50"/>
      <c r="W474" s="50"/>
      <c r="X474" s="50"/>
      <c r="Y474" s="50"/>
      <c r="Z474" s="50"/>
      <c r="AA474" s="50"/>
      <c r="AB474" s="50"/>
    </row>
    <row r="475" customFormat="false" ht="15.75" hidden="false" customHeight="false" outlineLevel="0" collapsed="false">
      <c r="A475" s="50"/>
      <c r="B475" s="50"/>
      <c r="C475" s="5"/>
      <c r="D475" s="48"/>
      <c r="E475" s="50"/>
      <c r="F475" s="5"/>
      <c r="G475" s="5"/>
      <c r="H475" s="5"/>
      <c r="I475" s="5"/>
      <c r="J475" s="5"/>
      <c r="K475" s="50"/>
      <c r="L475" s="50"/>
      <c r="M475" s="50"/>
      <c r="N475" s="50"/>
      <c r="O475" s="50"/>
      <c r="P475" s="50"/>
      <c r="Q475" s="50"/>
      <c r="R475" s="50"/>
      <c r="S475" s="50"/>
      <c r="T475" s="50"/>
      <c r="U475" s="50"/>
      <c r="V475" s="50"/>
      <c r="W475" s="50"/>
      <c r="X475" s="50"/>
      <c r="Y475" s="50"/>
      <c r="Z475" s="50"/>
      <c r="AA475" s="50"/>
      <c r="AB475" s="50"/>
    </row>
    <row r="476" customFormat="false" ht="15.75" hidden="false" customHeight="false" outlineLevel="0" collapsed="false">
      <c r="A476" s="50"/>
      <c r="B476" s="50"/>
      <c r="C476" s="5"/>
      <c r="D476" s="48"/>
      <c r="E476" s="50"/>
      <c r="F476" s="5"/>
      <c r="G476" s="5"/>
      <c r="H476" s="5"/>
      <c r="I476" s="5"/>
      <c r="J476" s="5"/>
      <c r="K476" s="50"/>
      <c r="L476" s="50"/>
      <c r="M476" s="50"/>
      <c r="N476" s="50"/>
      <c r="O476" s="50"/>
      <c r="P476" s="50"/>
      <c r="Q476" s="50"/>
      <c r="R476" s="50"/>
      <c r="S476" s="50"/>
      <c r="T476" s="50"/>
      <c r="U476" s="50"/>
      <c r="V476" s="50"/>
      <c r="W476" s="50"/>
      <c r="X476" s="50"/>
      <c r="Y476" s="50"/>
      <c r="Z476" s="50"/>
      <c r="AA476" s="50"/>
      <c r="AB476" s="50"/>
    </row>
    <row r="477" customFormat="false" ht="15.75" hidden="false" customHeight="false" outlineLevel="0" collapsed="false">
      <c r="A477" s="50"/>
      <c r="B477" s="50"/>
      <c r="C477" s="5"/>
      <c r="D477" s="48"/>
      <c r="E477" s="50"/>
      <c r="F477" s="5"/>
      <c r="G477" s="5"/>
      <c r="H477" s="5"/>
      <c r="I477" s="5"/>
      <c r="J477" s="5"/>
      <c r="K477" s="50"/>
      <c r="L477" s="50"/>
      <c r="M477" s="50"/>
      <c r="N477" s="50"/>
      <c r="O477" s="50"/>
      <c r="P477" s="50"/>
      <c r="Q477" s="50"/>
      <c r="R477" s="50"/>
      <c r="S477" s="50"/>
      <c r="T477" s="50"/>
      <c r="U477" s="50"/>
      <c r="V477" s="50"/>
      <c r="W477" s="50"/>
      <c r="X477" s="50"/>
      <c r="Y477" s="50"/>
      <c r="Z477" s="50"/>
      <c r="AA477" s="50"/>
      <c r="AB477" s="50"/>
    </row>
    <row r="478" customFormat="false" ht="15.75" hidden="false" customHeight="false" outlineLevel="0" collapsed="false">
      <c r="A478" s="50"/>
      <c r="B478" s="50"/>
      <c r="C478" s="5"/>
      <c r="D478" s="48"/>
      <c r="E478" s="50"/>
      <c r="F478" s="5"/>
      <c r="G478" s="5"/>
      <c r="H478" s="5"/>
      <c r="I478" s="5"/>
      <c r="J478" s="5"/>
      <c r="K478" s="50"/>
      <c r="L478" s="50"/>
      <c r="M478" s="50"/>
      <c r="N478" s="50"/>
      <c r="O478" s="50"/>
      <c r="P478" s="50"/>
      <c r="Q478" s="50"/>
      <c r="R478" s="50"/>
      <c r="S478" s="50"/>
      <c r="T478" s="50"/>
      <c r="U478" s="50"/>
      <c r="V478" s="50"/>
      <c r="W478" s="50"/>
      <c r="X478" s="50"/>
      <c r="Y478" s="50"/>
      <c r="Z478" s="50"/>
      <c r="AA478" s="50"/>
      <c r="AB478" s="50"/>
    </row>
    <row r="479" customFormat="false" ht="15.75" hidden="false" customHeight="false" outlineLevel="0" collapsed="false">
      <c r="A479" s="50"/>
      <c r="B479" s="50"/>
      <c r="C479" s="5"/>
      <c r="D479" s="48"/>
      <c r="E479" s="50"/>
      <c r="F479" s="5"/>
      <c r="G479" s="5"/>
      <c r="H479" s="5"/>
      <c r="I479" s="5"/>
      <c r="J479" s="5"/>
      <c r="K479" s="50"/>
      <c r="L479" s="50"/>
      <c r="M479" s="50"/>
      <c r="N479" s="50"/>
      <c r="O479" s="50"/>
      <c r="P479" s="50"/>
      <c r="Q479" s="50"/>
      <c r="R479" s="50"/>
      <c r="S479" s="50"/>
      <c r="T479" s="50"/>
      <c r="U479" s="50"/>
      <c r="V479" s="50"/>
      <c r="W479" s="50"/>
      <c r="X479" s="50"/>
      <c r="Y479" s="50"/>
      <c r="Z479" s="50"/>
      <c r="AA479" s="50"/>
      <c r="AB479" s="50"/>
    </row>
    <row r="480" customFormat="false" ht="15.75" hidden="false" customHeight="false" outlineLevel="0" collapsed="false">
      <c r="A480" s="50"/>
      <c r="B480" s="50"/>
      <c r="C480" s="5"/>
      <c r="D480" s="48"/>
      <c r="E480" s="50"/>
      <c r="F480" s="5"/>
      <c r="G480" s="5"/>
      <c r="H480" s="5"/>
      <c r="I480" s="5"/>
      <c r="J480" s="5"/>
      <c r="K480" s="50"/>
      <c r="L480" s="50"/>
      <c r="M480" s="50"/>
      <c r="N480" s="50"/>
      <c r="O480" s="50"/>
      <c r="P480" s="50"/>
      <c r="Q480" s="50"/>
      <c r="R480" s="50"/>
      <c r="S480" s="50"/>
      <c r="T480" s="50"/>
      <c r="U480" s="50"/>
      <c r="V480" s="50"/>
      <c r="W480" s="50"/>
      <c r="X480" s="50"/>
      <c r="Y480" s="50"/>
      <c r="Z480" s="50"/>
      <c r="AA480" s="50"/>
      <c r="AB480" s="50"/>
    </row>
    <row r="481" customFormat="false" ht="15.75" hidden="false" customHeight="false" outlineLevel="0" collapsed="false">
      <c r="A481" s="50"/>
      <c r="B481" s="50"/>
      <c r="C481" s="5"/>
      <c r="D481" s="48"/>
      <c r="E481" s="50"/>
      <c r="F481" s="5"/>
      <c r="G481" s="5"/>
      <c r="H481" s="5"/>
      <c r="I481" s="5"/>
      <c r="J481" s="5"/>
      <c r="K481" s="50"/>
      <c r="L481" s="50"/>
      <c r="M481" s="50"/>
      <c r="N481" s="50"/>
      <c r="O481" s="50"/>
      <c r="P481" s="50"/>
      <c r="Q481" s="50"/>
      <c r="R481" s="50"/>
      <c r="S481" s="50"/>
      <c r="T481" s="50"/>
      <c r="U481" s="50"/>
      <c r="V481" s="50"/>
      <c r="W481" s="50"/>
      <c r="X481" s="50"/>
      <c r="Y481" s="50"/>
      <c r="Z481" s="50"/>
      <c r="AA481" s="50"/>
      <c r="AB481" s="50"/>
    </row>
    <row r="482" customFormat="false" ht="15.75" hidden="false" customHeight="false" outlineLevel="0" collapsed="false">
      <c r="A482" s="50"/>
      <c r="B482" s="50"/>
      <c r="C482" s="5"/>
      <c r="D482" s="48"/>
      <c r="E482" s="50"/>
      <c r="F482" s="5"/>
      <c r="G482" s="5"/>
      <c r="H482" s="5"/>
      <c r="I482" s="5"/>
      <c r="J482" s="5"/>
      <c r="K482" s="50"/>
      <c r="L482" s="50"/>
      <c r="M482" s="50"/>
      <c r="N482" s="50"/>
      <c r="O482" s="50"/>
      <c r="P482" s="50"/>
      <c r="Q482" s="50"/>
      <c r="R482" s="50"/>
      <c r="S482" s="50"/>
      <c r="T482" s="50"/>
      <c r="U482" s="50"/>
      <c r="V482" s="50"/>
      <c r="W482" s="50"/>
      <c r="X482" s="50"/>
      <c r="Y482" s="50"/>
      <c r="Z482" s="50"/>
      <c r="AA482" s="50"/>
      <c r="AB482" s="50"/>
    </row>
    <row r="483" customFormat="false" ht="15.75" hidden="false" customHeight="false" outlineLevel="0" collapsed="false">
      <c r="A483" s="50"/>
      <c r="B483" s="50"/>
      <c r="C483" s="5"/>
      <c r="D483" s="48"/>
      <c r="E483" s="50"/>
      <c r="F483" s="5"/>
      <c r="G483" s="5"/>
      <c r="H483" s="5"/>
      <c r="I483" s="5"/>
      <c r="J483" s="5"/>
      <c r="K483" s="50"/>
      <c r="L483" s="50"/>
      <c r="M483" s="50"/>
      <c r="N483" s="50"/>
      <c r="O483" s="50"/>
      <c r="P483" s="50"/>
      <c r="Q483" s="50"/>
      <c r="R483" s="50"/>
      <c r="S483" s="50"/>
      <c r="T483" s="50"/>
      <c r="U483" s="50"/>
      <c r="V483" s="50"/>
      <c r="W483" s="50"/>
      <c r="X483" s="50"/>
      <c r="Y483" s="50"/>
      <c r="Z483" s="50"/>
      <c r="AA483" s="50"/>
      <c r="AB483" s="50"/>
    </row>
    <row r="484" customFormat="false" ht="15.75" hidden="false" customHeight="false" outlineLevel="0" collapsed="false">
      <c r="A484" s="50"/>
      <c r="B484" s="50"/>
      <c r="C484" s="5"/>
      <c r="D484" s="48"/>
      <c r="E484" s="50"/>
      <c r="F484" s="5"/>
      <c r="G484" s="5"/>
      <c r="H484" s="5"/>
      <c r="I484" s="5"/>
      <c r="J484" s="5"/>
      <c r="K484" s="50"/>
      <c r="L484" s="50"/>
      <c r="M484" s="50"/>
      <c r="N484" s="50"/>
      <c r="O484" s="50"/>
      <c r="P484" s="50"/>
      <c r="Q484" s="50"/>
      <c r="R484" s="50"/>
      <c r="S484" s="50"/>
      <c r="T484" s="50"/>
      <c r="U484" s="50"/>
      <c r="V484" s="50"/>
      <c r="W484" s="50"/>
      <c r="X484" s="50"/>
      <c r="Y484" s="50"/>
      <c r="Z484" s="50"/>
      <c r="AA484" s="50"/>
      <c r="AB484" s="50"/>
    </row>
    <row r="485" customFormat="false" ht="15.75" hidden="false" customHeight="false" outlineLevel="0" collapsed="false">
      <c r="A485" s="50"/>
      <c r="B485" s="50"/>
      <c r="C485" s="5"/>
      <c r="D485" s="48"/>
      <c r="E485" s="50"/>
      <c r="F485" s="5"/>
      <c r="G485" s="5"/>
      <c r="H485" s="5"/>
      <c r="I485" s="5"/>
      <c r="J485" s="5"/>
      <c r="K485" s="50"/>
      <c r="L485" s="50"/>
      <c r="M485" s="50"/>
      <c r="N485" s="50"/>
      <c r="O485" s="50"/>
      <c r="P485" s="50"/>
      <c r="Q485" s="50"/>
      <c r="R485" s="50"/>
      <c r="S485" s="50"/>
      <c r="T485" s="50"/>
      <c r="U485" s="50"/>
      <c r="V485" s="50"/>
      <c r="W485" s="50"/>
      <c r="X485" s="50"/>
      <c r="Y485" s="50"/>
      <c r="Z485" s="50"/>
      <c r="AA485" s="50"/>
      <c r="AB485" s="50"/>
    </row>
    <row r="486" customFormat="false" ht="15.75" hidden="false" customHeight="false" outlineLevel="0" collapsed="false">
      <c r="A486" s="50"/>
      <c r="B486" s="50"/>
      <c r="C486" s="5"/>
      <c r="D486" s="48"/>
      <c r="E486" s="50"/>
      <c r="F486" s="5"/>
      <c r="G486" s="5"/>
      <c r="H486" s="5"/>
      <c r="I486" s="5"/>
      <c r="J486" s="5"/>
      <c r="K486" s="50"/>
      <c r="L486" s="50"/>
      <c r="M486" s="50"/>
      <c r="N486" s="50"/>
      <c r="O486" s="50"/>
      <c r="P486" s="50"/>
      <c r="Q486" s="50"/>
      <c r="R486" s="50"/>
      <c r="S486" s="50"/>
      <c r="T486" s="50"/>
      <c r="U486" s="50"/>
      <c r="V486" s="50"/>
      <c r="W486" s="50"/>
      <c r="X486" s="50"/>
      <c r="Y486" s="50"/>
      <c r="Z486" s="50"/>
      <c r="AA486" s="50"/>
      <c r="AB486" s="50"/>
    </row>
    <row r="487" customFormat="false" ht="15.75" hidden="false" customHeight="false" outlineLevel="0" collapsed="false">
      <c r="A487" s="50"/>
      <c r="B487" s="50"/>
      <c r="C487" s="5"/>
      <c r="D487" s="48"/>
      <c r="E487" s="50"/>
      <c r="F487" s="5"/>
      <c r="G487" s="5"/>
      <c r="H487" s="5"/>
      <c r="I487" s="5"/>
      <c r="J487" s="5"/>
      <c r="K487" s="50"/>
      <c r="L487" s="50"/>
      <c r="M487" s="50"/>
      <c r="N487" s="50"/>
      <c r="O487" s="50"/>
      <c r="P487" s="50"/>
      <c r="Q487" s="50"/>
      <c r="R487" s="50"/>
      <c r="S487" s="50"/>
      <c r="T487" s="50"/>
      <c r="U487" s="50"/>
      <c r="V487" s="50"/>
      <c r="W487" s="50"/>
      <c r="X487" s="50"/>
      <c r="Y487" s="50"/>
      <c r="Z487" s="50"/>
      <c r="AA487" s="50"/>
      <c r="AB487" s="50"/>
    </row>
    <row r="488" customFormat="false" ht="15.75" hidden="false" customHeight="false" outlineLevel="0" collapsed="false">
      <c r="A488" s="50"/>
      <c r="B488" s="50"/>
      <c r="C488" s="5"/>
      <c r="D488" s="48"/>
      <c r="E488" s="50"/>
      <c r="F488" s="5"/>
      <c r="G488" s="5"/>
      <c r="H488" s="5"/>
      <c r="I488" s="5"/>
      <c r="J488" s="5"/>
      <c r="K488" s="50"/>
      <c r="L488" s="50"/>
      <c r="M488" s="50"/>
      <c r="N488" s="50"/>
      <c r="O488" s="50"/>
      <c r="P488" s="50"/>
      <c r="Q488" s="50"/>
      <c r="R488" s="50"/>
      <c r="S488" s="50"/>
      <c r="T488" s="50"/>
      <c r="U488" s="50"/>
      <c r="V488" s="50"/>
      <c r="W488" s="50"/>
      <c r="X488" s="50"/>
      <c r="Y488" s="50"/>
      <c r="Z488" s="50"/>
      <c r="AA488" s="50"/>
      <c r="AB488" s="50"/>
    </row>
    <row r="489" customFormat="false" ht="15.75" hidden="false" customHeight="false" outlineLevel="0" collapsed="false">
      <c r="A489" s="50"/>
      <c r="B489" s="50"/>
      <c r="C489" s="5"/>
      <c r="D489" s="48"/>
      <c r="E489" s="50"/>
      <c r="F489" s="5"/>
      <c r="G489" s="5"/>
      <c r="H489" s="5"/>
      <c r="I489" s="5"/>
      <c r="J489" s="5"/>
      <c r="K489" s="50"/>
      <c r="L489" s="50"/>
      <c r="M489" s="50"/>
      <c r="N489" s="50"/>
      <c r="O489" s="50"/>
      <c r="P489" s="50"/>
      <c r="Q489" s="50"/>
      <c r="R489" s="50"/>
      <c r="S489" s="50"/>
      <c r="T489" s="50"/>
      <c r="U489" s="50"/>
      <c r="V489" s="50"/>
      <c r="W489" s="50"/>
      <c r="X489" s="50"/>
      <c r="Y489" s="50"/>
      <c r="Z489" s="50"/>
      <c r="AA489" s="50"/>
      <c r="AB489" s="50"/>
    </row>
    <row r="490" customFormat="false" ht="15.75" hidden="false" customHeight="false" outlineLevel="0" collapsed="false">
      <c r="A490" s="50"/>
      <c r="B490" s="50"/>
      <c r="C490" s="5"/>
      <c r="D490" s="48"/>
      <c r="E490" s="50"/>
      <c r="F490" s="5"/>
      <c r="G490" s="5"/>
      <c r="H490" s="5"/>
      <c r="I490" s="5"/>
      <c r="J490" s="5"/>
      <c r="K490" s="50"/>
      <c r="L490" s="50"/>
      <c r="M490" s="50"/>
      <c r="N490" s="50"/>
      <c r="O490" s="50"/>
      <c r="P490" s="50"/>
      <c r="Q490" s="50"/>
      <c r="R490" s="50"/>
      <c r="S490" s="50"/>
      <c r="T490" s="50"/>
      <c r="U490" s="50"/>
      <c r="V490" s="50"/>
      <c r="W490" s="50"/>
      <c r="X490" s="50"/>
      <c r="Y490" s="50"/>
      <c r="Z490" s="50"/>
      <c r="AA490" s="50"/>
      <c r="AB490" s="50"/>
    </row>
    <row r="491" customFormat="false" ht="15.75" hidden="false" customHeight="false" outlineLevel="0" collapsed="false">
      <c r="A491" s="50"/>
      <c r="B491" s="50"/>
      <c r="C491" s="5"/>
      <c r="D491" s="48"/>
      <c r="E491" s="50"/>
      <c r="F491" s="5"/>
      <c r="G491" s="5"/>
      <c r="H491" s="5"/>
      <c r="I491" s="5"/>
      <c r="J491" s="5"/>
      <c r="K491" s="50"/>
      <c r="L491" s="50"/>
      <c r="M491" s="50"/>
      <c r="N491" s="50"/>
      <c r="O491" s="50"/>
      <c r="P491" s="50"/>
      <c r="Q491" s="50"/>
      <c r="R491" s="50"/>
      <c r="S491" s="50"/>
      <c r="T491" s="50"/>
      <c r="U491" s="50"/>
      <c r="V491" s="50"/>
      <c r="W491" s="50"/>
      <c r="X491" s="50"/>
      <c r="Y491" s="50"/>
      <c r="Z491" s="50"/>
      <c r="AA491" s="50"/>
      <c r="AB491" s="50"/>
    </row>
    <row r="492" customFormat="false" ht="15.75" hidden="false" customHeight="false" outlineLevel="0" collapsed="false">
      <c r="A492" s="50"/>
      <c r="B492" s="50"/>
      <c r="C492" s="5"/>
      <c r="D492" s="48"/>
      <c r="E492" s="50"/>
      <c r="F492" s="5"/>
      <c r="G492" s="5"/>
      <c r="H492" s="5"/>
      <c r="I492" s="5"/>
      <c r="J492" s="5"/>
      <c r="K492" s="50"/>
      <c r="L492" s="50"/>
      <c r="M492" s="50"/>
      <c r="N492" s="50"/>
      <c r="O492" s="50"/>
      <c r="P492" s="50"/>
      <c r="Q492" s="50"/>
      <c r="R492" s="50"/>
      <c r="S492" s="50"/>
      <c r="T492" s="50"/>
      <c r="U492" s="50"/>
      <c r="V492" s="50"/>
      <c r="W492" s="50"/>
      <c r="X492" s="50"/>
      <c r="Y492" s="50"/>
      <c r="Z492" s="50"/>
      <c r="AA492" s="50"/>
      <c r="AB492" s="50"/>
    </row>
    <row r="493" customFormat="false" ht="15.75" hidden="false" customHeight="false" outlineLevel="0" collapsed="false">
      <c r="A493" s="50"/>
      <c r="B493" s="50"/>
      <c r="C493" s="5"/>
      <c r="D493" s="48"/>
      <c r="E493" s="50"/>
      <c r="F493" s="5"/>
      <c r="G493" s="5"/>
      <c r="H493" s="5"/>
      <c r="I493" s="5"/>
      <c r="J493" s="5"/>
      <c r="K493" s="50"/>
      <c r="L493" s="50"/>
      <c r="M493" s="50"/>
      <c r="N493" s="50"/>
      <c r="O493" s="50"/>
      <c r="P493" s="50"/>
      <c r="Q493" s="50"/>
      <c r="R493" s="50"/>
      <c r="S493" s="50"/>
      <c r="T493" s="50"/>
      <c r="U493" s="50"/>
      <c r="V493" s="50"/>
      <c r="W493" s="50"/>
      <c r="X493" s="50"/>
      <c r="Y493" s="50"/>
      <c r="Z493" s="50"/>
      <c r="AA493" s="50"/>
      <c r="AB493" s="50"/>
    </row>
    <row r="494" customFormat="false" ht="15.75" hidden="false" customHeight="false" outlineLevel="0" collapsed="false">
      <c r="A494" s="50"/>
      <c r="B494" s="50"/>
      <c r="C494" s="5"/>
      <c r="D494" s="48"/>
      <c r="E494" s="50"/>
      <c r="F494" s="5"/>
      <c r="G494" s="5"/>
      <c r="H494" s="5"/>
      <c r="I494" s="5"/>
      <c r="J494" s="5"/>
      <c r="K494" s="50"/>
      <c r="L494" s="50"/>
      <c r="M494" s="50"/>
      <c r="N494" s="50"/>
      <c r="O494" s="50"/>
      <c r="P494" s="50"/>
      <c r="Q494" s="50"/>
      <c r="R494" s="50"/>
      <c r="S494" s="50"/>
      <c r="T494" s="50"/>
      <c r="U494" s="50"/>
      <c r="V494" s="50"/>
      <c r="W494" s="50"/>
      <c r="X494" s="50"/>
      <c r="Y494" s="50"/>
      <c r="Z494" s="50"/>
      <c r="AA494" s="50"/>
      <c r="AB494" s="50"/>
    </row>
    <row r="495" customFormat="false" ht="15.75" hidden="false" customHeight="false" outlineLevel="0" collapsed="false">
      <c r="A495" s="50"/>
      <c r="B495" s="50"/>
      <c r="C495" s="5"/>
      <c r="D495" s="48"/>
      <c r="E495" s="50"/>
      <c r="F495" s="5"/>
      <c r="G495" s="5"/>
      <c r="H495" s="5"/>
      <c r="I495" s="5"/>
      <c r="J495" s="5"/>
      <c r="K495" s="50"/>
      <c r="L495" s="50"/>
      <c r="M495" s="50"/>
      <c r="N495" s="50"/>
      <c r="O495" s="50"/>
      <c r="P495" s="50"/>
      <c r="Q495" s="50"/>
      <c r="R495" s="50"/>
      <c r="S495" s="50"/>
      <c r="T495" s="50"/>
      <c r="U495" s="50"/>
      <c r="V495" s="50"/>
      <c r="W495" s="50"/>
      <c r="X495" s="50"/>
      <c r="Y495" s="50"/>
      <c r="Z495" s="50"/>
      <c r="AA495" s="50"/>
      <c r="AB495" s="50"/>
    </row>
    <row r="496" customFormat="false" ht="15.75" hidden="false" customHeight="false" outlineLevel="0" collapsed="false">
      <c r="A496" s="50"/>
      <c r="B496" s="50"/>
      <c r="C496" s="5"/>
      <c r="D496" s="48"/>
      <c r="E496" s="50"/>
      <c r="F496" s="5"/>
      <c r="G496" s="5"/>
      <c r="H496" s="5"/>
      <c r="I496" s="5"/>
      <c r="J496" s="5"/>
      <c r="K496" s="50"/>
      <c r="L496" s="50"/>
      <c r="M496" s="50"/>
      <c r="N496" s="50"/>
      <c r="O496" s="50"/>
      <c r="P496" s="50"/>
      <c r="Q496" s="50"/>
      <c r="R496" s="50"/>
      <c r="S496" s="50"/>
      <c r="T496" s="50"/>
      <c r="U496" s="50"/>
      <c r="V496" s="50"/>
      <c r="W496" s="50"/>
      <c r="X496" s="50"/>
      <c r="Y496" s="50"/>
      <c r="Z496" s="50"/>
      <c r="AA496" s="50"/>
      <c r="AB496" s="50"/>
    </row>
    <row r="497" customFormat="false" ht="15.75" hidden="false" customHeight="false" outlineLevel="0" collapsed="false">
      <c r="A497" s="50"/>
      <c r="B497" s="50"/>
      <c r="C497" s="5"/>
      <c r="D497" s="48"/>
      <c r="E497" s="50"/>
      <c r="F497" s="5"/>
      <c r="G497" s="5"/>
      <c r="H497" s="5"/>
      <c r="I497" s="5"/>
      <c r="J497" s="5"/>
      <c r="K497" s="50"/>
      <c r="L497" s="50"/>
      <c r="M497" s="50"/>
      <c r="N497" s="50"/>
      <c r="O497" s="50"/>
      <c r="P497" s="50"/>
      <c r="Q497" s="50"/>
      <c r="R497" s="50"/>
      <c r="S497" s="50"/>
      <c r="T497" s="50"/>
      <c r="U497" s="50"/>
      <c r="V497" s="50"/>
      <c r="W497" s="50"/>
      <c r="X497" s="50"/>
      <c r="Y497" s="50"/>
      <c r="Z497" s="50"/>
      <c r="AA497" s="50"/>
      <c r="AB497" s="50"/>
    </row>
    <row r="498" customFormat="false" ht="15.75" hidden="false" customHeight="false" outlineLevel="0" collapsed="false">
      <c r="A498" s="50"/>
      <c r="B498" s="50"/>
      <c r="C498" s="5"/>
      <c r="D498" s="48"/>
      <c r="E498" s="50"/>
      <c r="F498" s="5"/>
      <c r="G498" s="5"/>
      <c r="H498" s="5"/>
      <c r="I498" s="5"/>
      <c r="J498" s="5"/>
      <c r="K498" s="50"/>
      <c r="L498" s="50"/>
      <c r="M498" s="50"/>
      <c r="N498" s="50"/>
      <c r="O498" s="50"/>
      <c r="P498" s="50"/>
      <c r="Q498" s="50"/>
      <c r="R498" s="50"/>
      <c r="S498" s="50"/>
      <c r="T498" s="50"/>
      <c r="U498" s="50"/>
      <c r="V498" s="50"/>
      <c r="W498" s="50"/>
      <c r="X498" s="50"/>
      <c r="Y498" s="50"/>
      <c r="Z498" s="50"/>
      <c r="AA498" s="50"/>
      <c r="AB498" s="50"/>
    </row>
    <row r="499" customFormat="false" ht="15.75" hidden="false" customHeight="false" outlineLevel="0" collapsed="false">
      <c r="A499" s="50"/>
      <c r="B499" s="50"/>
      <c r="C499" s="5"/>
      <c r="D499" s="48"/>
      <c r="E499" s="50"/>
      <c r="F499" s="5"/>
      <c r="G499" s="5"/>
      <c r="H499" s="5"/>
      <c r="I499" s="5"/>
      <c r="J499" s="5"/>
      <c r="K499" s="50"/>
      <c r="L499" s="50"/>
      <c r="M499" s="50"/>
      <c r="N499" s="50"/>
      <c r="O499" s="50"/>
      <c r="P499" s="50"/>
      <c r="Q499" s="50"/>
      <c r="R499" s="50"/>
      <c r="S499" s="50"/>
      <c r="T499" s="50"/>
      <c r="U499" s="50"/>
      <c r="V499" s="50"/>
      <c r="W499" s="50"/>
      <c r="X499" s="50"/>
      <c r="Y499" s="50"/>
      <c r="Z499" s="50"/>
      <c r="AA499" s="50"/>
      <c r="AB499" s="50"/>
    </row>
    <row r="500" customFormat="false" ht="15.75" hidden="false" customHeight="false" outlineLevel="0" collapsed="false">
      <c r="A500" s="50"/>
      <c r="B500" s="50"/>
      <c r="C500" s="5"/>
      <c r="D500" s="48"/>
      <c r="E500" s="50"/>
      <c r="F500" s="5"/>
      <c r="G500" s="5"/>
      <c r="H500" s="5"/>
      <c r="I500" s="5"/>
      <c r="J500" s="5"/>
      <c r="K500" s="50"/>
      <c r="L500" s="50"/>
      <c r="M500" s="50"/>
      <c r="N500" s="50"/>
      <c r="O500" s="50"/>
      <c r="P500" s="50"/>
      <c r="Q500" s="50"/>
      <c r="R500" s="50"/>
      <c r="S500" s="50"/>
      <c r="T500" s="50"/>
      <c r="U500" s="50"/>
      <c r="V500" s="50"/>
      <c r="W500" s="50"/>
      <c r="X500" s="50"/>
      <c r="Y500" s="50"/>
      <c r="Z500" s="50"/>
      <c r="AA500" s="50"/>
      <c r="AB500" s="50"/>
    </row>
    <row r="501" customFormat="false" ht="15.75" hidden="false" customHeight="false" outlineLevel="0" collapsed="false">
      <c r="A501" s="50"/>
      <c r="B501" s="50"/>
      <c r="C501" s="5"/>
      <c r="D501" s="48"/>
      <c r="E501" s="50"/>
      <c r="F501" s="5"/>
      <c r="G501" s="5"/>
      <c r="H501" s="5"/>
      <c r="I501" s="5"/>
      <c r="J501" s="5"/>
      <c r="K501" s="50"/>
      <c r="L501" s="50"/>
      <c r="M501" s="50"/>
      <c r="N501" s="50"/>
      <c r="O501" s="50"/>
      <c r="P501" s="50"/>
      <c r="Q501" s="50"/>
      <c r="R501" s="50"/>
      <c r="S501" s="50"/>
      <c r="T501" s="50"/>
      <c r="U501" s="50"/>
      <c r="V501" s="50"/>
      <c r="W501" s="50"/>
      <c r="X501" s="50"/>
      <c r="Y501" s="50"/>
      <c r="Z501" s="50"/>
      <c r="AA501" s="50"/>
      <c r="AB501" s="50"/>
    </row>
    <row r="502" customFormat="false" ht="15.75" hidden="false" customHeight="false" outlineLevel="0" collapsed="false">
      <c r="A502" s="50"/>
      <c r="B502" s="50"/>
      <c r="C502" s="5"/>
      <c r="D502" s="48"/>
      <c r="E502" s="50"/>
      <c r="F502" s="5"/>
      <c r="G502" s="5"/>
      <c r="H502" s="5"/>
      <c r="I502" s="5"/>
      <c r="J502" s="5"/>
      <c r="K502" s="50"/>
      <c r="L502" s="50"/>
      <c r="M502" s="50"/>
      <c r="N502" s="50"/>
      <c r="O502" s="50"/>
      <c r="P502" s="50"/>
      <c r="Q502" s="50"/>
      <c r="R502" s="50"/>
      <c r="S502" s="50"/>
      <c r="T502" s="50"/>
      <c r="U502" s="50"/>
      <c r="V502" s="50"/>
      <c r="W502" s="50"/>
      <c r="X502" s="50"/>
      <c r="Y502" s="50"/>
      <c r="Z502" s="50"/>
      <c r="AA502" s="50"/>
      <c r="AB502" s="50"/>
    </row>
    <row r="503" customFormat="false" ht="15.75" hidden="false" customHeight="false" outlineLevel="0" collapsed="false">
      <c r="A503" s="50"/>
      <c r="B503" s="50"/>
      <c r="C503" s="5"/>
      <c r="D503" s="48"/>
      <c r="E503" s="50"/>
      <c r="F503" s="5"/>
      <c r="G503" s="5"/>
      <c r="H503" s="5"/>
      <c r="I503" s="5"/>
      <c r="J503" s="5"/>
      <c r="K503" s="50"/>
      <c r="L503" s="50"/>
      <c r="M503" s="50"/>
      <c r="N503" s="50"/>
      <c r="O503" s="50"/>
      <c r="P503" s="50"/>
      <c r="Q503" s="50"/>
      <c r="R503" s="50"/>
      <c r="S503" s="50"/>
      <c r="T503" s="50"/>
      <c r="U503" s="50"/>
      <c r="V503" s="50"/>
      <c r="W503" s="50"/>
      <c r="X503" s="50"/>
      <c r="Y503" s="50"/>
      <c r="Z503" s="50"/>
      <c r="AA503" s="50"/>
      <c r="AB503" s="50"/>
    </row>
    <row r="504" customFormat="false" ht="15.75" hidden="false" customHeight="false" outlineLevel="0" collapsed="false">
      <c r="A504" s="50"/>
      <c r="B504" s="50"/>
      <c r="C504" s="5"/>
      <c r="D504" s="48"/>
      <c r="E504" s="50"/>
      <c r="F504" s="5"/>
      <c r="G504" s="5"/>
      <c r="H504" s="5"/>
      <c r="I504" s="5"/>
      <c r="J504" s="5"/>
      <c r="K504" s="50"/>
      <c r="L504" s="50"/>
      <c r="M504" s="50"/>
      <c r="N504" s="50"/>
      <c r="O504" s="50"/>
      <c r="P504" s="50"/>
      <c r="Q504" s="50"/>
      <c r="R504" s="50"/>
      <c r="S504" s="50"/>
      <c r="T504" s="50"/>
      <c r="U504" s="50"/>
      <c r="V504" s="50"/>
      <c r="W504" s="50"/>
      <c r="X504" s="50"/>
      <c r="Y504" s="50"/>
      <c r="Z504" s="50"/>
      <c r="AA504" s="50"/>
      <c r="AB504" s="50"/>
    </row>
    <row r="505" customFormat="false" ht="15.75" hidden="false" customHeight="false" outlineLevel="0" collapsed="false">
      <c r="A505" s="50"/>
      <c r="B505" s="50"/>
      <c r="C505" s="5"/>
      <c r="D505" s="48"/>
      <c r="E505" s="50"/>
      <c r="F505" s="5"/>
      <c r="G505" s="5"/>
      <c r="H505" s="5"/>
      <c r="I505" s="5"/>
      <c r="J505" s="5"/>
      <c r="K505" s="50"/>
      <c r="L505" s="50"/>
      <c r="M505" s="50"/>
      <c r="N505" s="50"/>
      <c r="O505" s="50"/>
      <c r="P505" s="50"/>
      <c r="Q505" s="50"/>
      <c r="R505" s="50"/>
      <c r="S505" s="50"/>
      <c r="T505" s="50"/>
      <c r="U505" s="50"/>
      <c r="V505" s="50"/>
      <c r="W505" s="50"/>
      <c r="X505" s="50"/>
      <c r="Y505" s="50"/>
      <c r="Z505" s="50"/>
      <c r="AA505" s="50"/>
      <c r="AB505" s="50"/>
    </row>
    <row r="506" customFormat="false" ht="15.75" hidden="false" customHeight="false" outlineLevel="0" collapsed="false">
      <c r="A506" s="50"/>
      <c r="B506" s="50"/>
      <c r="C506" s="5"/>
      <c r="D506" s="48"/>
      <c r="E506" s="50"/>
      <c r="F506" s="5"/>
      <c r="G506" s="5"/>
      <c r="H506" s="5"/>
      <c r="I506" s="5"/>
      <c r="J506" s="5"/>
      <c r="K506" s="50"/>
      <c r="L506" s="50"/>
      <c r="M506" s="50"/>
      <c r="N506" s="50"/>
      <c r="O506" s="50"/>
      <c r="P506" s="50"/>
      <c r="Q506" s="50"/>
      <c r="R506" s="50"/>
      <c r="S506" s="50"/>
      <c r="T506" s="50"/>
      <c r="U506" s="50"/>
      <c r="V506" s="50"/>
      <c r="W506" s="50"/>
      <c r="X506" s="50"/>
      <c r="Y506" s="50"/>
      <c r="Z506" s="50"/>
      <c r="AA506" s="50"/>
      <c r="AB506" s="50"/>
    </row>
    <row r="507" customFormat="false" ht="15.75" hidden="false" customHeight="false" outlineLevel="0" collapsed="false">
      <c r="A507" s="50"/>
      <c r="B507" s="50"/>
      <c r="C507" s="5"/>
      <c r="D507" s="48"/>
      <c r="E507" s="50"/>
      <c r="F507" s="5"/>
      <c r="G507" s="5"/>
      <c r="H507" s="5"/>
      <c r="I507" s="5"/>
      <c r="J507" s="5"/>
      <c r="K507" s="50"/>
      <c r="L507" s="50"/>
      <c r="M507" s="50"/>
      <c r="N507" s="50"/>
      <c r="O507" s="50"/>
      <c r="P507" s="50"/>
      <c r="Q507" s="50"/>
      <c r="R507" s="50"/>
      <c r="S507" s="50"/>
      <c r="T507" s="50"/>
      <c r="U507" s="50"/>
      <c r="V507" s="50"/>
      <c r="W507" s="50"/>
      <c r="X507" s="50"/>
      <c r="Y507" s="50"/>
      <c r="Z507" s="50"/>
      <c r="AA507" s="50"/>
      <c r="AB507" s="50"/>
    </row>
    <row r="508" customFormat="false" ht="15.75" hidden="false" customHeight="false" outlineLevel="0" collapsed="false">
      <c r="A508" s="50"/>
      <c r="B508" s="50"/>
      <c r="C508" s="5"/>
      <c r="D508" s="48"/>
      <c r="E508" s="50"/>
      <c r="F508" s="5"/>
      <c r="G508" s="5"/>
      <c r="H508" s="5"/>
      <c r="I508" s="5"/>
      <c r="J508" s="5"/>
      <c r="K508" s="50"/>
      <c r="L508" s="50"/>
      <c r="M508" s="50"/>
      <c r="N508" s="50"/>
      <c r="O508" s="50"/>
      <c r="P508" s="50"/>
      <c r="Q508" s="50"/>
      <c r="R508" s="50"/>
      <c r="S508" s="50"/>
      <c r="T508" s="50"/>
      <c r="U508" s="50"/>
      <c r="V508" s="50"/>
      <c r="W508" s="50"/>
      <c r="X508" s="50"/>
      <c r="Y508" s="50"/>
      <c r="Z508" s="50"/>
      <c r="AA508" s="50"/>
      <c r="AB508" s="50"/>
    </row>
    <row r="509" customFormat="false" ht="15.75" hidden="false" customHeight="false" outlineLevel="0" collapsed="false">
      <c r="A509" s="50"/>
      <c r="B509" s="50"/>
      <c r="C509" s="5"/>
      <c r="D509" s="48"/>
      <c r="E509" s="50"/>
      <c r="F509" s="5"/>
      <c r="G509" s="5"/>
      <c r="H509" s="5"/>
      <c r="I509" s="5"/>
      <c r="J509" s="5"/>
      <c r="K509" s="50"/>
      <c r="L509" s="50"/>
      <c r="M509" s="50"/>
      <c r="N509" s="50"/>
      <c r="O509" s="50"/>
      <c r="P509" s="50"/>
      <c r="Q509" s="50"/>
      <c r="R509" s="50"/>
      <c r="S509" s="50"/>
      <c r="T509" s="50"/>
      <c r="U509" s="50"/>
      <c r="V509" s="50"/>
      <c r="W509" s="50"/>
      <c r="X509" s="50"/>
      <c r="Y509" s="50"/>
      <c r="Z509" s="50"/>
      <c r="AA509" s="50"/>
      <c r="AB509" s="50"/>
    </row>
    <row r="510" customFormat="false" ht="15.75" hidden="false" customHeight="false" outlineLevel="0" collapsed="false">
      <c r="A510" s="50"/>
      <c r="B510" s="50"/>
      <c r="C510" s="5"/>
      <c r="D510" s="48"/>
      <c r="E510" s="50"/>
      <c r="F510" s="5"/>
      <c r="G510" s="5"/>
      <c r="H510" s="5"/>
      <c r="I510" s="5"/>
      <c r="J510" s="5"/>
      <c r="K510" s="50"/>
      <c r="L510" s="50"/>
      <c r="M510" s="50"/>
      <c r="N510" s="50"/>
      <c r="O510" s="50"/>
      <c r="P510" s="50"/>
      <c r="Q510" s="50"/>
      <c r="R510" s="50"/>
      <c r="S510" s="50"/>
      <c r="T510" s="50"/>
      <c r="U510" s="50"/>
      <c r="V510" s="50"/>
      <c r="W510" s="50"/>
      <c r="X510" s="50"/>
      <c r="Y510" s="50"/>
      <c r="Z510" s="50"/>
      <c r="AA510" s="50"/>
      <c r="AB510" s="50"/>
    </row>
    <row r="511" customFormat="false" ht="15.75" hidden="false" customHeight="false" outlineLevel="0" collapsed="false">
      <c r="A511" s="50"/>
      <c r="B511" s="50"/>
      <c r="C511" s="5"/>
      <c r="D511" s="48"/>
      <c r="E511" s="50"/>
      <c r="F511" s="5"/>
      <c r="G511" s="5"/>
      <c r="H511" s="5"/>
      <c r="I511" s="5"/>
      <c r="J511" s="5"/>
      <c r="K511" s="50"/>
      <c r="L511" s="50"/>
      <c r="M511" s="50"/>
      <c r="N511" s="50"/>
      <c r="O511" s="50"/>
      <c r="P511" s="50"/>
      <c r="Q511" s="50"/>
      <c r="R511" s="50"/>
      <c r="S511" s="50"/>
      <c r="T511" s="50"/>
      <c r="U511" s="50"/>
      <c r="V511" s="50"/>
      <c r="W511" s="50"/>
      <c r="X511" s="50"/>
      <c r="Y511" s="50"/>
      <c r="Z511" s="50"/>
      <c r="AA511" s="50"/>
      <c r="AB511" s="50"/>
    </row>
    <row r="512" customFormat="false" ht="15.75" hidden="false" customHeight="false" outlineLevel="0" collapsed="false">
      <c r="A512" s="50"/>
      <c r="B512" s="50"/>
      <c r="C512" s="5"/>
      <c r="D512" s="48"/>
      <c r="E512" s="50"/>
      <c r="F512" s="5"/>
      <c r="G512" s="5"/>
      <c r="H512" s="5"/>
      <c r="I512" s="5"/>
      <c r="J512" s="5"/>
      <c r="K512" s="50"/>
      <c r="L512" s="50"/>
      <c r="M512" s="50"/>
      <c r="N512" s="50"/>
      <c r="O512" s="50"/>
      <c r="P512" s="50"/>
      <c r="Q512" s="50"/>
      <c r="R512" s="50"/>
      <c r="S512" s="50"/>
      <c r="T512" s="50"/>
      <c r="U512" s="50"/>
      <c r="V512" s="50"/>
      <c r="W512" s="50"/>
      <c r="X512" s="50"/>
      <c r="Y512" s="50"/>
      <c r="Z512" s="50"/>
      <c r="AA512" s="50"/>
      <c r="AB512" s="50"/>
    </row>
    <row r="513" customFormat="false" ht="15.75" hidden="false" customHeight="false" outlineLevel="0" collapsed="false">
      <c r="A513" s="50"/>
      <c r="B513" s="50"/>
      <c r="C513" s="5"/>
      <c r="D513" s="48"/>
      <c r="E513" s="50"/>
      <c r="F513" s="5"/>
      <c r="G513" s="5"/>
      <c r="H513" s="5"/>
      <c r="I513" s="5"/>
      <c r="J513" s="5"/>
      <c r="K513" s="50"/>
      <c r="L513" s="50"/>
      <c r="M513" s="50"/>
      <c r="N513" s="50"/>
      <c r="O513" s="50"/>
      <c r="P513" s="50"/>
      <c r="Q513" s="50"/>
      <c r="R513" s="50"/>
      <c r="S513" s="50"/>
      <c r="T513" s="50"/>
      <c r="U513" s="50"/>
      <c r="V513" s="50"/>
      <c r="W513" s="50"/>
      <c r="X513" s="50"/>
      <c r="Y513" s="50"/>
      <c r="Z513" s="50"/>
      <c r="AA513" s="50"/>
      <c r="AB513" s="50"/>
    </row>
    <row r="514" customFormat="false" ht="15.75" hidden="false" customHeight="false" outlineLevel="0" collapsed="false">
      <c r="A514" s="50"/>
      <c r="B514" s="50"/>
      <c r="C514" s="5"/>
      <c r="D514" s="48"/>
      <c r="E514" s="50"/>
      <c r="F514" s="5"/>
      <c r="G514" s="5"/>
      <c r="H514" s="5"/>
      <c r="I514" s="5"/>
      <c r="J514" s="5"/>
      <c r="K514" s="50"/>
      <c r="L514" s="50"/>
      <c r="M514" s="50"/>
      <c r="N514" s="50"/>
      <c r="O514" s="50"/>
      <c r="P514" s="50"/>
      <c r="Q514" s="50"/>
      <c r="R514" s="50"/>
      <c r="S514" s="50"/>
      <c r="T514" s="50"/>
      <c r="U514" s="50"/>
      <c r="V514" s="50"/>
      <c r="W514" s="50"/>
      <c r="X514" s="50"/>
      <c r="Y514" s="50"/>
      <c r="Z514" s="50"/>
      <c r="AA514" s="50"/>
      <c r="AB514" s="50"/>
    </row>
    <row r="515" customFormat="false" ht="15.75" hidden="false" customHeight="false" outlineLevel="0" collapsed="false">
      <c r="A515" s="50"/>
      <c r="B515" s="50"/>
      <c r="C515" s="5"/>
      <c r="D515" s="48"/>
      <c r="E515" s="50"/>
      <c r="F515" s="5"/>
      <c r="G515" s="5"/>
      <c r="H515" s="5"/>
      <c r="I515" s="5"/>
      <c r="J515" s="5"/>
      <c r="K515" s="50"/>
      <c r="L515" s="50"/>
      <c r="M515" s="50"/>
      <c r="N515" s="50"/>
      <c r="O515" s="50"/>
      <c r="P515" s="50"/>
      <c r="Q515" s="50"/>
      <c r="R515" s="50"/>
      <c r="S515" s="50"/>
      <c r="T515" s="50"/>
      <c r="U515" s="50"/>
      <c r="V515" s="50"/>
      <c r="W515" s="50"/>
      <c r="X515" s="50"/>
      <c r="Y515" s="50"/>
      <c r="Z515" s="50"/>
      <c r="AA515" s="50"/>
      <c r="AB515" s="50"/>
    </row>
    <row r="516" customFormat="false" ht="15.75" hidden="false" customHeight="false" outlineLevel="0" collapsed="false">
      <c r="A516" s="50"/>
      <c r="B516" s="50"/>
      <c r="C516" s="5"/>
      <c r="D516" s="48"/>
      <c r="E516" s="50"/>
      <c r="F516" s="5"/>
      <c r="G516" s="5"/>
      <c r="H516" s="5"/>
      <c r="I516" s="5"/>
      <c r="J516" s="5"/>
      <c r="K516" s="50"/>
      <c r="L516" s="50"/>
      <c r="M516" s="50"/>
      <c r="N516" s="50"/>
      <c r="O516" s="50"/>
      <c r="P516" s="50"/>
      <c r="Q516" s="50"/>
      <c r="R516" s="50"/>
      <c r="S516" s="50"/>
      <c r="T516" s="50"/>
      <c r="U516" s="50"/>
      <c r="V516" s="50"/>
      <c r="W516" s="50"/>
      <c r="X516" s="50"/>
      <c r="Y516" s="50"/>
      <c r="Z516" s="50"/>
      <c r="AA516" s="50"/>
      <c r="AB516" s="50"/>
    </row>
    <row r="517" customFormat="false" ht="15.75" hidden="false" customHeight="false" outlineLevel="0" collapsed="false">
      <c r="A517" s="50"/>
      <c r="B517" s="50"/>
      <c r="C517" s="5"/>
      <c r="D517" s="48"/>
      <c r="E517" s="50"/>
      <c r="F517" s="5"/>
      <c r="G517" s="5"/>
      <c r="H517" s="5"/>
      <c r="I517" s="5"/>
      <c r="J517" s="5"/>
      <c r="K517" s="50"/>
      <c r="L517" s="50"/>
      <c r="M517" s="50"/>
      <c r="N517" s="50"/>
      <c r="O517" s="50"/>
      <c r="P517" s="50"/>
      <c r="Q517" s="50"/>
      <c r="R517" s="50"/>
      <c r="S517" s="50"/>
      <c r="T517" s="50"/>
      <c r="U517" s="50"/>
      <c r="V517" s="50"/>
      <c r="W517" s="50"/>
      <c r="X517" s="50"/>
      <c r="Y517" s="50"/>
      <c r="Z517" s="50"/>
      <c r="AA517" s="50"/>
      <c r="AB517" s="50"/>
    </row>
    <row r="518" customFormat="false" ht="15.75" hidden="false" customHeight="false" outlineLevel="0" collapsed="false">
      <c r="A518" s="50"/>
      <c r="B518" s="50"/>
      <c r="C518" s="5"/>
      <c r="D518" s="48"/>
      <c r="E518" s="50"/>
      <c r="F518" s="5"/>
      <c r="G518" s="5"/>
      <c r="H518" s="5"/>
      <c r="I518" s="5"/>
      <c r="J518" s="5"/>
      <c r="K518" s="50"/>
      <c r="L518" s="50"/>
      <c r="M518" s="50"/>
      <c r="N518" s="50"/>
      <c r="O518" s="50"/>
      <c r="P518" s="50"/>
      <c r="Q518" s="50"/>
      <c r="R518" s="50"/>
      <c r="S518" s="50"/>
      <c r="T518" s="50"/>
      <c r="U518" s="50"/>
      <c r="V518" s="50"/>
      <c r="W518" s="50"/>
      <c r="X518" s="50"/>
      <c r="Y518" s="50"/>
      <c r="Z518" s="50"/>
      <c r="AA518" s="50"/>
      <c r="AB518" s="50"/>
    </row>
    <row r="519" customFormat="false" ht="15.75" hidden="false" customHeight="false" outlineLevel="0" collapsed="false">
      <c r="A519" s="50"/>
      <c r="B519" s="50"/>
      <c r="C519" s="5"/>
      <c r="D519" s="48"/>
      <c r="E519" s="50"/>
      <c r="F519" s="5"/>
      <c r="G519" s="5"/>
      <c r="H519" s="5"/>
      <c r="I519" s="5"/>
      <c r="J519" s="5"/>
      <c r="K519" s="50"/>
      <c r="L519" s="50"/>
      <c r="M519" s="50"/>
      <c r="N519" s="50"/>
      <c r="O519" s="50"/>
      <c r="P519" s="50"/>
      <c r="Q519" s="50"/>
      <c r="R519" s="50"/>
      <c r="S519" s="50"/>
      <c r="T519" s="50"/>
      <c r="U519" s="50"/>
      <c r="V519" s="50"/>
      <c r="W519" s="50"/>
      <c r="X519" s="50"/>
      <c r="Y519" s="50"/>
      <c r="Z519" s="50"/>
      <c r="AA519" s="50"/>
      <c r="AB519" s="50"/>
    </row>
    <row r="520" customFormat="false" ht="15.75" hidden="false" customHeight="false" outlineLevel="0" collapsed="false">
      <c r="A520" s="50"/>
      <c r="B520" s="50"/>
      <c r="C520" s="5"/>
      <c r="D520" s="48"/>
      <c r="E520" s="50"/>
      <c r="F520" s="5"/>
      <c r="G520" s="5"/>
      <c r="H520" s="5"/>
      <c r="I520" s="5"/>
      <c r="J520" s="5"/>
      <c r="K520" s="50"/>
      <c r="L520" s="50"/>
      <c r="M520" s="50"/>
      <c r="N520" s="50"/>
      <c r="O520" s="50"/>
      <c r="P520" s="50"/>
      <c r="Q520" s="50"/>
      <c r="R520" s="50"/>
      <c r="S520" s="50"/>
      <c r="T520" s="50"/>
      <c r="U520" s="50"/>
      <c r="V520" s="50"/>
      <c r="W520" s="50"/>
      <c r="X520" s="50"/>
      <c r="Y520" s="50"/>
      <c r="Z520" s="50"/>
      <c r="AA520" s="50"/>
      <c r="AB520" s="50"/>
    </row>
    <row r="521" customFormat="false" ht="15.75" hidden="false" customHeight="false" outlineLevel="0" collapsed="false">
      <c r="A521" s="50"/>
      <c r="B521" s="50"/>
      <c r="C521" s="5"/>
      <c r="D521" s="48"/>
      <c r="E521" s="50"/>
      <c r="F521" s="5"/>
      <c r="G521" s="5"/>
      <c r="H521" s="5"/>
      <c r="I521" s="5"/>
      <c r="J521" s="5"/>
      <c r="K521" s="50"/>
      <c r="L521" s="50"/>
      <c r="M521" s="50"/>
      <c r="N521" s="50"/>
      <c r="O521" s="50"/>
      <c r="P521" s="50"/>
      <c r="Q521" s="50"/>
      <c r="R521" s="50"/>
      <c r="S521" s="50"/>
      <c r="T521" s="50"/>
      <c r="U521" s="50"/>
      <c r="V521" s="50"/>
      <c r="W521" s="50"/>
      <c r="X521" s="50"/>
      <c r="Y521" s="50"/>
      <c r="Z521" s="50"/>
      <c r="AA521" s="50"/>
      <c r="AB521" s="50"/>
    </row>
    <row r="522" customFormat="false" ht="15.75" hidden="false" customHeight="false" outlineLevel="0" collapsed="false">
      <c r="A522" s="50"/>
      <c r="B522" s="50"/>
      <c r="C522" s="5"/>
      <c r="D522" s="48"/>
      <c r="E522" s="50"/>
      <c r="F522" s="5"/>
      <c r="G522" s="5"/>
      <c r="H522" s="5"/>
      <c r="I522" s="5"/>
      <c r="J522" s="5"/>
      <c r="K522" s="50"/>
      <c r="L522" s="50"/>
      <c r="M522" s="50"/>
      <c r="N522" s="50"/>
      <c r="O522" s="50"/>
      <c r="P522" s="50"/>
      <c r="Q522" s="50"/>
      <c r="R522" s="50"/>
      <c r="S522" s="50"/>
      <c r="T522" s="50"/>
      <c r="U522" s="50"/>
      <c r="V522" s="50"/>
      <c r="W522" s="50"/>
      <c r="X522" s="50"/>
      <c r="Y522" s="50"/>
      <c r="Z522" s="50"/>
      <c r="AA522" s="50"/>
      <c r="AB522" s="50"/>
    </row>
    <row r="523" customFormat="false" ht="15.75" hidden="false" customHeight="false" outlineLevel="0" collapsed="false">
      <c r="A523" s="50"/>
      <c r="B523" s="50"/>
      <c r="C523" s="5"/>
      <c r="D523" s="48"/>
      <c r="E523" s="50"/>
      <c r="F523" s="5"/>
      <c r="G523" s="5"/>
      <c r="H523" s="5"/>
      <c r="I523" s="5"/>
      <c r="J523" s="5"/>
      <c r="K523" s="50"/>
      <c r="L523" s="50"/>
      <c r="M523" s="50"/>
      <c r="N523" s="50"/>
      <c r="O523" s="50"/>
      <c r="P523" s="50"/>
      <c r="Q523" s="50"/>
      <c r="R523" s="50"/>
      <c r="S523" s="50"/>
      <c r="T523" s="50"/>
      <c r="U523" s="50"/>
      <c r="V523" s="50"/>
      <c r="W523" s="50"/>
      <c r="X523" s="50"/>
      <c r="Y523" s="50"/>
      <c r="Z523" s="50"/>
      <c r="AA523" s="50"/>
      <c r="AB523" s="50"/>
    </row>
    <row r="524" customFormat="false" ht="15.75" hidden="false" customHeight="false" outlineLevel="0" collapsed="false">
      <c r="A524" s="50"/>
      <c r="B524" s="50"/>
      <c r="C524" s="5"/>
      <c r="D524" s="48"/>
      <c r="E524" s="50"/>
      <c r="F524" s="5"/>
      <c r="G524" s="5"/>
      <c r="H524" s="5"/>
      <c r="I524" s="5"/>
      <c r="J524" s="5"/>
      <c r="K524" s="50"/>
      <c r="L524" s="50"/>
      <c r="M524" s="50"/>
      <c r="N524" s="50"/>
      <c r="O524" s="50"/>
      <c r="P524" s="50"/>
      <c r="Q524" s="50"/>
      <c r="R524" s="50"/>
      <c r="S524" s="50"/>
      <c r="T524" s="50"/>
      <c r="U524" s="50"/>
      <c r="V524" s="50"/>
      <c r="W524" s="50"/>
      <c r="X524" s="50"/>
      <c r="Y524" s="50"/>
      <c r="Z524" s="50"/>
      <c r="AA524" s="50"/>
      <c r="AB524" s="50"/>
    </row>
    <row r="525" customFormat="false" ht="15.75" hidden="false" customHeight="false" outlineLevel="0" collapsed="false">
      <c r="A525" s="50"/>
      <c r="B525" s="50"/>
      <c r="C525" s="5"/>
      <c r="D525" s="48"/>
      <c r="E525" s="50"/>
      <c r="F525" s="5"/>
      <c r="G525" s="5"/>
      <c r="H525" s="5"/>
      <c r="I525" s="5"/>
      <c r="J525" s="5"/>
      <c r="K525" s="50"/>
      <c r="L525" s="50"/>
      <c r="M525" s="50"/>
      <c r="N525" s="50"/>
      <c r="O525" s="50"/>
      <c r="P525" s="50"/>
      <c r="Q525" s="50"/>
      <c r="R525" s="50"/>
      <c r="S525" s="50"/>
      <c r="T525" s="50"/>
      <c r="U525" s="50"/>
      <c r="V525" s="50"/>
      <c r="W525" s="50"/>
      <c r="X525" s="50"/>
      <c r="Y525" s="50"/>
      <c r="Z525" s="50"/>
      <c r="AA525" s="50"/>
      <c r="AB525" s="50"/>
    </row>
    <row r="526" customFormat="false" ht="15.75" hidden="false" customHeight="false" outlineLevel="0" collapsed="false">
      <c r="A526" s="50"/>
      <c r="B526" s="50"/>
      <c r="C526" s="5"/>
      <c r="D526" s="48"/>
      <c r="E526" s="50"/>
      <c r="F526" s="5"/>
      <c r="G526" s="5"/>
      <c r="H526" s="5"/>
      <c r="I526" s="5"/>
      <c r="J526" s="5"/>
      <c r="K526" s="50"/>
      <c r="L526" s="50"/>
      <c r="M526" s="50"/>
      <c r="N526" s="50"/>
      <c r="O526" s="50"/>
      <c r="P526" s="50"/>
      <c r="Q526" s="50"/>
      <c r="R526" s="50"/>
      <c r="S526" s="50"/>
      <c r="T526" s="50"/>
      <c r="U526" s="50"/>
      <c r="V526" s="50"/>
      <c r="W526" s="50"/>
      <c r="X526" s="50"/>
      <c r="Y526" s="50"/>
      <c r="Z526" s="50"/>
      <c r="AA526" s="50"/>
      <c r="AB526" s="50"/>
    </row>
    <row r="527" customFormat="false" ht="15.75" hidden="false" customHeight="false" outlineLevel="0" collapsed="false">
      <c r="A527" s="50"/>
      <c r="B527" s="50"/>
      <c r="C527" s="5"/>
      <c r="D527" s="48"/>
      <c r="E527" s="50"/>
      <c r="F527" s="5"/>
      <c r="G527" s="5"/>
      <c r="H527" s="5"/>
      <c r="I527" s="5"/>
      <c r="J527" s="5"/>
      <c r="K527" s="50"/>
      <c r="L527" s="50"/>
      <c r="M527" s="50"/>
      <c r="N527" s="50"/>
      <c r="O527" s="50"/>
      <c r="P527" s="50"/>
      <c r="Q527" s="50"/>
      <c r="R527" s="50"/>
      <c r="S527" s="50"/>
      <c r="T527" s="50"/>
      <c r="U527" s="50"/>
      <c r="V527" s="50"/>
      <c r="W527" s="50"/>
      <c r="X527" s="50"/>
      <c r="Y527" s="50"/>
      <c r="Z527" s="50"/>
      <c r="AA527" s="50"/>
      <c r="AB527" s="50"/>
    </row>
    <row r="528" customFormat="false" ht="15.75" hidden="false" customHeight="false" outlineLevel="0" collapsed="false">
      <c r="A528" s="50"/>
      <c r="B528" s="50"/>
      <c r="C528" s="5"/>
      <c r="D528" s="48"/>
      <c r="E528" s="50"/>
      <c r="F528" s="5"/>
      <c r="G528" s="5"/>
      <c r="H528" s="5"/>
      <c r="I528" s="5"/>
      <c r="J528" s="5"/>
      <c r="K528" s="50"/>
      <c r="L528" s="50"/>
      <c r="M528" s="50"/>
      <c r="N528" s="50"/>
      <c r="O528" s="50"/>
      <c r="P528" s="50"/>
      <c r="Q528" s="50"/>
      <c r="R528" s="50"/>
      <c r="S528" s="50"/>
      <c r="T528" s="50"/>
      <c r="U528" s="50"/>
      <c r="V528" s="50"/>
      <c r="W528" s="50"/>
      <c r="X528" s="50"/>
      <c r="Y528" s="50"/>
      <c r="Z528" s="50"/>
      <c r="AA528" s="50"/>
      <c r="AB528" s="50"/>
    </row>
    <row r="529" customFormat="false" ht="15.75" hidden="false" customHeight="false" outlineLevel="0" collapsed="false">
      <c r="A529" s="50"/>
      <c r="B529" s="50"/>
      <c r="C529" s="5"/>
      <c r="D529" s="48"/>
      <c r="E529" s="50"/>
      <c r="F529" s="5"/>
      <c r="G529" s="5"/>
      <c r="H529" s="5"/>
      <c r="I529" s="5"/>
      <c r="J529" s="5"/>
      <c r="K529" s="50"/>
      <c r="L529" s="50"/>
      <c r="M529" s="50"/>
      <c r="N529" s="50"/>
      <c r="O529" s="50"/>
      <c r="P529" s="50"/>
      <c r="Q529" s="50"/>
      <c r="R529" s="50"/>
      <c r="S529" s="50"/>
      <c r="T529" s="50"/>
      <c r="U529" s="50"/>
      <c r="V529" s="50"/>
      <c r="W529" s="50"/>
      <c r="X529" s="50"/>
      <c r="Y529" s="50"/>
      <c r="Z529" s="50"/>
      <c r="AA529" s="50"/>
      <c r="AB529" s="50"/>
    </row>
    <row r="530" customFormat="false" ht="15.75" hidden="false" customHeight="false" outlineLevel="0" collapsed="false">
      <c r="A530" s="50"/>
      <c r="B530" s="50"/>
      <c r="C530" s="5"/>
      <c r="D530" s="48"/>
      <c r="E530" s="50"/>
      <c r="F530" s="5"/>
      <c r="G530" s="5"/>
      <c r="H530" s="5"/>
      <c r="I530" s="5"/>
      <c r="J530" s="5"/>
      <c r="K530" s="50"/>
      <c r="L530" s="50"/>
      <c r="M530" s="50"/>
      <c r="N530" s="50"/>
      <c r="O530" s="50"/>
      <c r="P530" s="50"/>
      <c r="Q530" s="50"/>
      <c r="R530" s="50"/>
      <c r="S530" s="50"/>
      <c r="T530" s="50"/>
      <c r="U530" s="50"/>
      <c r="V530" s="50"/>
      <c r="W530" s="50"/>
      <c r="X530" s="50"/>
      <c r="Y530" s="50"/>
      <c r="Z530" s="50"/>
      <c r="AA530" s="50"/>
      <c r="AB530" s="50"/>
    </row>
    <row r="531" customFormat="false" ht="15.75" hidden="false" customHeight="false" outlineLevel="0" collapsed="false">
      <c r="A531" s="50"/>
      <c r="B531" s="50"/>
      <c r="C531" s="5"/>
      <c r="D531" s="48"/>
      <c r="E531" s="50"/>
      <c r="F531" s="5"/>
      <c r="G531" s="5"/>
      <c r="H531" s="5"/>
      <c r="I531" s="5"/>
      <c r="J531" s="5"/>
      <c r="K531" s="50"/>
      <c r="L531" s="50"/>
      <c r="M531" s="50"/>
      <c r="N531" s="50"/>
      <c r="O531" s="50"/>
      <c r="P531" s="50"/>
      <c r="Q531" s="50"/>
      <c r="R531" s="50"/>
      <c r="S531" s="50"/>
      <c r="T531" s="50"/>
      <c r="U531" s="50"/>
      <c r="V531" s="50"/>
      <c r="W531" s="50"/>
      <c r="X531" s="50"/>
      <c r="Y531" s="50"/>
      <c r="Z531" s="50"/>
      <c r="AA531" s="50"/>
      <c r="AB531" s="50"/>
    </row>
    <row r="532" customFormat="false" ht="15.75" hidden="false" customHeight="false" outlineLevel="0" collapsed="false">
      <c r="A532" s="50"/>
      <c r="B532" s="50"/>
      <c r="C532" s="5"/>
      <c r="D532" s="48"/>
      <c r="E532" s="50"/>
      <c r="F532" s="5"/>
      <c r="G532" s="5"/>
      <c r="H532" s="5"/>
      <c r="I532" s="5"/>
      <c r="J532" s="5"/>
      <c r="K532" s="50"/>
      <c r="L532" s="50"/>
      <c r="M532" s="50"/>
      <c r="N532" s="50"/>
      <c r="O532" s="50"/>
      <c r="P532" s="50"/>
      <c r="Q532" s="50"/>
      <c r="R532" s="50"/>
      <c r="S532" s="50"/>
      <c r="T532" s="50"/>
      <c r="U532" s="50"/>
      <c r="V532" s="50"/>
      <c r="W532" s="50"/>
      <c r="X532" s="50"/>
      <c r="Y532" s="50"/>
      <c r="Z532" s="50"/>
      <c r="AA532" s="50"/>
      <c r="AB532" s="50"/>
    </row>
    <row r="533" customFormat="false" ht="15.75" hidden="false" customHeight="false" outlineLevel="0" collapsed="false">
      <c r="A533" s="50"/>
      <c r="B533" s="50"/>
      <c r="C533" s="5"/>
      <c r="D533" s="48"/>
      <c r="E533" s="50"/>
      <c r="F533" s="5"/>
      <c r="G533" s="5"/>
      <c r="H533" s="5"/>
      <c r="I533" s="5"/>
      <c r="J533" s="5"/>
      <c r="K533" s="50"/>
      <c r="L533" s="50"/>
      <c r="M533" s="50"/>
      <c r="N533" s="50"/>
      <c r="O533" s="50"/>
      <c r="P533" s="50"/>
      <c r="Q533" s="50"/>
      <c r="R533" s="50"/>
      <c r="S533" s="50"/>
      <c r="T533" s="50"/>
      <c r="U533" s="50"/>
      <c r="V533" s="50"/>
      <c r="W533" s="50"/>
      <c r="X533" s="50"/>
      <c r="Y533" s="50"/>
      <c r="Z533" s="50"/>
      <c r="AA533" s="50"/>
      <c r="AB533" s="50"/>
    </row>
    <row r="534" customFormat="false" ht="15.75" hidden="false" customHeight="false" outlineLevel="0" collapsed="false">
      <c r="A534" s="50"/>
      <c r="B534" s="50"/>
      <c r="C534" s="5"/>
      <c r="D534" s="48"/>
      <c r="E534" s="50"/>
      <c r="F534" s="5"/>
      <c r="G534" s="5"/>
      <c r="H534" s="5"/>
      <c r="I534" s="5"/>
      <c r="J534" s="5"/>
      <c r="K534" s="50"/>
      <c r="L534" s="50"/>
      <c r="M534" s="50"/>
      <c r="N534" s="50"/>
      <c r="O534" s="50"/>
      <c r="P534" s="50"/>
      <c r="Q534" s="50"/>
      <c r="R534" s="50"/>
      <c r="S534" s="50"/>
      <c r="T534" s="50"/>
      <c r="U534" s="50"/>
      <c r="V534" s="50"/>
      <c r="W534" s="50"/>
      <c r="X534" s="50"/>
      <c r="Y534" s="50"/>
      <c r="Z534" s="50"/>
      <c r="AA534" s="50"/>
      <c r="AB534" s="50"/>
    </row>
    <row r="535" customFormat="false" ht="15.75" hidden="false" customHeight="false" outlineLevel="0" collapsed="false">
      <c r="A535" s="50"/>
      <c r="B535" s="50"/>
      <c r="C535" s="5"/>
      <c r="D535" s="48"/>
      <c r="E535" s="50"/>
      <c r="F535" s="5"/>
      <c r="G535" s="5"/>
      <c r="H535" s="5"/>
      <c r="I535" s="5"/>
      <c r="J535" s="5"/>
      <c r="K535" s="50"/>
      <c r="L535" s="50"/>
      <c r="M535" s="50"/>
      <c r="N535" s="50"/>
      <c r="O535" s="50"/>
      <c r="P535" s="50"/>
      <c r="Q535" s="50"/>
      <c r="R535" s="50"/>
      <c r="S535" s="50"/>
      <c r="T535" s="50"/>
      <c r="U535" s="50"/>
      <c r="V535" s="50"/>
      <c r="W535" s="50"/>
      <c r="X535" s="50"/>
      <c r="Y535" s="50"/>
      <c r="Z535" s="50"/>
      <c r="AA535" s="50"/>
      <c r="AB535" s="50"/>
    </row>
    <row r="536" customFormat="false" ht="15.75" hidden="false" customHeight="false" outlineLevel="0" collapsed="false">
      <c r="A536" s="50"/>
      <c r="B536" s="50"/>
      <c r="C536" s="5"/>
      <c r="D536" s="48"/>
      <c r="E536" s="50"/>
      <c r="F536" s="5"/>
      <c r="G536" s="5"/>
      <c r="H536" s="5"/>
      <c r="I536" s="5"/>
      <c r="J536" s="5"/>
      <c r="K536" s="50"/>
      <c r="L536" s="50"/>
      <c r="M536" s="50"/>
      <c r="N536" s="50"/>
      <c r="O536" s="50"/>
      <c r="P536" s="50"/>
      <c r="Q536" s="50"/>
      <c r="R536" s="50"/>
      <c r="S536" s="50"/>
      <c r="T536" s="50"/>
      <c r="U536" s="50"/>
      <c r="V536" s="50"/>
      <c r="W536" s="50"/>
      <c r="X536" s="50"/>
      <c r="Y536" s="50"/>
      <c r="Z536" s="50"/>
      <c r="AA536" s="50"/>
      <c r="AB536" s="50"/>
    </row>
    <row r="537" customFormat="false" ht="15.75" hidden="false" customHeight="false" outlineLevel="0" collapsed="false">
      <c r="A537" s="50"/>
      <c r="B537" s="50"/>
      <c r="C537" s="5"/>
      <c r="D537" s="48"/>
      <c r="E537" s="50"/>
      <c r="F537" s="5"/>
      <c r="G537" s="5"/>
      <c r="H537" s="5"/>
      <c r="I537" s="5"/>
      <c r="J537" s="5"/>
      <c r="K537" s="50"/>
      <c r="L537" s="50"/>
      <c r="M537" s="50"/>
      <c r="N537" s="50"/>
      <c r="O537" s="50"/>
      <c r="P537" s="50"/>
      <c r="Q537" s="50"/>
      <c r="R537" s="50"/>
      <c r="S537" s="50"/>
      <c r="T537" s="50"/>
      <c r="U537" s="50"/>
      <c r="V537" s="50"/>
      <c r="W537" s="50"/>
      <c r="X537" s="50"/>
      <c r="Y537" s="50"/>
      <c r="Z537" s="50"/>
      <c r="AA537" s="50"/>
      <c r="AB537" s="50"/>
    </row>
    <row r="538" customFormat="false" ht="15.75" hidden="false" customHeight="false" outlineLevel="0" collapsed="false">
      <c r="A538" s="50"/>
      <c r="B538" s="50"/>
      <c r="C538" s="5"/>
      <c r="D538" s="48"/>
      <c r="E538" s="50"/>
      <c r="F538" s="5"/>
      <c r="G538" s="5"/>
      <c r="H538" s="5"/>
      <c r="I538" s="5"/>
      <c r="J538" s="5"/>
      <c r="K538" s="50"/>
      <c r="L538" s="50"/>
      <c r="M538" s="50"/>
      <c r="N538" s="50"/>
      <c r="O538" s="50"/>
      <c r="P538" s="50"/>
      <c r="Q538" s="50"/>
      <c r="R538" s="50"/>
      <c r="S538" s="50"/>
      <c r="T538" s="50"/>
      <c r="U538" s="50"/>
      <c r="V538" s="50"/>
      <c r="W538" s="50"/>
      <c r="X538" s="50"/>
      <c r="Y538" s="50"/>
      <c r="Z538" s="50"/>
      <c r="AA538" s="50"/>
      <c r="AB538" s="50"/>
    </row>
    <row r="539" customFormat="false" ht="15.75" hidden="false" customHeight="false" outlineLevel="0" collapsed="false">
      <c r="A539" s="50"/>
      <c r="B539" s="50"/>
      <c r="C539" s="5"/>
      <c r="D539" s="48"/>
      <c r="E539" s="50"/>
      <c r="F539" s="5"/>
      <c r="G539" s="5"/>
      <c r="H539" s="5"/>
      <c r="I539" s="5"/>
      <c r="J539" s="5"/>
      <c r="K539" s="50"/>
      <c r="L539" s="50"/>
      <c r="M539" s="50"/>
      <c r="N539" s="50"/>
      <c r="O539" s="50"/>
      <c r="P539" s="50"/>
      <c r="Q539" s="50"/>
      <c r="R539" s="50"/>
      <c r="S539" s="50"/>
      <c r="T539" s="50"/>
      <c r="U539" s="50"/>
      <c r="V539" s="50"/>
      <c r="W539" s="50"/>
      <c r="X539" s="50"/>
      <c r="Y539" s="50"/>
      <c r="Z539" s="50"/>
      <c r="AA539" s="50"/>
      <c r="AB539" s="50"/>
    </row>
    <row r="540" customFormat="false" ht="15.75" hidden="false" customHeight="false" outlineLevel="0" collapsed="false">
      <c r="A540" s="50"/>
      <c r="B540" s="50"/>
      <c r="C540" s="5"/>
      <c r="D540" s="48"/>
      <c r="E540" s="50"/>
      <c r="F540" s="5"/>
      <c r="G540" s="5"/>
      <c r="H540" s="5"/>
      <c r="I540" s="5"/>
      <c r="J540" s="5"/>
      <c r="K540" s="50"/>
      <c r="L540" s="50"/>
      <c r="M540" s="50"/>
      <c r="N540" s="50"/>
      <c r="O540" s="50"/>
      <c r="P540" s="50"/>
      <c r="Q540" s="50"/>
      <c r="R540" s="50"/>
      <c r="S540" s="50"/>
      <c r="T540" s="50"/>
      <c r="U540" s="50"/>
      <c r="V540" s="50"/>
      <c r="W540" s="50"/>
      <c r="X540" s="50"/>
      <c r="Y540" s="50"/>
      <c r="Z540" s="50"/>
      <c r="AA540" s="50"/>
      <c r="AB540" s="50"/>
    </row>
    <row r="541" customFormat="false" ht="15.75" hidden="false" customHeight="false" outlineLevel="0" collapsed="false">
      <c r="A541" s="50"/>
      <c r="B541" s="50"/>
      <c r="C541" s="5"/>
      <c r="D541" s="48"/>
      <c r="E541" s="50"/>
      <c r="F541" s="5"/>
      <c r="G541" s="5"/>
      <c r="H541" s="5"/>
      <c r="I541" s="5"/>
      <c r="J541" s="5"/>
      <c r="K541" s="50"/>
      <c r="L541" s="50"/>
      <c r="M541" s="50"/>
      <c r="N541" s="50"/>
      <c r="O541" s="50"/>
      <c r="P541" s="50"/>
      <c r="Q541" s="50"/>
      <c r="R541" s="50"/>
      <c r="S541" s="50"/>
      <c r="T541" s="50"/>
      <c r="U541" s="50"/>
      <c r="V541" s="50"/>
      <c r="W541" s="50"/>
      <c r="X541" s="50"/>
      <c r="Y541" s="50"/>
      <c r="Z541" s="50"/>
      <c r="AA541" s="50"/>
      <c r="AB541" s="50"/>
    </row>
    <row r="542" customFormat="false" ht="15.75" hidden="false" customHeight="false" outlineLevel="0" collapsed="false">
      <c r="A542" s="50"/>
      <c r="B542" s="50"/>
      <c r="C542" s="5"/>
      <c r="D542" s="48"/>
      <c r="E542" s="50"/>
      <c r="F542" s="5"/>
      <c r="G542" s="5"/>
      <c r="H542" s="5"/>
      <c r="I542" s="5"/>
      <c r="J542" s="5"/>
      <c r="K542" s="50"/>
      <c r="L542" s="50"/>
      <c r="M542" s="50"/>
      <c r="N542" s="50"/>
      <c r="O542" s="50"/>
      <c r="P542" s="50"/>
      <c r="Q542" s="50"/>
      <c r="R542" s="50"/>
      <c r="S542" s="50"/>
      <c r="T542" s="50"/>
      <c r="U542" s="50"/>
      <c r="V542" s="50"/>
      <c r="W542" s="50"/>
      <c r="X542" s="50"/>
      <c r="Y542" s="50"/>
      <c r="Z542" s="50"/>
      <c r="AA542" s="50"/>
      <c r="AB542" s="50"/>
    </row>
    <row r="543" customFormat="false" ht="15.75" hidden="false" customHeight="false" outlineLevel="0" collapsed="false">
      <c r="A543" s="50"/>
      <c r="B543" s="50"/>
      <c r="C543" s="5"/>
      <c r="D543" s="48"/>
      <c r="E543" s="50"/>
      <c r="F543" s="5"/>
      <c r="G543" s="5"/>
      <c r="H543" s="5"/>
      <c r="I543" s="5"/>
      <c r="J543" s="5"/>
      <c r="K543" s="50"/>
      <c r="L543" s="50"/>
      <c r="M543" s="50"/>
      <c r="N543" s="50"/>
      <c r="O543" s="50"/>
      <c r="P543" s="50"/>
      <c r="Q543" s="50"/>
      <c r="R543" s="50"/>
      <c r="S543" s="50"/>
      <c r="T543" s="50"/>
      <c r="U543" s="50"/>
      <c r="V543" s="50"/>
      <c r="W543" s="50"/>
      <c r="X543" s="50"/>
      <c r="Y543" s="50"/>
      <c r="Z543" s="50"/>
      <c r="AA543" s="50"/>
      <c r="AB543" s="50"/>
    </row>
    <row r="544" customFormat="false" ht="15.75" hidden="false" customHeight="false" outlineLevel="0" collapsed="false">
      <c r="A544" s="50"/>
      <c r="B544" s="50"/>
      <c r="C544" s="5"/>
      <c r="D544" s="48"/>
      <c r="E544" s="50"/>
      <c r="F544" s="5"/>
      <c r="G544" s="5"/>
      <c r="H544" s="5"/>
      <c r="I544" s="5"/>
      <c r="J544" s="5"/>
      <c r="K544" s="50"/>
      <c r="L544" s="50"/>
      <c r="M544" s="50"/>
      <c r="N544" s="50"/>
      <c r="O544" s="50"/>
      <c r="P544" s="50"/>
      <c r="Q544" s="50"/>
      <c r="R544" s="50"/>
      <c r="S544" s="50"/>
      <c r="T544" s="50"/>
      <c r="U544" s="50"/>
      <c r="V544" s="50"/>
      <c r="W544" s="50"/>
      <c r="X544" s="50"/>
      <c r="Y544" s="50"/>
      <c r="Z544" s="50"/>
      <c r="AA544" s="50"/>
      <c r="AB544" s="50"/>
    </row>
    <row r="545" customFormat="false" ht="15.75" hidden="false" customHeight="false" outlineLevel="0" collapsed="false">
      <c r="A545" s="50"/>
      <c r="B545" s="50"/>
      <c r="C545" s="5"/>
      <c r="D545" s="48"/>
      <c r="E545" s="50"/>
      <c r="F545" s="5"/>
      <c r="G545" s="5"/>
      <c r="H545" s="5"/>
      <c r="I545" s="5"/>
      <c r="J545" s="5"/>
      <c r="K545" s="50"/>
      <c r="L545" s="50"/>
      <c r="M545" s="50"/>
      <c r="N545" s="50"/>
      <c r="O545" s="50"/>
      <c r="P545" s="50"/>
      <c r="Q545" s="50"/>
      <c r="R545" s="50"/>
      <c r="S545" s="50"/>
      <c r="T545" s="50"/>
      <c r="U545" s="50"/>
      <c r="V545" s="50"/>
      <c r="W545" s="50"/>
      <c r="X545" s="50"/>
      <c r="Y545" s="50"/>
      <c r="Z545" s="50"/>
      <c r="AA545" s="50"/>
      <c r="AB545" s="50"/>
    </row>
    <row r="546" customFormat="false" ht="15.75" hidden="false" customHeight="false" outlineLevel="0" collapsed="false">
      <c r="A546" s="50"/>
      <c r="B546" s="50"/>
      <c r="C546" s="5"/>
      <c r="D546" s="48"/>
      <c r="E546" s="50"/>
      <c r="F546" s="5"/>
      <c r="G546" s="5"/>
      <c r="H546" s="5"/>
      <c r="I546" s="5"/>
      <c r="J546" s="5"/>
      <c r="K546" s="50"/>
      <c r="L546" s="50"/>
      <c r="M546" s="50"/>
      <c r="N546" s="50"/>
      <c r="O546" s="50"/>
      <c r="P546" s="50"/>
      <c r="Q546" s="50"/>
      <c r="R546" s="50"/>
      <c r="S546" s="50"/>
      <c r="T546" s="50"/>
      <c r="U546" s="50"/>
      <c r="V546" s="50"/>
      <c r="W546" s="50"/>
      <c r="X546" s="50"/>
      <c r="Y546" s="50"/>
      <c r="Z546" s="50"/>
      <c r="AA546" s="50"/>
      <c r="AB546" s="50"/>
    </row>
    <row r="547" customFormat="false" ht="15.75" hidden="false" customHeight="false" outlineLevel="0" collapsed="false">
      <c r="A547" s="50"/>
      <c r="B547" s="50"/>
      <c r="C547" s="5"/>
      <c r="D547" s="48"/>
      <c r="E547" s="50"/>
      <c r="F547" s="5"/>
      <c r="G547" s="5"/>
      <c r="H547" s="5"/>
      <c r="I547" s="5"/>
      <c r="J547" s="5"/>
      <c r="K547" s="50"/>
      <c r="L547" s="50"/>
      <c r="M547" s="50"/>
      <c r="N547" s="50"/>
      <c r="O547" s="50"/>
      <c r="P547" s="50"/>
      <c r="Q547" s="50"/>
      <c r="R547" s="50"/>
      <c r="S547" s="50"/>
      <c r="T547" s="50"/>
      <c r="U547" s="50"/>
      <c r="V547" s="50"/>
      <c r="W547" s="50"/>
      <c r="X547" s="50"/>
      <c r="Y547" s="50"/>
      <c r="Z547" s="50"/>
      <c r="AA547" s="50"/>
      <c r="AB547" s="50"/>
    </row>
    <row r="548" customFormat="false" ht="15.75" hidden="false" customHeight="false" outlineLevel="0" collapsed="false">
      <c r="A548" s="50"/>
      <c r="B548" s="50"/>
      <c r="C548" s="5"/>
      <c r="D548" s="48"/>
      <c r="E548" s="50"/>
      <c r="F548" s="5"/>
      <c r="G548" s="5"/>
      <c r="H548" s="5"/>
      <c r="I548" s="5"/>
      <c r="J548" s="5"/>
      <c r="K548" s="50"/>
      <c r="L548" s="50"/>
      <c r="M548" s="50"/>
      <c r="N548" s="50"/>
      <c r="O548" s="50"/>
      <c r="P548" s="50"/>
      <c r="Q548" s="50"/>
      <c r="R548" s="50"/>
      <c r="S548" s="50"/>
      <c r="T548" s="50"/>
      <c r="U548" s="50"/>
      <c r="V548" s="50"/>
      <c r="W548" s="50"/>
      <c r="X548" s="50"/>
      <c r="Y548" s="50"/>
      <c r="Z548" s="50"/>
      <c r="AA548" s="50"/>
      <c r="AB548" s="50"/>
    </row>
    <row r="549" customFormat="false" ht="15.75" hidden="false" customHeight="false" outlineLevel="0" collapsed="false">
      <c r="A549" s="50"/>
      <c r="B549" s="50"/>
      <c r="C549" s="5"/>
      <c r="D549" s="48"/>
      <c r="E549" s="50"/>
      <c r="F549" s="5"/>
      <c r="G549" s="5"/>
      <c r="H549" s="5"/>
      <c r="I549" s="5"/>
      <c r="J549" s="5"/>
      <c r="K549" s="50"/>
      <c r="L549" s="50"/>
      <c r="M549" s="50"/>
      <c r="N549" s="50"/>
      <c r="O549" s="50"/>
      <c r="P549" s="50"/>
      <c r="Q549" s="50"/>
      <c r="R549" s="50"/>
      <c r="S549" s="50"/>
      <c r="T549" s="50"/>
      <c r="U549" s="50"/>
      <c r="V549" s="50"/>
      <c r="W549" s="50"/>
      <c r="X549" s="50"/>
      <c r="Y549" s="50"/>
      <c r="Z549" s="50"/>
      <c r="AA549" s="50"/>
      <c r="AB549" s="50"/>
    </row>
    <row r="550" customFormat="false" ht="15.75" hidden="false" customHeight="false" outlineLevel="0" collapsed="false">
      <c r="A550" s="50"/>
      <c r="B550" s="50"/>
      <c r="C550" s="5"/>
      <c r="D550" s="48"/>
      <c r="E550" s="50"/>
      <c r="F550" s="5"/>
      <c r="G550" s="5"/>
      <c r="H550" s="5"/>
      <c r="I550" s="5"/>
      <c r="J550" s="5"/>
      <c r="K550" s="50"/>
      <c r="L550" s="50"/>
      <c r="M550" s="50"/>
      <c r="N550" s="50"/>
      <c r="O550" s="50"/>
      <c r="P550" s="50"/>
      <c r="Q550" s="50"/>
      <c r="R550" s="50"/>
      <c r="S550" s="50"/>
      <c r="T550" s="50"/>
      <c r="U550" s="50"/>
      <c r="V550" s="50"/>
      <c r="W550" s="50"/>
      <c r="X550" s="50"/>
      <c r="Y550" s="50"/>
      <c r="Z550" s="50"/>
      <c r="AA550" s="50"/>
      <c r="AB550" s="50"/>
    </row>
    <row r="551" customFormat="false" ht="15.75" hidden="false" customHeight="false" outlineLevel="0" collapsed="false">
      <c r="A551" s="50"/>
      <c r="B551" s="50"/>
      <c r="C551" s="5"/>
      <c r="D551" s="48"/>
      <c r="E551" s="50"/>
      <c r="F551" s="5"/>
      <c r="G551" s="5"/>
      <c r="H551" s="5"/>
      <c r="I551" s="5"/>
      <c r="J551" s="5"/>
      <c r="K551" s="50"/>
      <c r="L551" s="50"/>
      <c r="M551" s="50"/>
      <c r="N551" s="50"/>
      <c r="O551" s="50"/>
      <c r="P551" s="50"/>
      <c r="Q551" s="50"/>
      <c r="R551" s="50"/>
      <c r="S551" s="50"/>
      <c r="T551" s="50"/>
      <c r="U551" s="50"/>
      <c r="V551" s="50"/>
      <c r="W551" s="50"/>
      <c r="X551" s="50"/>
      <c r="Y551" s="50"/>
      <c r="Z551" s="50"/>
      <c r="AA551" s="50"/>
      <c r="AB551" s="50"/>
    </row>
    <row r="552" customFormat="false" ht="15.75" hidden="false" customHeight="false" outlineLevel="0" collapsed="false">
      <c r="A552" s="50"/>
      <c r="B552" s="50"/>
      <c r="C552" s="5"/>
      <c r="D552" s="48"/>
      <c r="E552" s="50"/>
      <c r="F552" s="5"/>
      <c r="G552" s="5"/>
      <c r="H552" s="5"/>
      <c r="I552" s="5"/>
      <c r="J552" s="5"/>
      <c r="K552" s="50"/>
      <c r="L552" s="50"/>
      <c r="M552" s="50"/>
      <c r="N552" s="50"/>
      <c r="O552" s="50"/>
      <c r="P552" s="50"/>
      <c r="Q552" s="50"/>
      <c r="R552" s="50"/>
      <c r="S552" s="50"/>
      <c r="T552" s="50"/>
      <c r="U552" s="50"/>
      <c r="V552" s="50"/>
      <c r="W552" s="50"/>
      <c r="X552" s="50"/>
      <c r="Y552" s="50"/>
      <c r="Z552" s="50"/>
      <c r="AA552" s="50"/>
      <c r="AB552" s="50"/>
    </row>
    <row r="553" customFormat="false" ht="15.75" hidden="false" customHeight="false" outlineLevel="0" collapsed="false">
      <c r="A553" s="50"/>
      <c r="B553" s="50"/>
      <c r="C553" s="5"/>
      <c r="D553" s="48"/>
      <c r="E553" s="50"/>
      <c r="F553" s="5"/>
      <c r="G553" s="5"/>
      <c r="H553" s="5"/>
      <c r="I553" s="5"/>
      <c r="J553" s="5"/>
      <c r="K553" s="50"/>
      <c r="L553" s="50"/>
      <c r="M553" s="50"/>
      <c r="N553" s="50"/>
      <c r="O553" s="50"/>
      <c r="P553" s="50"/>
      <c r="Q553" s="50"/>
      <c r="R553" s="50"/>
      <c r="S553" s="50"/>
      <c r="T553" s="50"/>
      <c r="U553" s="50"/>
      <c r="V553" s="50"/>
      <c r="W553" s="50"/>
      <c r="X553" s="50"/>
      <c r="Y553" s="50"/>
      <c r="Z553" s="50"/>
      <c r="AA553" s="50"/>
      <c r="AB553" s="50"/>
    </row>
    <row r="554" customFormat="false" ht="15.75" hidden="false" customHeight="false" outlineLevel="0" collapsed="false">
      <c r="A554" s="50"/>
      <c r="B554" s="50"/>
      <c r="C554" s="5"/>
      <c r="D554" s="48"/>
      <c r="E554" s="50"/>
      <c r="F554" s="5"/>
      <c r="G554" s="5"/>
      <c r="H554" s="5"/>
      <c r="I554" s="5"/>
      <c r="J554" s="5"/>
      <c r="K554" s="50"/>
      <c r="L554" s="50"/>
      <c r="M554" s="50"/>
      <c r="N554" s="50"/>
      <c r="O554" s="50"/>
      <c r="P554" s="50"/>
      <c r="Q554" s="50"/>
      <c r="R554" s="50"/>
      <c r="S554" s="50"/>
      <c r="T554" s="50"/>
      <c r="U554" s="50"/>
      <c r="V554" s="50"/>
      <c r="W554" s="50"/>
      <c r="X554" s="50"/>
      <c r="Y554" s="50"/>
      <c r="Z554" s="50"/>
      <c r="AA554" s="50"/>
      <c r="AB554" s="50"/>
    </row>
    <row r="555" customFormat="false" ht="15.75" hidden="false" customHeight="false" outlineLevel="0" collapsed="false">
      <c r="A555" s="50"/>
      <c r="B555" s="50"/>
      <c r="C555" s="5"/>
      <c r="D555" s="48"/>
      <c r="E555" s="50"/>
      <c r="F555" s="5"/>
      <c r="G555" s="5"/>
      <c r="H555" s="5"/>
      <c r="I555" s="5"/>
      <c r="J555" s="5"/>
      <c r="K555" s="50"/>
      <c r="L555" s="50"/>
      <c r="M555" s="50"/>
      <c r="N555" s="50"/>
      <c r="O555" s="50"/>
      <c r="P555" s="50"/>
      <c r="Q555" s="50"/>
      <c r="R555" s="50"/>
      <c r="S555" s="50"/>
      <c r="T555" s="50"/>
      <c r="U555" s="50"/>
      <c r="V555" s="50"/>
      <c r="W555" s="50"/>
      <c r="X555" s="50"/>
      <c r="Y555" s="50"/>
      <c r="Z555" s="50"/>
      <c r="AA555" s="50"/>
      <c r="AB555" s="50"/>
    </row>
    <row r="556" customFormat="false" ht="15.75" hidden="false" customHeight="false" outlineLevel="0" collapsed="false">
      <c r="A556" s="50"/>
      <c r="B556" s="50"/>
      <c r="C556" s="5"/>
      <c r="D556" s="48"/>
      <c r="E556" s="50"/>
      <c r="F556" s="5"/>
      <c r="G556" s="5"/>
      <c r="H556" s="5"/>
      <c r="I556" s="5"/>
      <c r="J556" s="5"/>
      <c r="K556" s="50"/>
      <c r="L556" s="50"/>
      <c r="M556" s="50"/>
      <c r="N556" s="50"/>
      <c r="O556" s="50"/>
      <c r="P556" s="50"/>
      <c r="Q556" s="50"/>
      <c r="R556" s="50"/>
      <c r="S556" s="50"/>
      <c r="T556" s="50"/>
      <c r="U556" s="50"/>
      <c r="V556" s="50"/>
      <c r="W556" s="50"/>
      <c r="X556" s="50"/>
      <c r="Y556" s="50"/>
      <c r="Z556" s="50"/>
      <c r="AA556" s="50"/>
      <c r="AB556" s="50"/>
    </row>
    <row r="557" customFormat="false" ht="15.75" hidden="false" customHeight="false" outlineLevel="0" collapsed="false">
      <c r="A557" s="50"/>
      <c r="B557" s="50"/>
      <c r="C557" s="5"/>
      <c r="D557" s="48"/>
      <c r="E557" s="50"/>
      <c r="F557" s="5"/>
      <c r="G557" s="5"/>
      <c r="H557" s="5"/>
      <c r="I557" s="5"/>
      <c r="J557" s="5"/>
      <c r="K557" s="50"/>
      <c r="L557" s="50"/>
      <c r="M557" s="50"/>
      <c r="N557" s="50"/>
      <c r="O557" s="50"/>
      <c r="P557" s="50"/>
      <c r="Q557" s="50"/>
      <c r="R557" s="50"/>
      <c r="S557" s="50"/>
      <c r="T557" s="50"/>
      <c r="U557" s="50"/>
      <c r="V557" s="50"/>
      <c r="W557" s="50"/>
      <c r="X557" s="50"/>
      <c r="Y557" s="50"/>
      <c r="Z557" s="50"/>
      <c r="AA557" s="50"/>
      <c r="AB557" s="50"/>
    </row>
    <row r="558" customFormat="false" ht="15.75" hidden="false" customHeight="false" outlineLevel="0" collapsed="false">
      <c r="A558" s="50"/>
      <c r="B558" s="50"/>
      <c r="C558" s="5"/>
      <c r="D558" s="48"/>
      <c r="E558" s="50"/>
      <c r="F558" s="5"/>
      <c r="G558" s="5"/>
      <c r="H558" s="5"/>
      <c r="I558" s="5"/>
      <c r="J558" s="5"/>
      <c r="K558" s="50"/>
      <c r="L558" s="50"/>
      <c r="M558" s="50"/>
      <c r="N558" s="50"/>
      <c r="O558" s="50"/>
      <c r="P558" s="50"/>
      <c r="Q558" s="50"/>
      <c r="R558" s="50"/>
      <c r="S558" s="50"/>
      <c r="T558" s="50"/>
      <c r="U558" s="50"/>
      <c r="V558" s="50"/>
      <c r="W558" s="50"/>
      <c r="X558" s="50"/>
      <c r="Y558" s="50"/>
      <c r="Z558" s="50"/>
      <c r="AA558" s="50"/>
      <c r="AB558" s="50"/>
    </row>
    <row r="559" customFormat="false" ht="15.75" hidden="false" customHeight="false" outlineLevel="0" collapsed="false">
      <c r="A559" s="50"/>
      <c r="B559" s="50"/>
      <c r="C559" s="5"/>
      <c r="D559" s="48"/>
      <c r="E559" s="50"/>
      <c r="F559" s="5"/>
      <c r="G559" s="5"/>
      <c r="H559" s="5"/>
      <c r="I559" s="5"/>
      <c r="J559" s="5"/>
      <c r="K559" s="50"/>
      <c r="L559" s="50"/>
      <c r="M559" s="50"/>
      <c r="N559" s="50"/>
      <c r="O559" s="50"/>
      <c r="P559" s="50"/>
      <c r="Q559" s="50"/>
      <c r="R559" s="50"/>
      <c r="S559" s="50"/>
      <c r="T559" s="50"/>
      <c r="U559" s="50"/>
      <c r="V559" s="50"/>
      <c r="W559" s="50"/>
      <c r="X559" s="50"/>
      <c r="Y559" s="50"/>
      <c r="Z559" s="50"/>
      <c r="AA559" s="50"/>
      <c r="AB559" s="50"/>
    </row>
    <row r="560" customFormat="false" ht="15.75" hidden="false" customHeight="false" outlineLevel="0" collapsed="false">
      <c r="A560" s="50"/>
      <c r="B560" s="50"/>
      <c r="C560" s="5"/>
      <c r="D560" s="48"/>
      <c r="E560" s="50"/>
      <c r="F560" s="5"/>
      <c r="G560" s="5"/>
      <c r="H560" s="5"/>
      <c r="I560" s="5"/>
      <c r="J560" s="5"/>
      <c r="K560" s="50"/>
      <c r="L560" s="50"/>
      <c r="M560" s="50"/>
      <c r="N560" s="50"/>
      <c r="O560" s="50"/>
      <c r="P560" s="50"/>
      <c r="Q560" s="50"/>
      <c r="R560" s="50"/>
      <c r="S560" s="50"/>
      <c r="T560" s="50"/>
      <c r="U560" s="50"/>
      <c r="V560" s="50"/>
      <c r="W560" s="50"/>
      <c r="X560" s="50"/>
      <c r="Y560" s="50"/>
      <c r="Z560" s="50"/>
      <c r="AA560" s="50"/>
      <c r="AB560" s="50"/>
    </row>
    <row r="561" customFormat="false" ht="15.75" hidden="false" customHeight="false" outlineLevel="0" collapsed="false">
      <c r="A561" s="50"/>
      <c r="B561" s="50"/>
      <c r="C561" s="5"/>
      <c r="D561" s="48"/>
      <c r="E561" s="50"/>
      <c r="F561" s="5"/>
      <c r="G561" s="5"/>
      <c r="H561" s="5"/>
      <c r="I561" s="5"/>
      <c r="J561" s="5"/>
      <c r="K561" s="50"/>
      <c r="L561" s="50"/>
      <c r="M561" s="50"/>
      <c r="N561" s="50"/>
      <c r="O561" s="50"/>
      <c r="P561" s="50"/>
      <c r="Q561" s="50"/>
      <c r="R561" s="50"/>
      <c r="S561" s="50"/>
      <c r="T561" s="50"/>
      <c r="U561" s="50"/>
      <c r="V561" s="50"/>
      <c r="W561" s="50"/>
      <c r="X561" s="50"/>
      <c r="Y561" s="50"/>
      <c r="Z561" s="50"/>
      <c r="AA561" s="50"/>
      <c r="AB561" s="50"/>
    </row>
    <row r="562" customFormat="false" ht="15.75" hidden="false" customHeight="false" outlineLevel="0" collapsed="false">
      <c r="A562" s="50"/>
      <c r="B562" s="50"/>
      <c r="C562" s="5"/>
      <c r="D562" s="48"/>
      <c r="E562" s="50"/>
      <c r="F562" s="5"/>
      <c r="G562" s="5"/>
      <c r="H562" s="5"/>
      <c r="I562" s="5"/>
      <c r="J562" s="5"/>
      <c r="K562" s="50"/>
      <c r="L562" s="50"/>
      <c r="M562" s="50"/>
      <c r="N562" s="50"/>
      <c r="O562" s="50"/>
      <c r="P562" s="50"/>
      <c r="Q562" s="50"/>
      <c r="R562" s="50"/>
      <c r="S562" s="50"/>
      <c r="T562" s="50"/>
      <c r="U562" s="50"/>
      <c r="V562" s="50"/>
      <c r="W562" s="50"/>
      <c r="X562" s="50"/>
      <c r="Y562" s="50"/>
      <c r="Z562" s="50"/>
      <c r="AA562" s="50"/>
      <c r="AB562" s="50"/>
    </row>
    <row r="563" customFormat="false" ht="15.75" hidden="false" customHeight="false" outlineLevel="0" collapsed="false">
      <c r="A563" s="50"/>
      <c r="B563" s="50"/>
      <c r="C563" s="5"/>
      <c r="D563" s="48"/>
      <c r="E563" s="50"/>
      <c r="F563" s="5"/>
      <c r="G563" s="5"/>
      <c r="H563" s="5"/>
      <c r="I563" s="5"/>
      <c r="J563" s="5"/>
      <c r="K563" s="50"/>
      <c r="L563" s="50"/>
      <c r="M563" s="50"/>
      <c r="N563" s="50"/>
      <c r="O563" s="50"/>
      <c r="P563" s="50"/>
      <c r="Q563" s="50"/>
      <c r="R563" s="50"/>
      <c r="S563" s="50"/>
      <c r="T563" s="50"/>
      <c r="U563" s="50"/>
      <c r="V563" s="50"/>
      <c r="W563" s="50"/>
      <c r="X563" s="50"/>
      <c r="Y563" s="50"/>
      <c r="Z563" s="50"/>
      <c r="AA563" s="50"/>
      <c r="AB563" s="50"/>
    </row>
    <row r="564" customFormat="false" ht="15.75" hidden="false" customHeight="false" outlineLevel="0" collapsed="false">
      <c r="A564" s="50"/>
      <c r="B564" s="50"/>
      <c r="C564" s="5"/>
      <c r="D564" s="48"/>
      <c r="E564" s="50"/>
      <c r="F564" s="5"/>
      <c r="G564" s="5"/>
      <c r="H564" s="5"/>
      <c r="I564" s="5"/>
      <c r="J564" s="5"/>
      <c r="K564" s="50"/>
      <c r="L564" s="50"/>
      <c r="M564" s="50"/>
      <c r="N564" s="50"/>
      <c r="O564" s="50"/>
      <c r="P564" s="50"/>
      <c r="Q564" s="50"/>
      <c r="R564" s="50"/>
      <c r="S564" s="50"/>
      <c r="T564" s="50"/>
      <c r="U564" s="50"/>
      <c r="V564" s="50"/>
      <c r="W564" s="50"/>
      <c r="X564" s="50"/>
      <c r="Y564" s="50"/>
      <c r="Z564" s="50"/>
      <c r="AA564" s="50"/>
      <c r="AB564" s="50"/>
    </row>
    <row r="565" customFormat="false" ht="15.75" hidden="false" customHeight="false" outlineLevel="0" collapsed="false">
      <c r="A565" s="50"/>
      <c r="B565" s="50"/>
      <c r="C565" s="5"/>
      <c r="D565" s="48"/>
      <c r="E565" s="50"/>
      <c r="F565" s="5"/>
      <c r="G565" s="5"/>
      <c r="H565" s="5"/>
      <c r="I565" s="5"/>
      <c r="J565" s="5"/>
      <c r="K565" s="50"/>
      <c r="L565" s="50"/>
      <c r="M565" s="50"/>
      <c r="N565" s="50"/>
      <c r="O565" s="50"/>
      <c r="P565" s="50"/>
      <c r="Q565" s="50"/>
      <c r="R565" s="50"/>
      <c r="S565" s="50"/>
      <c r="T565" s="50"/>
      <c r="U565" s="50"/>
      <c r="V565" s="50"/>
      <c r="W565" s="50"/>
      <c r="X565" s="50"/>
      <c r="Y565" s="50"/>
      <c r="Z565" s="50"/>
      <c r="AA565" s="50"/>
      <c r="AB565" s="50"/>
    </row>
    <row r="566" customFormat="false" ht="15.75" hidden="false" customHeight="false" outlineLevel="0" collapsed="false">
      <c r="A566" s="50"/>
      <c r="B566" s="50"/>
      <c r="C566" s="5"/>
      <c r="D566" s="48"/>
      <c r="E566" s="50"/>
      <c r="F566" s="5"/>
      <c r="G566" s="5"/>
      <c r="H566" s="5"/>
      <c r="I566" s="5"/>
      <c r="J566" s="5"/>
      <c r="K566" s="50"/>
      <c r="L566" s="50"/>
      <c r="M566" s="50"/>
      <c r="N566" s="50"/>
      <c r="O566" s="50"/>
      <c r="P566" s="50"/>
      <c r="Q566" s="50"/>
      <c r="R566" s="50"/>
      <c r="S566" s="50"/>
      <c r="T566" s="50"/>
      <c r="U566" s="50"/>
      <c r="V566" s="50"/>
      <c r="W566" s="50"/>
      <c r="X566" s="50"/>
      <c r="Y566" s="50"/>
      <c r="Z566" s="50"/>
      <c r="AA566" s="50"/>
      <c r="AB566" s="50"/>
    </row>
    <row r="567" customFormat="false" ht="15.75" hidden="false" customHeight="false" outlineLevel="0" collapsed="false">
      <c r="A567" s="50"/>
      <c r="B567" s="50"/>
      <c r="C567" s="5"/>
      <c r="D567" s="48"/>
      <c r="E567" s="50"/>
      <c r="F567" s="5"/>
      <c r="G567" s="5"/>
      <c r="H567" s="5"/>
      <c r="I567" s="5"/>
      <c r="J567" s="5"/>
      <c r="K567" s="50"/>
      <c r="L567" s="50"/>
      <c r="M567" s="50"/>
      <c r="N567" s="50"/>
      <c r="O567" s="50"/>
      <c r="P567" s="50"/>
      <c r="Q567" s="50"/>
      <c r="R567" s="50"/>
      <c r="S567" s="50"/>
      <c r="T567" s="50"/>
      <c r="U567" s="50"/>
      <c r="V567" s="50"/>
      <c r="W567" s="50"/>
      <c r="X567" s="50"/>
      <c r="Y567" s="50"/>
      <c r="Z567" s="50"/>
      <c r="AA567" s="50"/>
      <c r="AB567" s="50"/>
    </row>
    <row r="568" customFormat="false" ht="15.75" hidden="false" customHeight="false" outlineLevel="0" collapsed="false">
      <c r="A568" s="50"/>
      <c r="B568" s="50"/>
      <c r="C568" s="5"/>
      <c r="D568" s="48"/>
      <c r="E568" s="50"/>
      <c r="F568" s="5"/>
      <c r="G568" s="5"/>
      <c r="H568" s="5"/>
      <c r="I568" s="5"/>
      <c r="J568" s="5"/>
      <c r="K568" s="50"/>
      <c r="L568" s="50"/>
      <c r="M568" s="50"/>
      <c r="N568" s="50"/>
      <c r="O568" s="50"/>
      <c r="P568" s="50"/>
      <c r="Q568" s="50"/>
      <c r="R568" s="50"/>
      <c r="S568" s="50"/>
      <c r="T568" s="50"/>
      <c r="U568" s="50"/>
      <c r="V568" s="50"/>
      <c r="W568" s="50"/>
      <c r="X568" s="50"/>
      <c r="Y568" s="50"/>
      <c r="Z568" s="50"/>
      <c r="AA568" s="50"/>
      <c r="AB568" s="50"/>
    </row>
    <row r="569" customFormat="false" ht="15.75" hidden="false" customHeight="false" outlineLevel="0" collapsed="false">
      <c r="A569" s="50"/>
      <c r="B569" s="50"/>
      <c r="C569" s="5"/>
      <c r="D569" s="48"/>
      <c r="E569" s="50"/>
      <c r="F569" s="5"/>
      <c r="G569" s="5"/>
      <c r="H569" s="5"/>
      <c r="I569" s="5"/>
      <c r="J569" s="5"/>
      <c r="K569" s="50"/>
      <c r="L569" s="50"/>
      <c r="M569" s="50"/>
      <c r="N569" s="50"/>
      <c r="O569" s="50"/>
      <c r="P569" s="50"/>
      <c r="Q569" s="50"/>
      <c r="R569" s="50"/>
      <c r="S569" s="50"/>
      <c r="T569" s="50"/>
      <c r="U569" s="50"/>
      <c r="V569" s="50"/>
      <c r="W569" s="50"/>
      <c r="X569" s="50"/>
      <c r="Y569" s="50"/>
      <c r="Z569" s="50"/>
      <c r="AA569" s="50"/>
      <c r="AB569" s="50"/>
    </row>
    <row r="570" customFormat="false" ht="15.75" hidden="false" customHeight="false" outlineLevel="0" collapsed="false">
      <c r="A570" s="50"/>
      <c r="B570" s="50"/>
      <c r="C570" s="5"/>
      <c r="D570" s="48"/>
      <c r="E570" s="50"/>
      <c r="F570" s="5"/>
      <c r="G570" s="5"/>
      <c r="H570" s="5"/>
      <c r="I570" s="5"/>
      <c r="J570" s="5"/>
      <c r="K570" s="50"/>
      <c r="L570" s="50"/>
      <c r="M570" s="50"/>
      <c r="N570" s="50"/>
      <c r="O570" s="50"/>
      <c r="P570" s="50"/>
      <c r="Q570" s="50"/>
      <c r="R570" s="50"/>
      <c r="S570" s="50"/>
      <c r="T570" s="50"/>
      <c r="U570" s="50"/>
      <c r="V570" s="50"/>
      <c r="W570" s="50"/>
      <c r="X570" s="50"/>
      <c r="Y570" s="50"/>
      <c r="Z570" s="50"/>
      <c r="AA570" s="50"/>
      <c r="AB570" s="50"/>
    </row>
    <row r="571" customFormat="false" ht="15.75" hidden="false" customHeight="false" outlineLevel="0" collapsed="false">
      <c r="A571" s="50"/>
      <c r="B571" s="50"/>
      <c r="C571" s="5"/>
      <c r="D571" s="48"/>
      <c r="E571" s="50"/>
      <c r="F571" s="5"/>
      <c r="G571" s="5"/>
      <c r="H571" s="5"/>
      <c r="I571" s="5"/>
      <c r="J571" s="5"/>
      <c r="K571" s="50"/>
      <c r="L571" s="50"/>
      <c r="M571" s="50"/>
      <c r="N571" s="50"/>
      <c r="O571" s="50"/>
      <c r="P571" s="50"/>
      <c r="Q571" s="50"/>
      <c r="R571" s="50"/>
      <c r="S571" s="50"/>
      <c r="T571" s="50"/>
      <c r="U571" s="50"/>
      <c r="V571" s="50"/>
      <c r="W571" s="50"/>
      <c r="X571" s="50"/>
      <c r="Y571" s="50"/>
      <c r="Z571" s="50"/>
      <c r="AA571" s="50"/>
      <c r="AB571" s="50"/>
    </row>
    <row r="572" customFormat="false" ht="15.75" hidden="false" customHeight="false" outlineLevel="0" collapsed="false">
      <c r="A572" s="50"/>
      <c r="B572" s="50"/>
      <c r="C572" s="5"/>
      <c r="D572" s="48"/>
      <c r="E572" s="50"/>
      <c r="F572" s="5"/>
      <c r="G572" s="5"/>
      <c r="H572" s="5"/>
      <c r="I572" s="5"/>
      <c r="J572" s="5"/>
      <c r="K572" s="50"/>
      <c r="L572" s="50"/>
      <c r="M572" s="50"/>
      <c r="N572" s="50"/>
      <c r="O572" s="50"/>
      <c r="P572" s="50"/>
      <c r="Q572" s="50"/>
      <c r="R572" s="50"/>
      <c r="S572" s="50"/>
      <c r="T572" s="50"/>
      <c r="U572" s="50"/>
      <c r="V572" s="50"/>
      <c r="W572" s="50"/>
      <c r="X572" s="50"/>
      <c r="Y572" s="50"/>
      <c r="Z572" s="50"/>
      <c r="AA572" s="50"/>
      <c r="AB572" s="50"/>
    </row>
    <row r="573" customFormat="false" ht="15.75" hidden="false" customHeight="false" outlineLevel="0" collapsed="false">
      <c r="A573" s="50"/>
      <c r="B573" s="50"/>
      <c r="C573" s="5"/>
      <c r="D573" s="48"/>
      <c r="E573" s="50"/>
      <c r="F573" s="5"/>
      <c r="G573" s="5"/>
      <c r="H573" s="5"/>
      <c r="I573" s="5"/>
      <c r="J573" s="5"/>
      <c r="K573" s="50"/>
      <c r="L573" s="50"/>
      <c r="M573" s="50"/>
      <c r="N573" s="50"/>
      <c r="O573" s="50"/>
      <c r="P573" s="50"/>
      <c r="Q573" s="50"/>
      <c r="R573" s="50"/>
      <c r="S573" s="50"/>
      <c r="T573" s="50"/>
      <c r="U573" s="50"/>
      <c r="V573" s="50"/>
      <c r="W573" s="50"/>
      <c r="X573" s="50"/>
      <c r="Y573" s="50"/>
      <c r="Z573" s="50"/>
      <c r="AA573" s="50"/>
      <c r="AB573" s="50"/>
    </row>
    <row r="574" customFormat="false" ht="15.75" hidden="false" customHeight="false" outlineLevel="0" collapsed="false">
      <c r="A574" s="50"/>
      <c r="B574" s="50"/>
      <c r="C574" s="5"/>
      <c r="D574" s="48"/>
      <c r="E574" s="50"/>
      <c r="F574" s="5"/>
      <c r="G574" s="5"/>
      <c r="H574" s="5"/>
      <c r="I574" s="5"/>
      <c r="J574" s="5"/>
      <c r="K574" s="50"/>
      <c r="L574" s="50"/>
      <c r="M574" s="50"/>
      <c r="N574" s="50"/>
      <c r="O574" s="50"/>
      <c r="P574" s="50"/>
      <c r="Q574" s="50"/>
      <c r="R574" s="50"/>
      <c r="S574" s="50"/>
      <c r="T574" s="50"/>
      <c r="U574" s="50"/>
      <c r="V574" s="50"/>
      <c r="W574" s="50"/>
      <c r="X574" s="50"/>
      <c r="Y574" s="50"/>
      <c r="Z574" s="50"/>
      <c r="AA574" s="50"/>
      <c r="AB574" s="50"/>
    </row>
    <row r="575" customFormat="false" ht="15.75" hidden="false" customHeight="false" outlineLevel="0" collapsed="false">
      <c r="A575" s="50"/>
      <c r="B575" s="50"/>
      <c r="C575" s="5"/>
      <c r="D575" s="48"/>
      <c r="E575" s="50"/>
      <c r="F575" s="5"/>
      <c r="G575" s="5"/>
      <c r="H575" s="5"/>
      <c r="I575" s="5"/>
      <c r="J575" s="5"/>
      <c r="K575" s="50"/>
      <c r="L575" s="50"/>
      <c r="M575" s="50"/>
      <c r="N575" s="50"/>
      <c r="O575" s="50"/>
      <c r="P575" s="50"/>
      <c r="Q575" s="50"/>
      <c r="R575" s="50"/>
      <c r="S575" s="50"/>
      <c r="T575" s="50"/>
      <c r="U575" s="50"/>
      <c r="V575" s="50"/>
      <c r="W575" s="50"/>
      <c r="X575" s="50"/>
      <c r="Y575" s="50"/>
      <c r="Z575" s="50"/>
      <c r="AA575" s="50"/>
      <c r="AB575" s="50"/>
    </row>
    <row r="576" customFormat="false" ht="15.75" hidden="false" customHeight="false" outlineLevel="0" collapsed="false">
      <c r="A576" s="50"/>
      <c r="B576" s="50"/>
      <c r="C576" s="5"/>
      <c r="D576" s="48"/>
      <c r="E576" s="50"/>
      <c r="F576" s="5"/>
      <c r="G576" s="5"/>
      <c r="H576" s="5"/>
      <c r="I576" s="5"/>
      <c r="J576" s="5"/>
      <c r="K576" s="50"/>
      <c r="L576" s="50"/>
      <c r="M576" s="50"/>
      <c r="N576" s="50"/>
      <c r="O576" s="50"/>
      <c r="P576" s="50"/>
      <c r="Q576" s="50"/>
      <c r="R576" s="50"/>
      <c r="S576" s="50"/>
      <c r="T576" s="50"/>
      <c r="U576" s="50"/>
      <c r="V576" s="50"/>
      <c r="W576" s="50"/>
      <c r="X576" s="50"/>
      <c r="Y576" s="50"/>
      <c r="Z576" s="50"/>
      <c r="AA576" s="50"/>
      <c r="AB576" s="50"/>
    </row>
    <row r="577" customFormat="false" ht="15.75" hidden="false" customHeight="false" outlineLevel="0" collapsed="false">
      <c r="A577" s="50"/>
      <c r="B577" s="50"/>
      <c r="C577" s="5"/>
      <c r="D577" s="48"/>
      <c r="E577" s="50"/>
      <c r="F577" s="5"/>
      <c r="G577" s="5"/>
      <c r="H577" s="5"/>
      <c r="I577" s="5"/>
      <c r="J577" s="5"/>
      <c r="K577" s="50"/>
      <c r="L577" s="50"/>
      <c r="M577" s="50"/>
      <c r="N577" s="50"/>
      <c r="O577" s="50"/>
      <c r="P577" s="50"/>
      <c r="Q577" s="50"/>
      <c r="R577" s="50"/>
      <c r="S577" s="50"/>
      <c r="T577" s="50"/>
      <c r="U577" s="50"/>
      <c r="V577" s="50"/>
      <c r="W577" s="50"/>
      <c r="X577" s="50"/>
      <c r="Y577" s="50"/>
      <c r="Z577" s="50"/>
      <c r="AA577" s="50"/>
      <c r="AB577" s="50"/>
    </row>
    <row r="578" customFormat="false" ht="15.75" hidden="false" customHeight="false" outlineLevel="0" collapsed="false">
      <c r="A578" s="50"/>
      <c r="B578" s="50"/>
      <c r="C578" s="5"/>
      <c r="D578" s="48"/>
      <c r="E578" s="50"/>
      <c r="F578" s="5"/>
      <c r="G578" s="5"/>
      <c r="H578" s="5"/>
      <c r="I578" s="5"/>
      <c r="J578" s="5"/>
      <c r="K578" s="50"/>
      <c r="L578" s="50"/>
      <c r="M578" s="50"/>
      <c r="N578" s="50"/>
      <c r="O578" s="50"/>
      <c r="P578" s="50"/>
      <c r="Q578" s="50"/>
      <c r="R578" s="50"/>
      <c r="S578" s="50"/>
      <c r="T578" s="50"/>
      <c r="U578" s="50"/>
      <c r="V578" s="50"/>
      <c r="W578" s="50"/>
      <c r="X578" s="50"/>
      <c r="Y578" s="50"/>
      <c r="Z578" s="50"/>
      <c r="AA578" s="50"/>
      <c r="AB578" s="50"/>
    </row>
    <row r="579" customFormat="false" ht="15.75" hidden="false" customHeight="false" outlineLevel="0" collapsed="false">
      <c r="A579" s="50"/>
      <c r="B579" s="50"/>
      <c r="C579" s="5"/>
      <c r="D579" s="48"/>
      <c r="E579" s="50"/>
      <c r="F579" s="5"/>
      <c r="G579" s="5"/>
      <c r="H579" s="5"/>
      <c r="I579" s="5"/>
      <c r="J579" s="5"/>
      <c r="K579" s="50"/>
      <c r="L579" s="50"/>
      <c r="M579" s="50"/>
      <c r="N579" s="50"/>
      <c r="O579" s="50"/>
      <c r="P579" s="50"/>
      <c r="Q579" s="50"/>
      <c r="R579" s="50"/>
      <c r="S579" s="50"/>
      <c r="T579" s="50"/>
      <c r="U579" s="50"/>
      <c r="V579" s="50"/>
      <c r="W579" s="50"/>
      <c r="X579" s="50"/>
      <c r="Y579" s="50"/>
      <c r="Z579" s="50"/>
      <c r="AA579" s="50"/>
      <c r="AB579" s="50"/>
    </row>
    <row r="580" customFormat="false" ht="15.75" hidden="false" customHeight="false" outlineLevel="0" collapsed="false">
      <c r="A580" s="50"/>
      <c r="B580" s="50"/>
      <c r="C580" s="5"/>
      <c r="D580" s="48"/>
      <c r="E580" s="50"/>
      <c r="F580" s="5"/>
      <c r="G580" s="5"/>
      <c r="H580" s="5"/>
      <c r="I580" s="5"/>
      <c r="J580" s="5"/>
      <c r="K580" s="50"/>
      <c r="L580" s="50"/>
      <c r="M580" s="50"/>
      <c r="N580" s="50"/>
      <c r="O580" s="50"/>
      <c r="P580" s="50"/>
      <c r="Q580" s="50"/>
      <c r="R580" s="50"/>
      <c r="S580" s="50"/>
      <c r="T580" s="50"/>
      <c r="U580" s="50"/>
      <c r="V580" s="50"/>
      <c r="W580" s="50"/>
      <c r="X580" s="50"/>
      <c r="Y580" s="50"/>
      <c r="Z580" s="50"/>
      <c r="AA580" s="50"/>
      <c r="AB580" s="50"/>
    </row>
    <row r="581" customFormat="false" ht="15.75" hidden="false" customHeight="false" outlineLevel="0" collapsed="false">
      <c r="A581" s="50"/>
      <c r="B581" s="50"/>
      <c r="C581" s="5"/>
      <c r="D581" s="48"/>
      <c r="E581" s="50"/>
      <c r="F581" s="5"/>
      <c r="G581" s="5"/>
      <c r="H581" s="5"/>
      <c r="I581" s="5"/>
      <c r="J581" s="5"/>
      <c r="K581" s="50"/>
      <c r="L581" s="50"/>
      <c r="M581" s="50"/>
      <c r="N581" s="50"/>
      <c r="O581" s="50"/>
      <c r="P581" s="50"/>
      <c r="Q581" s="50"/>
      <c r="R581" s="50"/>
      <c r="S581" s="50"/>
      <c r="T581" s="50"/>
      <c r="U581" s="50"/>
      <c r="V581" s="50"/>
      <c r="W581" s="50"/>
      <c r="X581" s="50"/>
      <c r="Y581" s="50"/>
      <c r="Z581" s="50"/>
      <c r="AA581" s="50"/>
      <c r="AB581" s="50"/>
    </row>
    <row r="582" customFormat="false" ht="15.75" hidden="false" customHeight="false" outlineLevel="0" collapsed="false">
      <c r="A582" s="50"/>
      <c r="B582" s="50"/>
      <c r="C582" s="5"/>
      <c r="D582" s="48"/>
      <c r="E582" s="50"/>
      <c r="F582" s="5"/>
      <c r="G582" s="5"/>
      <c r="H582" s="5"/>
      <c r="I582" s="5"/>
      <c r="J582" s="5"/>
      <c r="K582" s="50"/>
      <c r="L582" s="50"/>
      <c r="M582" s="50"/>
      <c r="N582" s="50"/>
      <c r="O582" s="50"/>
      <c r="P582" s="50"/>
      <c r="Q582" s="50"/>
      <c r="R582" s="50"/>
      <c r="S582" s="50"/>
      <c r="T582" s="50"/>
      <c r="U582" s="50"/>
      <c r="V582" s="50"/>
      <c r="W582" s="50"/>
      <c r="X582" s="50"/>
      <c r="Y582" s="50"/>
      <c r="Z582" s="50"/>
      <c r="AA582" s="50"/>
      <c r="AB582" s="50"/>
    </row>
    <row r="583" customFormat="false" ht="15.75" hidden="false" customHeight="false" outlineLevel="0" collapsed="false">
      <c r="A583" s="50"/>
      <c r="B583" s="50"/>
      <c r="C583" s="5"/>
      <c r="D583" s="48"/>
      <c r="E583" s="50"/>
      <c r="F583" s="5"/>
      <c r="G583" s="5"/>
      <c r="H583" s="5"/>
      <c r="I583" s="5"/>
      <c r="J583" s="5"/>
      <c r="K583" s="50"/>
      <c r="L583" s="50"/>
      <c r="M583" s="50"/>
      <c r="N583" s="50"/>
      <c r="O583" s="50"/>
      <c r="P583" s="50"/>
      <c r="Q583" s="50"/>
      <c r="R583" s="50"/>
      <c r="S583" s="50"/>
      <c r="T583" s="50"/>
      <c r="U583" s="50"/>
      <c r="V583" s="50"/>
      <c r="W583" s="50"/>
      <c r="X583" s="50"/>
      <c r="Y583" s="50"/>
      <c r="Z583" s="50"/>
      <c r="AA583" s="50"/>
      <c r="AB583" s="50"/>
    </row>
    <row r="584" customFormat="false" ht="15.75" hidden="false" customHeight="false" outlineLevel="0" collapsed="false">
      <c r="A584" s="50"/>
      <c r="B584" s="50"/>
      <c r="C584" s="5"/>
      <c r="D584" s="48"/>
      <c r="E584" s="50"/>
      <c r="F584" s="5"/>
      <c r="G584" s="5"/>
      <c r="H584" s="5"/>
      <c r="I584" s="5"/>
      <c r="J584" s="5"/>
      <c r="K584" s="50"/>
      <c r="L584" s="50"/>
      <c r="M584" s="50"/>
      <c r="N584" s="50"/>
      <c r="O584" s="50"/>
      <c r="P584" s="50"/>
      <c r="Q584" s="50"/>
      <c r="R584" s="50"/>
      <c r="S584" s="50"/>
      <c r="T584" s="50"/>
      <c r="U584" s="50"/>
      <c r="V584" s="50"/>
      <c r="W584" s="50"/>
      <c r="X584" s="50"/>
      <c r="Y584" s="50"/>
      <c r="Z584" s="50"/>
      <c r="AA584" s="50"/>
      <c r="AB584" s="50"/>
    </row>
    <row r="585" customFormat="false" ht="15.75" hidden="false" customHeight="false" outlineLevel="0" collapsed="false">
      <c r="A585" s="50"/>
      <c r="B585" s="50"/>
      <c r="C585" s="5"/>
      <c r="D585" s="48"/>
      <c r="E585" s="50"/>
      <c r="F585" s="5"/>
      <c r="G585" s="5"/>
      <c r="H585" s="5"/>
      <c r="I585" s="5"/>
      <c r="J585" s="5"/>
      <c r="K585" s="50"/>
      <c r="L585" s="50"/>
      <c r="M585" s="50"/>
      <c r="N585" s="50"/>
      <c r="O585" s="50"/>
      <c r="P585" s="50"/>
      <c r="Q585" s="50"/>
      <c r="R585" s="50"/>
      <c r="S585" s="50"/>
      <c r="T585" s="50"/>
      <c r="U585" s="50"/>
      <c r="V585" s="50"/>
      <c r="W585" s="50"/>
      <c r="X585" s="50"/>
      <c r="Y585" s="50"/>
      <c r="Z585" s="50"/>
      <c r="AA585" s="50"/>
      <c r="AB585" s="50"/>
    </row>
    <row r="586" customFormat="false" ht="15.75" hidden="false" customHeight="false" outlineLevel="0" collapsed="false">
      <c r="A586" s="50"/>
      <c r="B586" s="50"/>
      <c r="C586" s="5"/>
      <c r="D586" s="48"/>
      <c r="E586" s="50"/>
      <c r="F586" s="5"/>
      <c r="G586" s="5"/>
      <c r="H586" s="5"/>
      <c r="I586" s="5"/>
      <c r="J586" s="5"/>
      <c r="K586" s="50"/>
      <c r="L586" s="50"/>
      <c r="M586" s="50"/>
      <c r="N586" s="50"/>
      <c r="O586" s="50"/>
      <c r="P586" s="50"/>
      <c r="Q586" s="50"/>
      <c r="R586" s="50"/>
      <c r="S586" s="50"/>
      <c r="T586" s="50"/>
      <c r="U586" s="50"/>
      <c r="V586" s="50"/>
      <c r="W586" s="50"/>
      <c r="X586" s="50"/>
      <c r="Y586" s="50"/>
      <c r="Z586" s="50"/>
      <c r="AA586" s="50"/>
      <c r="AB586" s="50"/>
    </row>
    <row r="587" customFormat="false" ht="15.75" hidden="false" customHeight="false" outlineLevel="0" collapsed="false">
      <c r="A587" s="50"/>
      <c r="B587" s="50"/>
      <c r="C587" s="5"/>
      <c r="D587" s="48"/>
      <c r="E587" s="50"/>
      <c r="F587" s="5"/>
      <c r="G587" s="5"/>
      <c r="H587" s="5"/>
      <c r="I587" s="5"/>
      <c r="J587" s="5"/>
      <c r="K587" s="50"/>
      <c r="L587" s="50"/>
      <c r="M587" s="50"/>
      <c r="N587" s="50"/>
      <c r="O587" s="50"/>
      <c r="P587" s="50"/>
      <c r="Q587" s="50"/>
      <c r="R587" s="50"/>
      <c r="S587" s="50"/>
      <c r="T587" s="50"/>
      <c r="U587" s="50"/>
      <c r="V587" s="50"/>
      <c r="W587" s="50"/>
      <c r="X587" s="50"/>
      <c r="Y587" s="50"/>
      <c r="Z587" s="50"/>
      <c r="AA587" s="50"/>
      <c r="AB587" s="50"/>
    </row>
    <row r="588" customFormat="false" ht="15.75" hidden="false" customHeight="false" outlineLevel="0" collapsed="false">
      <c r="A588" s="50"/>
      <c r="B588" s="50"/>
      <c r="C588" s="5"/>
      <c r="D588" s="48"/>
      <c r="E588" s="50"/>
      <c r="F588" s="5"/>
      <c r="G588" s="5"/>
      <c r="H588" s="5"/>
      <c r="I588" s="5"/>
      <c r="J588" s="5"/>
      <c r="K588" s="50"/>
      <c r="L588" s="50"/>
      <c r="M588" s="50"/>
      <c r="N588" s="50"/>
      <c r="O588" s="50"/>
      <c r="P588" s="50"/>
      <c r="Q588" s="50"/>
      <c r="R588" s="50"/>
      <c r="S588" s="50"/>
      <c r="T588" s="50"/>
      <c r="U588" s="50"/>
      <c r="V588" s="50"/>
      <c r="W588" s="50"/>
      <c r="X588" s="50"/>
      <c r="Y588" s="50"/>
      <c r="Z588" s="50"/>
      <c r="AA588" s="50"/>
      <c r="AB588" s="50"/>
    </row>
    <row r="589" customFormat="false" ht="15.75" hidden="false" customHeight="false" outlineLevel="0" collapsed="false">
      <c r="A589" s="50"/>
      <c r="B589" s="50"/>
      <c r="C589" s="5"/>
      <c r="D589" s="48"/>
      <c r="E589" s="50"/>
      <c r="F589" s="5"/>
      <c r="G589" s="5"/>
      <c r="H589" s="5"/>
      <c r="I589" s="5"/>
      <c r="J589" s="5"/>
      <c r="K589" s="50"/>
      <c r="L589" s="50"/>
      <c r="M589" s="50"/>
      <c r="N589" s="50"/>
      <c r="O589" s="50"/>
      <c r="P589" s="50"/>
      <c r="Q589" s="50"/>
      <c r="R589" s="50"/>
      <c r="S589" s="50"/>
      <c r="T589" s="50"/>
      <c r="U589" s="50"/>
      <c r="V589" s="50"/>
      <c r="W589" s="50"/>
      <c r="X589" s="50"/>
      <c r="Y589" s="50"/>
      <c r="Z589" s="50"/>
      <c r="AA589" s="50"/>
      <c r="AB589" s="50"/>
    </row>
    <row r="590" customFormat="false" ht="15.75" hidden="false" customHeight="false" outlineLevel="0" collapsed="false">
      <c r="A590" s="50"/>
      <c r="B590" s="50"/>
      <c r="C590" s="5"/>
      <c r="D590" s="48"/>
      <c r="E590" s="50"/>
      <c r="F590" s="5"/>
      <c r="G590" s="5"/>
      <c r="H590" s="5"/>
      <c r="I590" s="5"/>
      <c r="J590" s="5"/>
      <c r="K590" s="50"/>
      <c r="L590" s="50"/>
      <c r="M590" s="50"/>
      <c r="N590" s="50"/>
      <c r="O590" s="50"/>
      <c r="P590" s="50"/>
      <c r="Q590" s="50"/>
      <c r="R590" s="50"/>
      <c r="S590" s="50"/>
      <c r="T590" s="50"/>
      <c r="U590" s="50"/>
      <c r="V590" s="50"/>
      <c r="W590" s="50"/>
      <c r="X590" s="50"/>
      <c r="Y590" s="50"/>
      <c r="Z590" s="50"/>
      <c r="AA590" s="50"/>
      <c r="AB590" s="50"/>
    </row>
    <row r="591" customFormat="false" ht="15.75" hidden="false" customHeight="false" outlineLevel="0" collapsed="false">
      <c r="A591" s="50"/>
      <c r="B591" s="50"/>
      <c r="C591" s="5"/>
      <c r="D591" s="48"/>
      <c r="E591" s="50"/>
      <c r="F591" s="5"/>
      <c r="G591" s="5"/>
      <c r="H591" s="5"/>
      <c r="I591" s="5"/>
      <c r="J591" s="5"/>
      <c r="K591" s="50"/>
      <c r="L591" s="50"/>
      <c r="M591" s="50"/>
      <c r="N591" s="50"/>
      <c r="O591" s="50"/>
      <c r="P591" s="50"/>
      <c r="Q591" s="50"/>
      <c r="R591" s="50"/>
      <c r="S591" s="50"/>
      <c r="T591" s="50"/>
      <c r="U591" s="50"/>
      <c r="V591" s="50"/>
      <c r="W591" s="50"/>
      <c r="X591" s="50"/>
      <c r="Y591" s="50"/>
      <c r="Z591" s="50"/>
      <c r="AA591" s="50"/>
      <c r="AB591" s="50"/>
    </row>
    <row r="592" customFormat="false" ht="15.75" hidden="false" customHeight="false" outlineLevel="0" collapsed="false">
      <c r="A592" s="50"/>
      <c r="B592" s="50"/>
      <c r="C592" s="5"/>
      <c r="D592" s="48"/>
      <c r="E592" s="50"/>
      <c r="F592" s="5"/>
      <c r="G592" s="5"/>
      <c r="H592" s="5"/>
      <c r="I592" s="5"/>
      <c r="J592" s="5"/>
      <c r="K592" s="50"/>
      <c r="L592" s="50"/>
      <c r="M592" s="50"/>
      <c r="N592" s="50"/>
      <c r="O592" s="50"/>
      <c r="P592" s="50"/>
      <c r="Q592" s="50"/>
      <c r="R592" s="50"/>
      <c r="S592" s="50"/>
      <c r="T592" s="50"/>
      <c r="U592" s="50"/>
      <c r="V592" s="50"/>
      <c r="W592" s="50"/>
      <c r="X592" s="50"/>
      <c r="Y592" s="50"/>
      <c r="Z592" s="50"/>
      <c r="AA592" s="50"/>
      <c r="AB592" s="50"/>
    </row>
    <row r="593" customFormat="false" ht="15.75" hidden="false" customHeight="false" outlineLevel="0" collapsed="false">
      <c r="A593" s="50"/>
      <c r="B593" s="50"/>
      <c r="C593" s="5"/>
      <c r="D593" s="48"/>
      <c r="E593" s="50"/>
      <c r="F593" s="5"/>
      <c r="G593" s="5"/>
      <c r="H593" s="5"/>
      <c r="I593" s="5"/>
      <c r="J593" s="5"/>
      <c r="K593" s="50"/>
      <c r="L593" s="50"/>
      <c r="M593" s="50"/>
      <c r="N593" s="50"/>
      <c r="O593" s="50"/>
      <c r="P593" s="50"/>
      <c r="Q593" s="50"/>
      <c r="R593" s="50"/>
      <c r="S593" s="50"/>
      <c r="T593" s="50"/>
      <c r="U593" s="50"/>
      <c r="V593" s="50"/>
      <c r="W593" s="50"/>
      <c r="X593" s="50"/>
      <c r="Y593" s="50"/>
      <c r="Z593" s="50"/>
      <c r="AA593" s="50"/>
      <c r="AB593" s="50"/>
    </row>
    <row r="594" customFormat="false" ht="15.75" hidden="false" customHeight="false" outlineLevel="0" collapsed="false">
      <c r="A594" s="50"/>
      <c r="B594" s="50"/>
      <c r="C594" s="5"/>
      <c r="D594" s="48"/>
      <c r="E594" s="50"/>
      <c r="F594" s="5"/>
      <c r="G594" s="5"/>
      <c r="H594" s="5"/>
      <c r="I594" s="5"/>
      <c r="J594" s="5"/>
      <c r="K594" s="50"/>
      <c r="L594" s="50"/>
      <c r="M594" s="50"/>
      <c r="N594" s="50"/>
      <c r="O594" s="50"/>
      <c r="P594" s="50"/>
      <c r="Q594" s="50"/>
      <c r="R594" s="50"/>
      <c r="S594" s="50"/>
      <c r="T594" s="50"/>
      <c r="U594" s="50"/>
      <c r="V594" s="50"/>
      <c r="W594" s="50"/>
      <c r="X594" s="50"/>
      <c r="Y594" s="50"/>
      <c r="Z594" s="50"/>
      <c r="AA594" s="50"/>
      <c r="AB594" s="50"/>
    </row>
    <row r="595" customFormat="false" ht="15.75" hidden="false" customHeight="false" outlineLevel="0" collapsed="false">
      <c r="A595" s="50"/>
      <c r="B595" s="50"/>
      <c r="C595" s="5"/>
      <c r="D595" s="48"/>
      <c r="E595" s="50"/>
      <c r="F595" s="5"/>
      <c r="G595" s="5"/>
      <c r="H595" s="5"/>
      <c r="I595" s="5"/>
      <c r="J595" s="5"/>
      <c r="K595" s="50"/>
      <c r="L595" s="50"/>
      <c r="M595" s="50"/>
      <c r="N595" s="50"/>
      <c r="O595" s="50"/>
      <c r="P595" s="50"/>
      <c r="Q595" s="50"/>
      <c r="R595" s="50"/>
      <c r="S595" s="50"/>
      <c r="T595" s="50"/>
      <c r="U595" s="50"/>
      <c r="V595" s="50"/>
      <c r="W595" s="50"/>
      <c r="X595" s="50"/>
      <c r="Y595" s="50"/>
      <c r="Z595" s="50"/>
      <c r="AA595" s="50"/>
      <c r="AB595" s="50"/>
    </row>
    <row r="596" customFormat="false" ht="15.75" hidden="false" customHeight="false" outlineLevel="0" collapsed="false">
      <c r="A596" s="50"/>
      <c r="B596" s="50"/>
      <c r="C596" s="5"/>
      <c r="D596" s="48"/>
      <c r="E596" s="50"/>
      <c r="F596" s="5"/>
      <c r="G596" s="5"/>
      <c r="H596" s="5"/>
      <c r="I596" s="5"/>
      <c r="J596" s="5"/>
      <c r="K596" s="50"/>
      <c r="L596" s="50"/>
      <c r="M596" s="50"/>
      <c r="N596" s="50"/>
      <c r="O596" s="50"/>
      <c r="P596" s="50"/>
      <c r="Q596" s="50"/>
      <c r="R596" s="50"/>
      <c r="S596" s="50"/>
      <c r="T596" s="50"/>
      <c r="U596" s="50"/>
      <c r="V596" s="50"/>
      <c r="W596" s="50"/>
      <c r="X596" s="50"/>
      <c r="Y596" s="50"/>
      <c r="Z596" s="50"/>
      <c r="AA596" s="50"/>
      <c r="AB596" s="50"/>
    </row>
    <row r="597" customFormat="false" ht="15.75" hidden="false" customHeight="false" outlineLevel="0" collapsed="false">
      <c r="A597" s="50"/>
      <c r="B597" s="50"/>
      <c r="C597" s="5"/>
      <c r="D597" s="48"/>
      <c r="E597" s="50"/>
      <c r="F597" s="5"/>
      <c r="G597" s="5"/>
      <c r="H597" s="5"/>
      <c r="I597" s="5"/>
      <c r="J597" s="5"/>
      <c r="K597" s="50"/>
      <c r="L597" s="50"/>
      <c r="M597" s="50"/>
      <c r="N597" s="50"/>
      <c r="O597" s="50"/>
      <c r="P597" s="50"/>
      <c r="Q597" s="50"/>
      <c r="R597" s="50"/>
      <c r="S597" s="50"/>
      <c r="T597" s="50"/>
      <c r="U597" s="50"/>
      <c r="V597" s="50"/>
      <c r="W597" s="50"/>
      <c r="X597" s="50"/>
      <c r="Y597" s="50"/>
      <c r="Z597" s="50"/>
      <c r="AA597" s="50"/>
      <c r="AB597" s="50"/>
    </row>
    <row r="598" customFormat="false" ht="15.75" hidden="false" customHeight="false" outlineLevel="0" collapsed="false">
      <c r="A598" s="50"/>
      <c r="B598" s="50"/>
      <c r="C598" s="5"/>
      <c r="D598" s="48"/>
      <c r="E598" s="50"/>
      <c r="F598" s="5"/>
      <c r="G598" s="5"/>
      <c r="H598" s="5"/>
      <c r="I598" s="5"/>
      <c r="J598" s="5"/>
      <c r="K598" s="50"/>
      <c r="L598" s="50"/>
      <c r="M598" s="50"/>
      <c r="N598" s="50"/>
      <c r="O598" s="50"/>
      <c r="P598" s="50"/>
      <c r="Q598" s="50"/>
      <c r="R598" s="50"/>
      <c r="S598" s="50"/>
      <c r="T598" s="50"/>
      <c r="U598" s="50"/>
      <c r="V598" s="50"/>
      <c r="W598" s="50"/>
      <c r="X598" s="50"/>
      <c r="Y598" s="50"/>
      <c r="Z598" s="50"/>
      <c r="AA598" s="50"/>
      <c r="AB598" s="50"/>
    </row>
    <row r="599" customFormat="false" ht="15.75" hidden="false" customHeight="false" outlineLevel="0" collapsed="false">
      <c r="A599" s="50"/>
      <c r="B599" s="50"/>
      <c r="C599" s="5"/>
      <c r="D599" s="48"/>
      <c r="E599" s="50"/>
      <c r="F599" s="5"/>
      <c r="G599" s="5"/>
      <c r="H599" s="5"/>
      <c r="I599" s="5"/>
      <c r="J599" s="5"/>
      <c r="K599" s="50"/>
      <c r="L599" s="50"/>
      <c r="M599" s="50"/>
      <c r="N599" s="50"/>
      <c r="O599" s="50"/>
      <c r="P599" s="50"/>
      <c r="Q599" s="50"/>
      <c r="R599" s="50"/>
      <c r="S599" s="50"/>
      <c r="T599" s="50"/>
      <c r="U599" s="50"/>
      <c r="V599" s="50"/>
      <c r="W599" s="50"/>
      <c r="X599" s="50"/>
      <c r="Y599" s="50"/>
      <c r="Z599" s="50"/>
      <c r="AA599" s="50"/>
      <c r="AB599" s="50"/>
    </row>
    <row r="600" customFormat="false" ht="15.75" hidden="false" customHeight="false" outlineLevel="0" collapsed="false">
      <c r="A600" s="50"/>
      <c r="B600" s="50"/>
      <c r="C600" s="5"/>
      <c r="D600" s="48"/>
      <c r="E600" s="50"/>
      <c r="F600" s="5"/>
      <c r="G600" s="5"/>
      <c r="H600" s="5"/>
      <c r="I600" s="5"/>
      <c r="J600" s="5"/>
      <c r="K600" s="50"/>
      <c r="L600" s="50"/>
      <c r="M600" s="50"/>
      <c r="N600" s="50"/>
      <c r="O600" s="50"/>
      <c r="P600" s="50"/>
      <c r="Q600" s="50"/>
      <c r="R600" s="50"/>
      <c r="S600" s="50"/>
      <c r="T600" s="50"/>
      <c r="U600" s="50"/>
      <c r="V600" s="50"/>
      <c r="W600" s="50"/>
      <c r="X600" s="50"/>
      <c r="Y600" s="50"/>
      <c r="Z600" s="50"/>
      <c r="AA600" s="50"/>
      <c r="AB600" s="50"/>
    </row>
    <row r="601" customFormat="false" ht="15.75" hidden="false" customHeight="false" outlineLevel="0" collapsed="false">
      <c r="A601" s="50"/>
      <c r="B601" s="50"/>
      <c r="C601" s="5"/>
      <c r="D601" s="48"/>
      <c r="E601" s="50"/>
      <c r="F601" s="5"/>
      <c r="G601" s="5"/>
      <c r="H601" s="5"/>
      <c r="I601" s="5"/>
      <c r="J601" s="5"/>
      <c r="K601" s="50"/>
      <c r="L601" s="50"/>
      <c r="M601" s="50"/>
      <c r="N601" s="50"/>
      <c r="O601" s="50"/>
      <c r="P601" s="50"/>
      <c r="Q601" s="50"/>
      <c r="R601" s="50"/>
      <c r="S601" s="50"/>
      <c r="T601" s="50"/>
      <c r="U601" s="50"/>
      <c r="V601" s="50"/>
      <c r="W601" s="50"/>
      <c r="X601" s="50"/>
      <c r="Y601" s="50"/>
      <c r="Z601" s="50"/>
      <c r="AA601" s="50"/>
      <c r="AB601" s="50"/>
    </row>
    <row r="602" customFormat="false" ht="15.75" hidden="false" customHeight="false" outlineLevel="0" collapsed="false">
      <c r="A602" s="50"/>
      <c r="B602" s="50"/>
      <c r="C602" s="5"/>
      <c r="D602" s="48"/>
      <c r="E602" s="50"/>
      <c r="F602" s="5"/>
      <c r="G602" s="5"/>
      <c r="H602" s="5"/>
      <c r="I602" s="5"/>
      <c r="J602" s="5"/>
      <c r="K602" s="50"/>
      <c r="L602" s="50"/>
      <c r="M602" s="50"/>
      <c r="N602" s="50"/>
      <c r="O602" s="50"/>
      <c r="P602" s="50"/>
      <c r="Q602" s="50"/>
      <c r="R602" s="50"/>
      <c r="S602" s="50"/>
      <c r="T602" s="50"/>
      <c r="U602" s="50"/>
      <c r="V602" s="50"/>
      <c r="W602" s="50"/>
      <c r="X602" s="50"/>
      <c r="Y602" s="50"/>
      <c r="Z602" s="50"/>
      <c r="AA602" s="50"/>
      <c r="AB602" s="50"/>
    </row>
    <row r="603" customFormat="false" ht="15.75" hidden="false" customHeight="false" outlineLevel="0" collapsed="false">
      <c r="A603" s="50"/>
      <c r="B603" s="50"/>
      <c r="C603" s="5"/>
      <c r="D603" s="48"/>
      <c r="E603" s="50"/>
      <c r="F603" s="5"/>
      <c r="G603" s="5"/>
      <c r="H603" s="5"/>
      <c r="I603" s="5"/>
      <c r="J603" s="5"/>
      <c r="K603" s="50"/>
      <c r="L603" s="50"/>
      <c r="M603" s="50"/>
      <c r="N603" s="50"/>
      <c r="O603" s="50"/>
      <c r="P603" s="50"/>
      <c r="Q603" s="50"/>
      <c r="R603" s="50"/>
      <c r="S603" s="50"/>
      <c r="T603" s="50"/>
      <c r="U603" s="50"/>
      <c r="V603" s="50"/>
      <c r="W603" s="50"/>
      <c r="X603" s="50"/>
      <c r="Y603" s="50"/>
      <c r="Z603" s="50"/>
      <c r="AA603" s="50"/>
      <c r="AB603" s="50"/>
    </row>
    <row r="604" customFormat="false" ht="15.75" hidden="false" customHeight="false" outlineLevel="0" collapsed="false">
      <c r="A604" s="50"/>
      <c r="B604" s="50"/>
      <c r="C604" s="5"/>
      <c r="D604" s="48"/>
      <c r="E604" s="50"/>
      <c r="F604" s="5"/>
      <c r="G604" s="5"/>
      <c r="H604" s="5"/>
      <c r="I604" s="5"/>
      <c r="J604" s="5"/>
      <c r="K604" s="50"/>
      <c r="L604" s="50"/>
      <c r="M604" s="50"/>
      <c r="N604" s="50"/>
      <c r="O604" s="50"/>
      <c r="P604" s="50"/>
      <c r="Q604" s="50"/>
      <c r="R604" s="50"/>
      <c r="S604" s="50"/>
      <c r="T604" s="50"/>
      <c r="U604" s="50"/>
      <c r="V604" s="50"/>
      <c r="W604" s="50"/>
      <c r="X604" s="50"/>
      <c r="Y604" s="50"/>
      <c r="Z604" s="50"/>
      <c r="AA604" s="50"/>
      <c r="AB604" s="50"/>
    </row>
    <row r="605" customFormat="false" ht="15.75" hidden="false" customHeight="false" outlineLevel="0" collapsed="false">
      <c r="A605" s="50"/>
      <c r="B605" s="50"/>
      <c r="C605" s="5"/>
      <c r="D605" s="48"/>
      <c r="E605" s="50"/>
      <c r="F605" s="5"/>
      <c r="G605" s="5"/>
      <c r="H605" s="5"/>
      <c r="I605" s="5"/>
      <c r="J605" s="5"/>
      <c r="K605" s="50"/>
      <c r="L605" s="50"/>
      <c r="M605" s="50"/>
      <c r="N605" s="50"/>
      <c r="O605" s="50"/>
      <c r="P605" s="50"/>
      <c r="Q605" s="50"/>
      <c r="R605" s="50"/>
      <c r="S605" s="50"/>
      <c r="T605" s="50"/>
      <c r="U605" s="50"/>
      <c r="V605" s="50"/>
      <c r="W605" s="50"/>
      <c r="X605" s="50"/>
      <c r="Y605" s="50"/>
      <c r="Z605" s="50"/>
      <c r="AA605" s="50"/>
      <c r="AB605" s="50"/>
    </row>
    <row r="606" customFormat="false" ht="15.75" hidden="false" customHeight="false" outlineLevel="0" collapsed="false">
      <c r="A606" s="50"/>
      <c r="B606" s="50"/>
      <c r="C606" s="5"/>
      <c r="D606" s="48"/>
      <c r="E606" s="50"/>
      <c r="F606" s="5"/>
      <c r="G606" s="5"/>
      <c r="H606" s="5"/>
      <c r="I606" s="5"/>
      <c r="J606" s="5"/>
      <c r="K606" s="50"/>
      <c r="L606" s="50"/>
      <c r="M606" s="50"/>
      <c r="N606" s="50"/>
      <c r="O606" s="50"/>
      <c r="P606" s="50"/>
      <c r="Q606" s="50"/>
      <c r="R606" s="50"/>
      <c r="S606" s="50"/>
      <c r="T606" s="50"/>
      <c r="U606" s="50"/>
      <c r="V606" s="50"/>
      <c r="W606" s="50"/>
      <c r="X606" s="50"/>
      <c r="Y606" s="50"/>
      <c r="Z606" s="50"/>
      <c r="AA606" s="50"/>
      <c r="AB606" s="50"/>
    </row>
    <row r="607" customFormat="false" ht="15.75" hidden="false" customHeight="false" outlineLevel="0" collapsed="false">
      <c r="A607" s="50"/>
      <c r="B607" s="50"/>
      <c r="C607" s="5"/>
      <c r="D607" s="48"/>
      <c r="E607" s="50"/>
      <c r="F607" s="5"/>
      <c r="G607" s="5"/>
      <c r="H607" s="5"/>
      <c r="I607" s="5"/>
      <c r="J607" s="5"/>
      <c r="K607" s="50"/>
      <c r="L607" s="50"/>
      <c r="M607" s="50"/>
      <c r="N607" s="50"/>
      <c r="O607" s="50"/>
      <c r="P607" s="50"/>
      <c r="Q607" s="50"/>
      <c r="R607" s="50"/>
      <c r="S607" s="50"/>
      <c r="T607" s="50"/>
      <c r="U607" s="50"/>
      <c r="V607" s="50"/>
      <c r="W607" s="50"/>
      <c r="X607" s="50"/>
      <c r="Y607" s="50"/>
      <c r="Z607" s="50"/>
      <c r="AA607" s="50"/>
      <c r="AB607" s="50"/>
    </row>
    <row r="608" customFormat="false" ht="15.75" hidden="false" customHeight="false" outlineLevel="0" collapsed="false">
      <c r="A608" s="50"/>
      <c r="B608" s="50"/>
      <c r="C608" s="5"/>
      <c r="D608" s="48"/>
      <c r="E608" s="50"/>
      <c r="F608" s="5"/>
      <c r="G608" s="5"/>
      <c r="H608" s="5"/>
      <c r="I608" s="5"/>
      <c r="J608" s="5"/>
      <c r="K608" s="50"/>
      <c r="L608" s="50"/>
      <c r="M608" s="50"/>
      <c r="N608" s="50"/>
      <c r="O608" s="50"/>
      <c r="P608" s="50"/>
      <c r="Q608" s="50"/>
      <c r="R608" s="50"/>
      <c r="S608" s="50"/>
      <c r="T608" s="50"/>
      <c r="U608" s="50"/>
      <c r="V608" s="50"/>
      <c r="W608" s="50"/>
      <c r="X608" s="50"/>
      <c r="Y608" s="50"/>
      <c r="Z608" s="50"/>
      <c r="AA608" s="50"/>
      <c r="AB608" s="50"/>
    </row>
    <row r="609" customFormat="false" ht="15.75" hidden="false" customHeight="false" outlineLevel="0" collapsed="false">
      <c r="A609" s="50"/>
      <c r="B609" s="50"/>
      <c r="C609" s="5"/>
      <c r="D609" s="48"/>
      <c r="E609" s="50"/>
      <c r="F609" s="5"/>
      <c r="G609" s="5"/>
      <c r="H609" s="5"/>
      <c r="I609" s="5"/>
      <c r="J609" s="5"/>
      <c r="K609" s="50"/>
      <c r="L609" s="50"/>
      <c r="M609" s="50"/>
      <c r="N609" s="50"/>
      <c r="O609" s="50"/>
      <c r="P609" s="50"/>
      <c r="Q609" s="50"/>
      <c r="R609" s="50"/>
      <c r="S609" s="50"/>
      <c r="T609" s="50"/>
      <c r="U609" s="50"/>
      <c r="V609" s="50"/>
      <c r="W609" s="50"/>
      <c r="X609" s="50"/>
      <c r="Y609" s="50"/>
      <c r="Z609" s="50"/>
      <c r="AA609" s="50"/>
      <c r="AB609" s="50"/>
    </row>
    <row r="610" customFormat="false" ht="15.75" hidden="false" customHeight="false" outlineLevel="0" collapsed="false">
      <c r="A610" s="50"/>
      <c r="B610" s="50"/>
      <c r="C610" s="5"/>
      <c r="D610" s="48"/>
      <c r="E610" s="50"/>
      <c r="F610" s="5"/>
      <c r="G610" s="5"/>
      <c r="H610" s="5"/>
      <c r="I610" s="5"/>
      <c r="J610" s="5"/>
      <c r="K610" s="50"/>
      <c r="L610" s="50"/>
      <c r="M610" s="50"/>
      <c r="N610" s="50"/>
      <c r="O610" s="50"/>
      <c r="P610" s="50"/>
      <c r="Q610" s="50"/>
      <c r="R610" s="50"/>
      <c r="S610" s="50"/>
      <c r="T610" s="50"/>
      <c r="U610" s="50"/>
      <c r="V610" s="50"/>
      <c r="W610" s="50"/>
      <c r="X610" s="50"/>
      <c r="Y610" s="50"/>
      <c r="Z610" s="50"/>
      <c r="AA610" s="50"/>
      <c r="AB610" s="50"/>
    </row>
    <row r="611" customFormat="false" ht="15.75" hidden="false" customHeight="false" outlineLevel="0" collapsed="false">
      <c r="A611" s="50"/>
      <c r="B611" s="50"/>
      <c r="C611" s="5"/>
      <c r="D611" s="48"/>
      <c r="E611" s="50"/>
      <c r="F611" s="5"/>
      <c r="G611" s="5"/>
      <c r="H611" s="5"/>
      <c r="I611" s="5"/>
      <c r="J611" s="5"/>
      <c r="K611" s="50"/>
      <c r="L611" s="50"/>
      <c r="M611" s="50"/>
      <c r="N611" s="50"/>
      <c r="O611" s="50"/>
      <c r="P611" s="50"/>
      <c r="Q611" s="50"/>
      <c r="R611" s="50"/>
      <c r="S611" s="50"/>
      <c r="T611" s="50"/>
      <c r="U611" s="50"/>
      <c r="V611" s="50"/>
      <c r="W611" s="50"/>
      <c r="X611" s="50"/>
      <c r="Y611" s="50"/>
      <c r="Z611" s="50"/>
      <c r="AA611" s="50"/>
      <c r="AB611" s="50"/>
    </row>
    <row r="612" customFormat="false" ht="15.75" hidden="false" customHeight="false" outlineLevel="0" collapsed="false">
      <c r="A612" s="50"/>
      <c r="B612" s="50"/>
      <c r="C612" s="5"/>
      <c r="D612" s="48"/>
      <c r="E612" s="50"/>
      <c r="F612" s="5"/>
      <c r="G612" s="5"/>
      <c r="H612" s="5"/>
      <c r="I612" s="5"/>
      <c r="J612" s="5"/>
      <c r="K612" s="50"/>
      <c r="L612" s="50"/>
      <c r="M612" s="50"/>
      <c r="N612" s="50"/>
      <c r="O612" s="50"/>
      <c r="P612" s="50"/>
      <c r="Q612" s="50"/>
      <c r="R612" s="50"/>
      <c r="S612" s="50"/>
      <c r="T612" s="50"/>
      <c r="U612" s="50"/>
      <c r="V612" s="50"/>
      <c r="W612" s="50"/>
      <c r="X612" s="50"/>
      <c r="Y612" s="50"/>
      <c r="Z612" s="50"/>
      <c r="AA612" s="50"/>
      <c r="AB612" s="50"/>
    </row>
    <row r="613" customFormat="false" ht="15.75" hidden="false" customHeight="false" outlineLevel="0" collapsed="false">
      <c r="A613" s="50"/>
      <c r="B613" s="50"/>
      <c r="C613" s="5"/>
      <c r="D613" s="48"/>
      <c r="E613" s="50"/>
      <c r="F613" s="5"/>
      <c r="G613" s="5"/>
      <c r="H613" s="5"/>
      <c r="I613" s="5"/>
      <c r="J613" s="5"/>
      <c r="K613" s="50"/>
      <c r="L613" s="50"/>
      <c r="M613" s="50"/>
      <c r="N613" s="50"/>
      <c r="O613" s="50"/>
      <c r="P613" s="50"/>
      <c r="Q613" s="50"/>
      <c r="R613" s="50"/>
      <c r="S613" s="50"/>
      <c r="T613" s="50"/>
      <c r="U613" s="50"/>
      <c r="V613" s="50"/>
      <c r="W613" s="50"/>
      <c r="X613" s="50"/>
      <c r="Y613" s="50"/>
      <c r="Z613" s="50"/>
      <c r="AA613" s="50"/>
      <c r="AB613" s="50"/>
    </row>
    <row r="614" customFormat="false" ht="15.75" hidden="false" customHeight="false" outlineLevel="0" collapsed="false">
      <c r="A614" s="50"/>
      <c r="B614" s="50"/>
      <c r="C614" s="5"/>
      <c r="D614" s="48"/>
      <c r="E614" s="50"/>
      <c r="F614" s="5"/>
      <c r="G614" s="5"/>
      <c r="H614" s="5"/>
      <c r="I614" s="5"/>
      <c r="J614" s="5"/>
      <c r="K614" s="50"/>
      <c r="L614" s="50"/>
      <c r="M614" s="50"/>
      <c r="N614" s="50"/>
      <c r="O614" s="50"/>
      <c r="P614" s="50"/>
      <c r="Q614" s="50"/>
      <c r="R614" s="50"/>
      <c r="S614" s="50"/>
      <c r="T614" s="50"/>
      <c r="U614" s="50"/>
      <c r="V614" s="50"/>
      <c r="W614" s="50"/>
      <c r="X614" s="50"/>
      <c r="Y614" s="50"/>
      <c r="Z614" s="50"/>
      <c r="AA614" s="50"/>
      <c r="AB614" s="50"/>
    </row>
    <row r="615" customFormat="false" ht="15.75" hidden="false" customHeight="false" outlineLevel="0" collapsed="false">
      <c r="A615" s="50"/>
      <c r="B615" s="50"/>
      <c r="C615" s="5"/>
      <c r="D615" s="48"/>
      <c r="E615" s="50"/>
      <c r="F615" s="5"/>
      <c r="G615" s="5"/>
      <c r="H615" s="5"/>
      <c r="I615" s="5"/>
      <c r="J615" s="5"/>
      <c r="K615" s="50"/>
      <c r="L615" s="50"/>
      <c r="M615" s="50"/>
      <c r="N615" s="50"/>
      <c r="O615" s="50"/>
      <c r="P615" s="50"/>
      <c r="Q615" s="50"/>
      <c r="R615" s="50"/>
      <c r="S615" s="50"/>
      <c r="T615" s="50"/>
      <c r="U615" s="50"/>
      <c r="V615" s="50"/>
      <c r="W615" s="50"/>
      <c r="X615" s="50"/>
      <c r="Y615" s="50"/>
      <c r="Z615" s="50"/>
      <c r="AA615" s="50"/>
      <c r="AB615" s="50"/>
    </row>
    <row r="616" customFormat="false" ht="15.75" hidden="false" customHeight="false" outlineLevel="0" collapsed="false">
      <c r="A616" s="50"/>
      <c r="B616" s="50"/>
      <c r="C616" s="5"/>
      <c r="D616" s="48"/>
      <c r="E616" s="50"/>
      <c r="F616" s="5"/>
      <c r="G616" s="5"/>
      <c r="H616" s="5"/>
      <c r="I616" s="5"/>
      <c r="J616" s="5"/>
      <c r="K616" s="50"/>
      <c r="L616" s="50"/>
      <c r="M616" s="50"/>
      <c r="N616" s="50"/>
      <c r="O616" s="50"/>
      <c r="P616" s="50"/>
      <c r="Q616" s="50"/>
      <c r="R616" s="50"/>
      <c r="S616" s="50"/>
      <c r="T616" s="50"/>
      <c r="U616" s="50"/>
      <c r="V616" s="50"/>
      <c r="W616" s="50"/>
      <c r="X616" s="50"/>
      <c r="Y616" s="50"/>
      <c r="Z616" s="50"/>
      <c r="AA616" s="50"/>
      <c r="AB616" s="50"/>
    </row>
    <row r="617" customFormat="false" ht="15.75" hidden="false" customHeight="false" outlineLevel="0" collapsed="false">
      <c r="A617" s="50"/>
      <c r="B617" s="50"/>
      <c r="C617" s="5"/>
      <c r="D617" s="48"/>
      <c r="E617" s="50"/>
      <c r="F617" s="5"/>
      <c r="G617" s="5"/>
      <c r="H617" s="5"/>
      <c r="I617" s="5"/>
      <c r="J617" s="5"/>
      <c r="K617" s="50"/>
      <c r="L617" s="50"/>
      <c r="M617" s="50"/>
      <c r="N617" s="50"/>
      <c r="O617" s="50"/>
      <c r="P617" s="50"/>
      <c r="Q617" s="50"/>
      <c r="R617" s="50"/>
      <c r="S617" s="50"/>
      <c r="T617" s="50"/>
      <c r="U617" s="50"/>
      <c r="V617" s="50"/>
      <c r="W617" s="50"/>
      <c r="X617" s="50"/>
      <c r="Y617" s="50"/>
      <c r="Z617" s="50"/>
      <c r="AA617" s="50"/>
      <c r="AB617" s="50"/>
    </row>
    <row r="618" customFormat="false" ht="15.75" hidden="false" customHeight="false" outlineLevel="0" collapsed="false">
      <c r="A618" s="50"/>
      <c r="B618" s="50"/>
      <c r="C618" s="5"/>
      <c r="D618" s="48"/>
      <c r="E618" s="50"/>
      <c r="F618" s="5"/>
      <c r="G618" s="5"/>
      <c r="H618" s="5"/>
      <c r="I618" s="5"/>
      <c r="J618" s="5"/>
      <c r="K618" s="50"/>
      <c r="L618" s="50"/>
      <c r="M618" s="50"/>
      <c r="N618" s="50"/>
      <c r="O618" s="50"/>
      <c r="P618" s="50"/>
      <c r="Q618" s="50"/>
      <c r="R618" s="50"/>
      <c r="S618" s="50"/>
      <c r="T618" s="50"/>
      <c r="U618" s="50"/>
      <c r="V618" s="50"/>
      <c r="W618" s="50"/>
      <c r="X618" s="50"/>
      <c r="Y618" s="50"/>
      <c r="Z618" s="50"/>
      <c r="AA618" s="50"/>
      <c r="AB618" s="50"/>
    </row>
    <row r="619" customFormat="false" ht="15.75" hidden="false" customHeight="false" outlineLevel="0" collapsed="false">
      <c r="A619" s="50"/>
      <c r="B619" s="50"/>
      <c r="C619" s="5"/>
      <c r="D619" s="48"/>
      <c r="E619" s="50"/>
      <c r="F619" s="5"/>
      <c r="G619" s="5"/>
      <c r="H619" s="5"/>
      <c r="I619" s="5"/>
      <c r="J619" s="5"/>
      <c r="K619" s="50"/>
      <c r="L619" s="50"/>
      <c r="M619" s="50"/>
      <c r="N619" s="50"/>
      <c r="O619" s="50"/>
      <c r="P619" s="50"/>
      <c r="Q619" s="50"/>
      <c r="R619" s="50"/>
      <c r="S619" s="50"/>
      <c r="T619" s="50"/>
      <c r="U619" s="50"/>
      <c r="V619" s="50"/>
      <c r="W619" s="50"/>
      <c r="X619" s="50"/>
      <c r="Y619" s="50"/>
      <c r="Z619" s="50"/>
      <c r="AA619" s="50"/>
      <c r="AB619" s="50"/>
    </row>
    <row r="620" customFormat="false" ht="15.75" hidden="false" customHeight="false" outlineLevel="0" collapsed="false">
      <c r="A620" s="50"/>
      <c r="B620" s="50"/>
      <c r="C620" s="5"/>
      <c r="D620" s="48"/>
      <c r="E620" s="50"/>
      <c r="F620" s="5"/>
      <c r="G620" s="5"/>
      <c r="H620" s="5"/>
      <c r="I620" s="5"/>
      <c r="J620" s="5"/>
      <c r="K620" s="50"/>
      <c r="L620" s="50"/>
      <c r="M620" s="50"/>
      <c r="N620" s="50"/>
      <c r="O620" s="50"/>
      <c r="P620" s="50"/>
      <c r="Q620" s="50"/>
      <c r="R620" s="50"/>
      <c r="S620" s="50"/>
      <c r="T620" s="50"/>
      <c r="U620" s="50"/>
      <c r="V620" s="50"/>
      <c r="W620" s="50"/>
      <c r="X620" s="50"/>
      <c r="Y620" s="50"/>
      <c r="Z620" s="50"/>
      <c r="AA620" s="50"/>
      <c r="AB620" s="50"/>
    </row>
    <row r="621" customFormat="false" ht="15.75" hidden="false" customHeight="false" outlineLevel="0" collapsed="false">
      <c r="A621" s="50"/>
      <c r="B621" s="50"/>
      <c r="C621" s="5"/>
      <c r="D621" s="48"/>
      <c r="E621" s="50"/>
      <c r="F621" s="5"/>
      <c r="G621" s="5"/>
      <c r="H621" s="5"/>
      <c r="I621" s="5"/>
      <c r="J621" s="5"/>
      <c r="K621" s="50"/>
      <c r="L621" s="50"/>
      <c r="M621" s="50"/>
      <c r="N621" s="50"/>
      <c r="O621" s="50"/>
      <c r="P621" s="50"/>
      <c r="Q621" s="50"/>
      <c r="R621" s="50"/>
      <c r="S621" s="50"/>
      <c r="T621" s="50"/>
      <c r="U621" s="50"/>
      <c r="V621" s="50"/>
      <c r="W621" s="50"/>
      <c r="X621" s="50"/>
      <c r="Y621" s="50"/>
      <c r="Z621" s="50"/>
      <c r="AA621" s="50"/>
      <c r="AB621" s="50"/>
    </row>
    <row r="622" customFormat="false" ht="15.75" hidden="false" customHeight="false" outlineLevel="0" collapsed="false">
      <c r="A622" s="50"/>
      <c r="B622" s="50"/>
      <c r="C622" s="5"/>
      <c r="D622" s="48"/>
      <c r="E622" s="50"/>
      <c r="F622" s="5"/>
      <c r="G622" s="5"/>
      <c r="H622" s="5"/>
      <c r="I622" s="5"/>
      <c r="J622" s="5"/>
      <c r="K622" s="50"/>
      <c r="L622" s="50"/>
      <c r="M622" s="50"/>
      <c r="N622" s="50"/>
      <c r="O622" s="50"/>
      <c r="P622" s="50"/>
      <c r="Q622" s="50"/>
      <c r="R622" s="50"/>
      <c r="S622" s="50"/>
      <c r="T622" s="50"/>
      <c r="U622" s="50"/>
      <c r="V622" s="50"/>
      <c r="W622" s="50"/>
      <c r="X622" s="50"/>
      <c r="Y622" s="50"/>
      <c r="Z622" s="50"/>
      <c r="AA622" s="50"/>
      <c r="AB622" s="50"/>
    </row>
    <row r="623" customFormat="false" ht="15.75" hidden="false" customHeight="false" outlineLevel="0" collapsed="false">
      <c r="A623" s="50"/>
      <c r="B623" s="50"/>
      <c r="C623" s="5"/>
      <c r="D623" s="48"/>
      <c r="E623" s="50"/>
      <c r="F623" s="5"/>
      <c r="G623" s="5"/>
      <c r="H623" s="5"/>
      <c r="I623" s="5"/>
      <c r="J623" s="5"/>
      <c r="K623" s="50"/>
      <c r="L623" s="50"/>
      <c r="M623" s="50"/>
      <c r="N623" s="50"/>
      <c r="O623" s="50"/>
      <c r="P623" s="50"/>
      <c r="Q623" s="50"/>
      <c r="R623" s="50"/>
      <c r="S623" s="50"/>
      <c r="T623" s="50"/>
      <c r="U623" s="50"/>
      <c r="V623" s="50"/>
      <c r="W623" s="50"/>
      <c r="X623" s="50"/>
      <c r="Y623" s="50"/>
      <c r="Z623" s="50"/>
      <c r="AA623" s="50"/>
      <c r="AB623" s="50"/>
    </row>
    <row r="624" customFormat="false" ht="15.75" hidden="false" customHeight="false" outlineLevel="0" collapsed="false">
      <c r="A624" s="50"/>
      <c r="B624" s="50"/>
      <c r="C624" s="5"/>
      <c r="D624" s="48"/>
      <c r="E624" s="50"/>
      <c r="F624" s="5"/>
      <c r="G624" s="5"/>
      <c r="H624" s="5"/>
      <c r="I624" s="5"/>
      <c r="J624" s="5"/>
      <c r="K624" s="50"/>
      <c r="L624" s="50"/>
      <c r="M624" s="50"/>
      <c r="N624" s="50"/>
      <c r="O624" s="50"/>
      <c r="P624" s="50"/>
      <c r="Q624" s="50"/>
      <c r="R624" s="50"/>
      <c r="S624" s="50"/>
      <c r="T624" s="50"/>
      <c r="U624" s="50"/>
      <c r="V624" s="50"/>
      <c r="W624" s="50"/>
      <c r="X624" s="50"/>
      <c r="Y624" s="50"/>
      <c r="Z624" s="50"/>
      <c r="AA624" s="50"/>
      <c r="AB624" s="50"/>
    </row>
    <row r="625" customFormat="false" ht="15.75" hidden="false" customHeight="false" outlineLevel="0" collapsed="false">
      <c r="A625" s="50"/>
      <c r="B625" s="50"/>
      <c r="C625" s="5"/>
      <c r="D625" s="48"/>
      <c r="E625" s="50"/>
      <c r="F625" s="5"/>
      <c r="G625" s="5"/>
      <c r="H625" s="5"/>
      <c r="I625" s="5"/>
      <c r="J625" s="5"/>
      <c r="K625" s="50"/>
      <c r="L625" s="50"/>
      <c r="M625" s="50"/>
      <c r="N625" s="50"/>
      <c r="O625" s="50"/>
      <c r="P625" s="50"/>
      <c r="Q625" s="50"/>
      <c r="R625" s="50"/>
      <c r="S625" s="50"/>
      <c r="T625" s="50"/>
      <c r="U625" s="50"/>
      <c r="V625" s="50"/>
      <c r="W625" s="50"/>
      <c r="X625" s="50"/>
      <c r="Y625" s="50"/>
      <c r="Z625" s="50"/>
      <c r="AA625" s="50"/>
      <c r="AB625" s="50"/>
    </row>
    <row r="626" customFormat="false" ht="15.75" hidden="false" customHeight="false" outlineLevel="0" collapsed="false">
      <c r="A626" s="50"/>
      <c r="B626" s="50"/>
      <c r="C626" s="5"/>
      <c r="D626" s="48"/>
      <c r="E626" s="50"/>
      <c r="F626" s="5"/>
      <c r="G626" s="5"/>
      <c r="H626" s="5"/>
      <c r="I626" s="5"/>
      <c r="J626" s="5"/>
      <c r="K626" s="50"/>
      <c r="L626" s="50"/>
      <c r="M626" s="50"/>
      <c r="N626" s="50"/>
      <c r="O626" s="50"/>
      <c r="P626" s="50"/>
      <c r="Q626" s="50"/>
      <c r="R626" s="50"/>
      <c r="S626" s="50"/>
      <c r="T626" s="50"/>
      <c r="U626" s="50"/>
      <c r="V626" s="50"/>
      <c r="W626" s="50"/>
      <c r="X626" s="50"/>
      <c r="Y626" s="50"/>
      <c r="Z626" s="50"/>
      <c r="AA626" s="50"/>
      <c r="AB626" s="50"/>
    </row>
    <row r="627" customFormat="false" ht="15.75" hidden="false" customHeight="false" outlineLevel="0" collapsed="false">
      <c r="A627" s="50"/>
      <c r="B627" s="50"/>
      <c r="C627" s="5"/>
      <c r="D627" s="48"/>
      <c r="E627" s="50"/>
      <c r="F627" s="5"/>
      <c r="G627" s="5"/>
      <c r="H627" s="5"/>
      <c r="I627" s="5"/>
      <c r="J627" s="5"/>
      <c r="K627" s="50"/>
      <c r="L627" s="50"/>
      <c r="M627" s="50"/>
      <c r="N627" s="50"/>
      <c r="O627" s="50"/>
      <c r="P627" s="50"/>
      <c r="Q627" s="50"/>
      <c r="R627" s="50"/>
      <c r="S627" s="50"/>
      <c r="T627" s="50"/>
      <c r="U627" s="50"/>
      <c r="V627" s="50"/>
      <c r="W627" s="50"/>
      <c r="X627" s="50"/>
      <c r="Y627" s="50"/>
      <c r="Z627" s="50"/>
      <c r="AA627" s="50"/>
      <c r="AB627" s="50"/>
    </row>
    <row r="628" customFormat="false" ht="15.75" hidden="false" customHeight="false" outlineLevel="0" collapsed="false">
      <c r="A628" s="50"/>
      <c r="B628" s="50"/>
      <c r="C628" s="5"/>
      <c r="D628" s="48"/>
      <c r="E628" s="50"/>
      <c r="F628" s="5"/>
      <c r="G628" s="5"/>
      <c r="H628" s="5"/>
      <c r="I628" s="5"/>
      <c r="J628" s="5"/>
      <c r="K628" s="50"/>
      <c r="L628" s="50"/>
      <c r="M628" s="50"/>
      <c r="N628" s="50"/>
      <c r="O628" s="50"/>
      <c r="P628" s="50"/>
      <c r="Q628" s="50"/>
      <c r="R628" s="50"/>
      <c r="S628" s="50"/>
      <c r="T628" s="50"/>
      <c r="U628" s="50"/>
      <c r="V628" s="50"/>
      <c r="W628" s="50"/>
      <c r="X628" s="50"/>
      <c r="Y628" s="50"/>
      <c r="Z628" s="50"/>
      <c r="AA628" s="50"/>
      <c r="AB628" s="50"/>
    </row>
    <row r="629" customFormat="false" ht="15.75" hidden="false" customHeight="false" outlineLevel="0" collapsed="false">
      <c r="A629" s="50"/>
      <c r="B629" s="50"/>
      <c r="C629" s="5"/>
      <c r="D629" s="48"/>
      <c r="E629" s="50"/>
      <c r="F629" s="5"/>
      <c r="G629" s="5"/>
      <c r="H629" s="5"/>
      <c r="I629" s="5"/>
      <c r="J629" s="5"/>
      <c r="K629" s="50"/>
      <c r="L629" s="50"/>
      <c r="M629" s="50"/>
      <c r="N629" s="50"/>
      <c r="O629" s="50"/>
      <c r="P629" s="50"/>
      <c r="Q629" s="50"/>
      <c r="R629" s="50"/>
      <c r="S629" s="50"/>
      <c r="T629" s="50"/>
      <c r="U629" s="50"/>
      <c r="V629" s="50"/>
      <c r="W629" s="50"/>
      <c r="X629" s="50"/>
      <c r="Y629" s="50"/>
      <c r="Z629" s="50"/>
      <c r="AA629" s="50"/>
      <c r="AB629" s="50"/>
    </row>
    <row r="630" customFormat="false" ht="15.75" hidden="false" customHeight="false" outlineLevel="0" collapsed="false">
      <c r="A630" s="50"/>
      <c r="B630" s="50"/>
      <c r="C630" s="5"/>
      <c r="D630" s="48"/>
      <c r="E630" s="50"/>
      <c r="F630" s="5"/>
      <c r="G630" s="5"/>
      <c r="H630" s="5"/>
      <c r="I630" s="5"/>
      <c r="J630" s="5"/>
      <c r="K630" s="50"/>
      <c r="L630" s="50"/>
      <c r="M630" s="50"/>
      <c r="N630" s="50"/>
      <c r="O630" s="50"/>
      <c r="P630" s="50"/>
      <c r="Q630" s="50"/>
      <c r="R630" s="50"/>
      <c r="S630" s="50"/>
      <c r="T630" s="50"/>
      <c r="U630" s="50"/>
      <c r="V630" s="50"/>
      <c r="W630" s="50"/>
      <c r="X630" s="50"/>
      <c r="Y630" s="50"/>
      <c r="Z630" s="50"/>
      <c r="AA630" s="50"/>
      <c r="AB630" s="50"/>
    </row>
    <row r="631" customFormat="false" ht="15.75" hidden="false" customHeight="false" outlineLevel="0" collapsed="false">
      <c r="A631" s="50"/>
      <c r="B631" s="50"/>
      <c r="C631" s="5"/>
      <c r="D631" s="48"/>
      <c r="E631" s="50"/>
      <c r="F631" s="5"/>
      <c r="G631" s="5"/>
      <c r="H631" s="5"/>
      <c r="I631" s="5"/>
      <c r="J631" s="5"/>
      <c r="K631" s="50"/>
      <c r="L631" s="50"/>
      <c r="M631" s="50"/>
      <c r="N631" s="50"/>
      <c r="O631" s="50"/>
      <c r="P631" s="50"/>
      <c r="Q631" s="50"/>
      <c r="R631" s="50"/>
      <c r="S631" s="50"/>
      <c r="T631" s="50"/>
      <c r="U631" s="50"/>
      <c r="V631" s="50"/>
      <c r="W631" s="50"/>
      <c r="X631" s="50"/>
      <c r="Y631" s="50"/>
      <c r="Z631" s="50"/>
      <c r="AA631" s="50"/>
      <c r="AB631" s="50"/>
    </row>
    <row r="632" customFormat="false" ht="15.75" hidden="false" customHeight="false" outlineLevel="0" collapsed="false">
      <c r="A632" s="50"/>
      <c r="B632" s="50"/>
      <c r="C632" s="5"/>
      <c r="D632" s="48"/>
      <c r="E632" s="50"/>
      <c r="F632" s="5"/>
      <c r="G632" s="5"/>
      <c r="H632" s="5"/>
      <c r="I632" s="5"/>
      <c r="J632" s="5"/>
      <c r="K632" s="50"/>
      <c r="L632" s="50"/>
      <c r="M632" s="50"/>
      <c r="N632" s="50"/>
      <c r="O632" s="50"/>
      <c r="P632" s="50"/>
      <c r="Q632" s="50"/>
      <c r="R632" s="50"/>
      <c r="S632" s="50"/>
      <c r="T632" s="50"/>
      <c r="U632" s="50"/>
      <c r="V632" s="50"/>
      <c r="W632" s="50"/>
      <c r="X632" s="50"/>
      <c r="Y632" s="50"/>
      <c r="Z632" s="50"/>
      <c r="AA632" s="50"/>
      <c r="AB632" s="50"/>
    </row>
    <row r="633" customFormat="false" ht="15.75" hidden="false" customHeight="false" outlineLevel="0" collapsed="false">
      <c r="A633" s="50"/>
      <c r="B633" s="50"/>
      <c r="C633" s="5"/>
      <c r="D633" s="48"/>
      <c r="E633" s="50"/>
      <c r="F633" s="5"/>
      <c r="G633" s="5"/>
      <c r="H633" s="5"/>
      <c r="I633" s="5"/>
      <c r="J633" s="5"/>
      <c r="K633" s="50"/>
      <c r="L633" s="50"/>
      <c r="M633" s="50"/>
      <c r="N633" s="50"/>
      <c r="O633" s="50"/>
      <c r="P633" s="50"/>
      <c r="Q633" s="50"/>
      <c r="R633" s="50"/>
      <c r="S633" s="50"/>
      <c r="T633" s="50"/>
      <c r="U633" s="50"/>
      <c r="V633" s="50"/>
      <c r="W633" s="50"/>
      <c r="X633" s="50"/>
      <c r="Y633" s="50"/>
      <c r="Z633" s="50"/>
      <c r="AA633" s="50"/>
      <c r="AB633" s="50"/>
    </row>
    <row r="634" customFormat="false" ht="15.75" hidden="false" customHeight="false" outlineLevel="0" collapsed="false">
      <c r="A634" s="50"/>
      <c r="B634" s="50"/>
      <c r="C634" s="5"/>
      <c r="D634" s="48"/>
      <c r="E634" s="50"/>
      <c r="F634" s="5"/>
      <c r="G634" s="5"/>
      <c r="H634" s="5"/>
      <c r="I634" s="5"/>
      <c r="J634" s="5"/>
      <c r="K634" s="50"/>
      <c r="L634" s="50"/>
      <c r="M634" s="50"/>
      <c r="N634" s="50"/>
      <c r="O634" s="50"/>
      <c r="P634" s="50"/>
      <c r="Q634" s="50"/>
      <c r="R634" s="50"/>
      <c r="S634" s="50"/>
      <c r="T634" s="50"/>
      <c r="U634" s="50"/>
      <c r="V634" s="50"/>
      <c r="W634" s="50"/>
      <c r="X634" s="50"/>
      <c r="Y634" s="50"/>
      <c r="Z634" s="50"/>
      <c r="AA634" s="50"/>
      <c r="AB634" s="50"/>
    </row>
    <row r="635" customFormat="false" ht="15.75" hidden="false" customHeight="false" outlineLevel="0" collapsed="false">
      <c r="A635" s="50"/>
      <c r="B635" s="50"/>
      <c r="C635" s="5"/>
      <c r="D635" s="48"/>
      <c r="E635" s="50"/>
      <c r="F635" s="5"/>
      <c r="G635" s="5"/>
      <c r="H635" s="5"/>
      <c r="I635" s="5"/>
      <c r="J635" s="5"/>
      <c r="K635" s="50"/>
      <c r="L635" s="50"/>
      <c r="M635" s="50"/>
      <c r="N635" s="50"/>
      <c r="O635" s="50"/>
      <c r="P635" s="50"/>
      <c r="Q635" s="50"/>
      <c r="R635" s="50"/>
      <c r="S635" s="50"/>
      <c r="T635" s="50"/>
      <c r="U635" s="50"/>
      <c r="V635" s="50"/>
      <c r="W635" s="50"/>
      <c r="X635" s="50"/>
      <c r="Y635" s="50"/>
      <c r="Z635" s="50"/>
      <c r="AA635" s="50"/>
      <c r="AB635" s="50"/>
    </row>
    <row r="636" customFormat="false" ht="15.75" hidden="false" customHeight="false" outlineLevel="0" collapsed="false">
      <c r="A636" s="50"/>
      <c r="B636" s="50"/>
      <c r="C636" s="5"/>
      <c r="D636" s="48"/>
      <c r="E636" s="50"/>
      <c r="F636" s="5"/>
      <c r="G636" s="5"/>
      <c r="H636" s="5"/>
      <c r="I636" s="5"/>
      <c r="J636" s="5"/>
      <c r="K636" s="50"/>
      <c r="L636" s="50"/>
      <c r="M636" s="50"/>
      <c r="N636" s="50"/>
      <c r="O636" s="50"/>
      <c r="P636" s="50"/>
      <c r="Q636" s="50"/>
      <c r="R636" s="50"/>
      <c r="S636" s="50"/>
      <c r="T636" s="50"/>
      <c r="U636" s="50"/>
      <c r="V636" s="50"/>
      <c r="W636" s="50"/>
      <c r="X636" s="50"/>
      <c r="Y636" s="50"/>
      <c r="Z636" s="50"/>
      <c r="AA636" s="50"/>
      <c r="AB636" s="50"/>
    </row>
    <row r="637" customFormat="false" ht="15.75" hidden="false" customHeight="false" outlineLevel="0" collapsed="false">
      <c r="A637" s="50"/>
      <c r="B637" s="50"/>
      <c r="C637" s="5"/>
      <c r="D637" s="48"/>
      <c r="E637" s="50"/>
      <c r="F637" s="5"/>
      <c r="G637" s="5"/>
      <c r="H637" s="5"/>
      <c r="I637" s="5"/>
      <c r="J637" s="5"/>
      <c r="K637" s="50"/>
      <c r="L637" s="50"/>
      <c r="M637" s="50"/>
      <c r="N637" s="50"/>
      <c r="O637" s="50"/>
      <c r="P637" s="50"/>
      <c r="Q637" s="50"/>
      <c r="R637" s="50"/>
      <c r="S637" s="50"/>
      <c r="T637" s="50"/>
      <c r="U637" s="50"/>
      <c r="V637" s="50"/>
      <c r="W637" s="50"/>
      <c r="X637" s="50"/>
      <c r="Y637" s="50"/>
      <c r="Z637" s="50"/>
      <c r="AA637" s="50"/>
      <c r="AB637" s="50"/>
    </row>
    <row r="638" customFormat="false" ht="15.75" hidden="false" customHeight="false" outlineLevel="0" collapsed="false">
      <c r="A638" s="50"/>
      <c r="B638" s="50"/>
      <c r="C638" s="5"/>
      <c r="D638" s="48"/>
      <c r="E638" s="50"/>
      <c r="F638" s="5"/>
      <c r="G638" s="5"/>
      <c r="H638" s="5"/>
      <c r="I638" s="5"/>
      <c r="J638" s="5"/>
      <c r="K638" s="50"/>
      <c r="L638" s="50"/>
      <c r="M638" s="50"/>
      <c r="N638" s="50"/>
      <c r="O638" s="50"/>
      <c r="P638" s="50"/>
      <c r="Q638" s="50"/>
      <c r="R638" s="50"/>
      <c r="S638" s="50"/>
      <c r="T638" s="50"/>
      <c r="U638" s="50"/>
      <c r="V638" s="50"/>
      <c r="W638" s="50"/>
      <c r="X638" s="50"/>
      <c r="Y638" s="50"/>
      <c r="Z638" s="50"/>
      <c r="AA638" s="50"/>
      <c r="AB638" s="50"/>
    </row>
    <row r="639" customFormat="false" ht="15.75" hidden="false" customHeight="false" outlineLevel="0" collapsed="false">
      <c r="A639" s="50"/>
      <c r="B639" s="50"/>
      <c r="C639" s="5"/>
      <c r="D639" s="48"/>
      <c r="E639" s="50"/>
      <c r="F639" s="5"/>
      <c r="G639" s="5"/>
      <c r="H639" s="5"/>
      <c r="I639" s="5"/>
      <c r="J639" s="5"/>
      <c r="K639" s="50"/>
      <c r="L639" s="50"/>
      <c r="M639" s="50"/>
      <c r="N639" s="50"/>
      <c r="O639" s="50"/>
      <c r="P639" s="50"/>
      <c r="Q639" s="50"/>
      <c r="R639" s="50"/>
      <c r="S639" s="50"/>
      <c r="T639" s="50"/>
      <c r="U639" s="50"/>
      <c r="V639" s="50"/>
      <c r="W639" s="50"/>
      <c r="X639" s="50"/>
      <c r="Y639" s="50"/>
      <c r="Z639" s="50"/>
      <c r="AA639" s="50"/>
      <c r="AB639" s="50"/>
    </row>
    <row r="640" customFormat="false" ht="15.75" hidden="false" customHeight="false" outlineLevel="0" collapsed="false">
      <c r="A640" s="50"/>
      <c r="B640" s="50"/>
      <c r="C640" s="5"/>
      <c r="D640" s="48"/>
      <c r="E640" s="50"/>
      <c r="F640" s="5"/>
      <c r="G640" s="5"/>
      <c r="H640" s="5"/>
      <c r="I640" s="5"/>
      <c r="J640" s="5"/>
      <c r="K640" s="50"/>
      <c r="L640" s="50"/>
      <c r="M640" s="50"/>
      <c r="N640" s="50"/>
      <c r="O640" s="50"/>
      <c r="P640" s="50"/>
      <c r="Q640" s="50"/>
      <c r="R640" s="50"/>
      <c r="S640" s="50"/>
      <c r="T640" s="50"/>
      <c r="U640" s="50"/>
      <c r="V640" s="50"/>
      <c r="W640" s="50"/>
      <c r="X640" s="50"/>
      <c r="Y640" s="50"/>
      <c r="Z640" s="50"/>
      <c r="AA640" s="50"/>
      <c r="AB640" s="50"/>
    </row>
    <row r="641" customFormat="false" ht="15.75" hidden="false" customHeight="false" outlineLevel="0" collapsed="false">
      <c r="A641" s="50"/>
      <c r="B641" s="50"/>
      <c r="C641" s="5"/>
      <c r="D641" s="48"/>
      <c r="E641" s="50"/>
      <c r="F641" s="5"/>
      <c r="G641" s="5"/>
      <c r="H641" s="5"/>
      <c r="I641" s="5"/>
      <c r="J641" s="5"/>
      <c r="K641" s="50"/>
      <c r="L641" s="50"/>
      <c r="M641" s="50"/>
      <c r="N641" s="50"/>
      <c r="O641" s="50"/>
      <c r="P641" s="50"/>
      <c r="Q641" s="50"/>
      <c r="R641" s="50"/>
      <c r="S641" s="50"/>
      <c r="T641" s="50"/>
      <c r="U641" s="50"/>
      <c r="V641" s="50"/>
      <c r="W641" s="50"/>
      <c r="X641" s="50"/>
      <c r="Y641" s="50"/>
      <c r="Z641" s="50"/>
      <c r="AA641" s="50"/>
      <c r="AB641" s="50"/>
    </row>
    <row r="642" customFormat="false" ht="15.75" hidden="false" customHeight="false" outlineLevel="0" collapsed="false">
      <c r="A642" s="50"/>
      <c r="B642" s="50"/>
      <c r="C642" s="5"/>
      <c r="D642" s="48"/>
      <c r="E642" s="50"/>
      <c r="F642" s="5"/>
      <c r="G642" s="5"/>
      <c r="H642" s="5"/>
      <c r="I642" s="5"/>
      <c r="J642" s="5"/>
      <c r="K642" s="50"/>
      <c r="L642" s="50"/>
      <c r="M642" s="50"/>
      <c r="N642" s="50"/>
      <c r="O642" s="50"/>
      <c r="P642" s="50"/>
      <c r="Q642" s="50"/>
      <c r="R642" s="50"/>
      <c r="S642" s="50"/>
      <c r="T642" s="50"/>
      <c r="U642" s="50"/>
      <c r="V642" s="50"/>
      <c r="W642" s="50"/>
      <c r="X642" s="50"/>
      <c r="Y642" s="50"/>
      <c r="Z642" s="50"/>
      <c r="AA642" s="50"/>
      <c r="AB642" s="50"/>
    </row>
    <row r="643" customFormat="false" ht="15.75" hidden="false" customHeight="false" outlineLevel="0" collapsed="false">
      <c r="A643" s="50"/>
      <c r="B643" s="50"/>
      <c r="C643" s="5"/>
      <c r="D643" s="48"/>
      <c r="E643" s="50"/>
      <c r="F643" s="5"/>
      <c r="G643" s="5"/>
      <c r="H643" s="5"/>
      <c r="I643" s="5"/>
      <c r="J643" s="5"/>
      <c r="K643" s="50"/>
      <c r="L643" s="50"/>
      <c r="M643" s="50"/>
      <c r="N643" s="50"/>
      <c r="O643" s="50"/>
      <c r="P643" s="50"/>
      <c r="Q643" s="50"/>
      <c r="R643" s="50"/>
      <c r="S643" s="50"/>
      <c r="T643" s="50"/>
      <c r="U643" s="50"/>
      <c r="V643" s="50"/>
      <c r="W643" s="50"/>
      <c r="X643" s="50"/>
      <c r="Y643" s="50"/>
      <c r="Z643" s="50"/>
      <c r="AA643" s="50"/>
      <c r="AB643" s="50"/>
    </row>
    <row r="644" customFormat="false" ht="15.75" hidden="false" customHeight="false" outlineLevel="0" collapsed="false">
      <c r="A644" s="50"/>
      <c r="B644" s="50"/>
      <c r="C644" s="5"/>
      <c r="D644" s="48"/>
      <c r="E644" s="50"/>
      <c r="F644" s="5"/>
      <c r="G644" s="5"/>
      <c r="H644" s="5"/>
      <c r="I644" s="5"/>
      <c r="J644" s="5"/>
      <c r="K644" s="50"/>
      <c r="L644" s="50"/>
      <c r="M644" s="50"/>
      <c r="N644" s="50"/>
      <c r="O644" s="50"/>
      <c r="P644" s="50"/>
      <c r="Q644" s="50"/>
      <c r="R644" s="50"/>
      <c r="S644" s="50"/>
      <c r="T644" s="50"/>
      <c r="U644" s="50"/>
      <c r="V644" s="50"/>
      <c r="W644" s="50"/>
      <c r="X644" s="50"/>
      <c r="Y644" s="50"/>
      <c r="Z644" s="50"/>
      <c r="AA644" s="50"/>
      <c r="AB644" s="50"/>
    </row>
    <row r="645" customFormat="false" ht="15.75" hidden="false" customHeight="false" outlineLevel="0" collapsed="false">
      <c r="A645" s="50"/>
      <c r="B645" s="50"/>
      <c r="C645" s="5"/>
      <c r="D645" s="48"/>
      <c r="E645" s="50"/>
      <c r="F645" s="5"/>
      <c r="G645" s="5"/>
      <c r="H645" s="5"/>
      <c r="I645" s="5"/>
      <c r="J645" s="5"/>
      <c r="K645" s="50"/>
      <c r="L645" s="50"/>
      <c r="M645" s="50"/>
      <c r="N645" s="50"/>
      <c r="O645" s="50"/>
      <c r="P645" s="50"/>
      <c r="Q645" s="50"/>
      <c r="R645" s="50"/>
      <c r="S645" s="50"/>
      <c r="T645" s="50"/>
      <c r="U645" s="50"/>
      <c r="V645" s="50"/>
      <c r="W645" s="50"/>
      <c r="X645" s="50"/>
      <c r="Y645" s="50"/>
      <c r="Z645" s="50"/>
      <c r="AA645" s="50"/>
      <c r="AB645" s="50"/>
    </row>
    <row r="646" customFormat="false" ht="15.75" hidden="false" customHeight="false" outlineLevel="0" collapsed="false">
      <c r="A646" s="50"/>
      <c r="B646" s="50"/>
      <c r="C646" s="5"/>
      <c r="D646" s="48"/>
      <c r="E646" s="50"/>
      <c r="F646" s="5"/>
      <c r="G646" s="5"/>
      <c r="H646" s="5"/>
      <c r="I646" s="5"/>
      <c r="J646" s="5"/>
      <c r="K646" s="50"/>
      <c r="L646" s="50"/>
      <c r="M646" s="50"/>
      <c r="N646" s="50"/>
      <c r="O646" s="50"/>
      <c r="P646" s="50"/>
      <c r="Q646" s="50"/>
      <c r="R646" s="50"/>
      <c r="S646" s="50"/>
      <c r="T646" s="50"/>
      <c r="U646" s="50"/>
      <c r="V646" s="50"/>
      <c r="W646" s="50"/>
      <c r="X646" s="50"/>
      <c r="Y646" s="50"/>
      <c r="Z646" s="50"/>
      <c r="AA646" s="50"/>
      <c r="AB646" s="50"/>
    </row>
    <row r="647" customFormat="false" ht="15.75" hidden="false" customHeight="false" outlineLevel="0" collapsed="false">
      <c r="A647" s="50"/>
      <c r="B647" s="50"/>
      <c r="C647" s="5"/>
      <c r="D647" s="48"/>
      <c r="E647" s="50"/>
      <c r="F647" s="5"/>
      <c r="G647" s="5"/>
      <c r="H647" s="5"/>
      <c r="I647" s="5"/>
      <c r="J647" s="5"/>
      <c r="K647" s="50"/>
      <c r="L647" s="50"/>
      <c r="M647" s="50"/>
      <c r="N647" s="50"/>
      <c r="O647" s="50"/>
      <c r="P647" s="50"/>
      <c r="Q647" s="50"/>
      <c r="R647" s="50"/>
      <c r="S647" s="50"/>
      <c r="T647" s="50"/>
      <c r="U647" s="50"/>
      <c r="V647" s="50"/>
      <c r="W647" s="50"/>
      <c r="X647" s="50"/>
      <c r="Y647" s="50"/>
      <c r="Z647" s="50"/>
      <c r="AA647" s="50"/>
      <c r="AB647" s="50"/>
    </row>
    <row r="648" customFormat="false" ht="15.75" hidden="false" customHeight="false" outlineLevel="0" collapsed="false">
      <c r="A648" s="50"/>
      <c r="B648" s="50"/>
      <c r="C648" s="5"/>
      <c r="D648" s="48"/>
      <c r="E648" s="50"/>
      <c r="F648" s="5"/>
      <c r="G648" s="5"/>
      <c r="H648" s="5"/>
      <c r="I648" s="5"/>
      <c r="J648" s="5"/>
      <c r="K648" s="50"/>
      <c r="L648" s="50"/>
      <c r="M648" s="50"/>
      <c r="N648" s="50"/>
      <c r="O648" s="50"/>
      <c r="P648" s="50"/>
      <c r="Q648" s="50"/>
      <c r="R648" s="50"/>
      <c r="S648" s="50"/>
      <c r="T648" s="50"/>
      <c r="U648" s="50"/>
      <c r="V648" s="50"/>
      <c r="W648" s="50"/>
      <c r="X648" s="50"/>
      <c r="Y648" s="50"/>
      <c r="Z648" s="50"/>
      <c r="AA648" s="50"/>
      <c r="AB648" s="50"/>
    </row>
    <row r="649" customFormat="false" ht="15.75" hidden="false" customHeight="false" outlineLevel="0" collapsed="false">
      <c r="A649" s="50"/>
      <c r="B649" s="50"/>
      <c r="C649" s="5"/>
      <c r="D649" s="48"/>
      <c r="E649" s="50"/>
      <c r="F649" s="5"/>
      <c r="G649" s="5"/>
      <c r="H649" s="5"/>
      <c r="I649" s="5"/>
      <c r="J649" s="5"/>
      <c r="K649" s="50"/>
      <c r="L649" s="50"/>
      <c r="M649" s="50"/>
      <c r="N649" s="50"/>
      <c r="O649" s="50"/>
      <c r="P649" s="50"/>
      <c r="Q649" s="50"/>
      <c r="R649" s="50"/>
      <c r="S649" s="50"/>
      <c r="T649" s="50"/>
      <c r="U649" s="50"/>
      <c r="V649" s="50"/>
      <c r="W649" s="50"/>
      <c r="X649" s="50"/>
      <c r="Y649" s="50"/>
      <c r="Z649" s="50"/>
      <c r="AA649" s="50"/>
      <c r="AB649" s="50"/>
    </row>
    <row r="650" customFormat="false" ht="15.75" hidden="false" customHeight="false" outlineLevel="0" collapsed="false">
      <c r="A650" s="50"/>
      <c r="B650" s="50"/>
      <c r="C650" s="5"/>
      <c r="D650" s="48"/>
      <c r="E650" s="50"/>
      <c r="F650" s="5"/>
      <c r="G650" s="5"/>
      <c r="H650" s="5"/>
      <c r="I650" s="5"/>
      <c r="J650" s="5"/>
      <c r="K650" s="50"/>
      <c r="L650" s="50"/>
      <c r="M650" s="50"/>
      <c r="N650" s="50"/>
      <c r="O650" s="50"/>
      <c r="P650" s="50"/>
      <c r="Q650" s="50"/>
      <c r="R650" s="50"/>
      <c r="S650" s="50"/>
      <c r="T650" s="50"/>
      <c r="U650" s="50"/>
      <c r="V650" s="50"/>
      <c r="W650" s="50"/>
      <c r="X650" s="50"/>
      <c r="Y650" s="50"/>
      <c r="Z650" s="50"/>
      <c r="AA650" s="50"/>
      <c r="AB650" s="50"/>
    </row>
    <row r="651" customFormat="false" ht="15.75" hidden="false" customHeight="false" outlineLevel="0" collapsed="false">
      <c r="A651" s="50"/>
      <c r="B651" s="50"/>
      <c r="C651" s="5"/>
      <c r="D651" s="48"/>
      <c r="E651" s="50"/>
      <c r="F651" s="5"/>
      <c r="G651" s="5"/>
      <c r="H651" s="5"/>
      <c r="I651" s="5"/>
      <c r="J651" s="5"/>
      <c r="K651" s="50"/>
      <c r="L651" s="50"/>
      <c r="M651" s="50"/>
      <c r="N651" s="50"/>
      <c r="O651" s="50"/>
      <c r="P651" s="50"/>
      <c r="Q651" s="50"/>
      <c r="R651" s="50"/>
      <c r="S651" s="50"/>
      <c r="T651" s="50"/>
      <c r="U651" s="50"/>
      <c r="V651" s="50"/>
      <c r="W651" s="50"/>
      <c r="X651" s="50"/>
      <c r="Y651" s="50"/>
      <c r="Z651" s="50"/>
      <c r="AA651" s="50"/>
      <c r="AB651" s="50"/>
    </row>
    <row r="652" customFormat="false" ht="15.75" hidden="false" customHeight="false" outlineLevel="0" collapsed="false">
      <c r="A652" s="50"/>
      <c r="B652" s="50"/>
      <c r="C652" s="5"/>
      <c r="D652" s="48"/>
      <c r="E652" s="50"/>
      <c r="F652" s="5"/>
      <c r="G652" s="5"/>
      <c r="H652" s="5"/>
      <c r="I652" s="5"/>
      <c r="J652" s="5"/>
      <c r="K652" s="50"/>
      <c r="L652" s="50"/>
      <c r="M652" s="50"/>
      <c r="N652" s="50"/>
      <c r="O652" s="50"/>
      <c r="P652" s="50"/>
      <c r="Q652" s="50"/>
      <c r="R652" s="50"/>
      <c r="S652" s="50"/>
      <c r="T652" s="50"/>
      <c r="U652" s="50"/>
      <c r="V652" s="50"/>
      <c r="W652" s="50"/>
      <c r="X652" s="50"/>
      <c r="Y652" s="50"/>
      <c r="Z652" s="50"/>
      <c r="AA652" s="50"/>
      <c r="AB652" s="50"/>
    </row>
    <row r="653" customFormat="false" ht="15.75" hidden="false" customHeight="false" outlineLevel="0" collapsed="false">
      <c r="A653" s="50"/>
      <c r="B653" s="50"/>
      <c r="C653" s="5"/>
      <c r="D653" s="48"/>
      <c r="E653" s="50"/>
      <c r="F653" s="5"/>
      <c r="G653" s="5"/>
      <c r="H653" s="5"/>
      <c r="I653" s="5"/>
      <c r="J653" s="5"/>
      <c r="K653" s="50"/>
      <c r="L653" s="50"/>
      <c r="M653" s="50"/>
      <c r="N653" s="50"/>
      <c r="O653" s="50"/>
      <c r="P653" s="50"/>
      <c r="Q653" s="50"/>
      <c r="R653" s="50"/>
      <c r="S653" s="50"/>
      <c r="T653" s="50"/>
      <c r="U653" s="50"/>
      <c r="V653" s="50"/>
      <c r="W653" s="50"/>
      <c r="X653" s="50"/>
      <c r="Y653" s="50"/>
      <c r="Z653" s="50"/>
      <c r="AA653" s="50"/>
      <c r="AB653" s="50"/>
    </row>
    <row r="654" customFormat="false" ht="15.75" hidden="false" customHeight="false" outlineLevel="0" collapsed="false">
      <c r="A654" s="50"/>
      <c r="B654" s="50"/>
      <c r="C654" s="5"/>
      <c r="D654" s="48"/>
      <c r="E654" s="50"/>
      <c r="F654" s="5"/>
      <c r="G654" s="5"/>
      <c r="H654" s="5"/>
      <c r="I654" s="5"/>
      <c r="J654" s="5"/>
      <c r="K654" s="50"/>
      <c r="L654" s="50"/>
      <c r="M654" s="50"/>
      <c r="N654" s="50"/>
      <c r="O654" s="50"/>
      <c r="P654" s="50"/>
      <c r="Q654" s="50"/>
      <c r="R654" s="50"/>
      <c r="S654" s="50"/>
      <c r="T654" s="50"/>
      <c r="U654" s="50"/>
      <c r="V654" s="50"/>
      <c r="W654" s="50"/>
      <c r="X654" s="50"/>
      <c r="Y654" s="50"/>
      <c r="Z654" s="50"/>
      <c r="AA654" s="50"/>
      <c r="AB654" s="50"/>
    </row>
    <row r="655" customFormat="false" ht="15.75" hidden="false" customHeight="false" outlineLevel="0" collapsed="false">
      <c r="A655" s="50"/>
      <c r="B655" s="50"/>
      <c r="C655" s="5"/>
      <c r="D655" s="48"/>
      <c r="E655" s="50"/>
      <c r="F655" s="5"/>
      <c r="G655" s="5"/>
      <c r="H655" s="5"/>
      <c r="I655" s="5"/>
      <c r="J655" s="5"/>
      <c r="K655" s="50"/>
      <c r="L655" s="50"/>
      <c r="M655" s="50"/>
      <c r="N655" s="50"/>
      <c r="O655" s="50"/>
      <c r="P655" s="50"/>
      <c r="Q655" s="50"/>
      <c r="R655" s="50"/>
      <c r="S655" s="50"/>
      <c r="T655" s="50"/>
      <c r="U655" s="50"/>
      <c r="V655" s="50"/>
      <c r="W655" s="50"/>
      <c r="X655" s="50"/>
      <c r="Y655" s="50"/>
      <c r="Z655" s="50"/>
      <c r="AA655" s="50"/>
      <c r="AB655" s="50"/>
    </row>
    <row r="656" customFormat="false" ht="15.75" hidden="false" customHeight="false" outlineLevel="0" collapsed="false">
      <c r="A656" s="50"/>
      <c r="B656" s="50"/>
      <c r="C656" s="5"/>
      <c r="D656" s="48"/>
      <c r="E656" s="50"/>
      <c r="F656" s="5"/>
      <c r="G656" s="5"/>
      <c r="H656" s="5"/>
      <c r="I656" s="5"/>
      <c r="J656" s="5"/>
      <c r="K656" s="50"/>
      <c r="L656" s="50"/>
      <c r="M656" s="50"/>
      <c r="N656" s="50"/>
      <c r="O656" s="50"/>
      <c r="P656" s="50"/>
      <c r="Q656" s="50"/>
      <c r="R656" s="50"/>
      <c r="S656" s="50"/>
      <c r="T656" s="50"/>
      <c r="U656" s="50"/>
      <c r="V656" s="50"/>
      <c r="W656" s="50"/>
      <c r="X656" s="50"/>
      <c r="Y656" s="50"/>
      <c r="Z656" s="50"/>
      <c r="AA656" s="50"/>
      <c r="AB656" s="50"/>
    </row>
    <row r="657" customFormat="false" ht="15.75" hidden="false" customHeight="false" outlineLevel="0" collapsed="false">
      <c r="A657" s="50"/>
      <c r="B657" s="50"/>
      <c r="C657" s="5"/>
      <c r="D657" s="48"/>
      <c r="E657" s="50"/>
      <c r="F657" s="5"/>
      <c r="G657" s="5"/>
      <c r="H657" s="5"/>
      <c r="I657" s="5"/>
      <c r="J657" s="5"/>
      <c r="K657" s="50"/>
      <c r="L657" s="50"/>
      <c r="M657" s="50"/>
      <c r="N657" s="50"/>
      <c r="O657" s="50"/>
      <c r="P657" s="50"/>
      <c r="Q657" s="50"/>
      <c r="R657" s="50"/>
      <c r="S657" s="50"/>
      <c r="T657" s="50"/>
      <c r="U657" s="50"/>
      <c r="V657" s="50"/>
      <c r="W657" s="50"/>
      <c r="X657" s="50"/>
      <c r="Y657" s="50"/>
      <c r="Z657" s="50"/>
      <c r="AA657" s="50"/>
      <c r="AB657" s="50"/>
    </row>
    <row r="658" customFormat="false" ht="15.75" hidden="false" customHeight="false" outlineLevel="0" collapsed="false">
      <c r="A658" s="50"/>
      <c r="B658" s="50"/>
      <c r="C658" s="5"/>
      <c r="D658" s="48"/>
      <c r="E658" s="50"/>
      <c r="F658" s="5"/>
      <c r="G658" s="5"/>
      <c r="H658" s="5"/>
      <c r="I658" s="5"/>
      <c r="J658" s="5"/>
      <c r="K658" s="50"/>
      <c r="L658" s="50"/>
      <c r="M658" s="50"/>
      <c r="N658" s="50"/>
      <c r="O658" s="50"/>
      <c r="P658" s="50"/>
      <c r="Q658" s="50"/>
      <c r="R658" s="50"/>
      <c r="S658" s="50"/>
      <c r="T658" s="50"/>
      <c r="U658" s="50"/>
      <c r="V658" s="50"/>
      <c r="W658" s="50"/>
      <c r="X658" s="50"/>
      <c r="Y658" s="50"/>
      <c r="Z658" s="50"/>
      <c r="AA658" s="50"/>
      <c r="AB658" s="50"/>
    </row>
    <row r="659" customFormat="false" ht="15.75" hidden="false" customHeight="false" outlineLevel="0" collapsed="false">
      <c r="A659" s="50"/>
      <c r="B659" s="50"/>
      <c r="C659" s="5"/>
      <c r="D659" s="48"/>
      <c r="E659" s="50"/>
      <c r="F659" s="5"/>
      <c r="G659" s="5"/>
      <c r="H659" s="5"/>
      <c r="I659" s="5"/>
      <c r="J659" s="5"/>
      <c r="K659" s="50"/>
      <c r="L659" s="50"/>
      <c r="M659" s="50"/>
      <c r="N659" s="50"/>
      <c r="O659" s="50"/>
      <c r="P659" s="50"/>
      <c r="Q659" s="50"/>
      <c r="R659" s="50"/>
      <c r="S659" s="50"/>
      <c r="T659" s="50"/>
      <c r="U659" s="50"/>
      <c r="V659" s="50"/>
      <c r="W659" s="50"/>
      <c r="X659" s="50"/>
      <c r="Y659" s="50"/>
      <c r="Z659" s="50"/>
      <c r="AA659" s="50"/>
      <c r="AB659" s="50"/>
    </row>
    <row r="660" customFormat="false" ht="15.75" hidden="false" customHeight="false" outlineLevel="0" collapsed="false">
      <c r="A660" s="50"/>
      <c r="B660" s="50"/>
      <c r="C660" s="5"/>
      <c r="D660" s="48"/>
      <c r="E660" s="50"/>
      <c r="F660" s="5"/>
      <c r="G660" s="5"/>
      <c r="H660" s="5"/>
      <c r="I660" s="5"/>
      <c r="J660" s="5"/>
      <c r="K660" s="50"/>
      <c r="L660" s="50"/>
      <c r="M660" s="50"/>
      <c r="N660" s="50"/>
      <c r="O660" s="50"/>
      <c r="P660" s="50"/>
      <c r="Q660" s="50"/>
      <c r="R660" s="50"/>
      <c r="S660" s="50"/>
      <c r="T660" s="50"/>
      <c r="U660" s="50"/>
      <c r="V660" s="50"/>
      <c r="W660" s="50"/>
      <c r="X660" s="50"/>
      <c r="Y660" s="50"/>
      <c r="Z660" s="50"/>
      <c r="AA660" s="50"/>
      <c r="AB660" s="50"/>
    </row>
    <row r="661" customFormat="false" ht="15.75" hidden="false" customHeight="false" outlineLevel="0" collapsed="false">
      <c r="A661" s="50"/>
      <c r="B661" s="50"/>
      <c r="C661" s="5"/>
      <c r="D661" s="48"/>
      <c r="E661" s="50"/>
      <c r="F661" s="5"/>
      <c r="G661" s="5"/>
      <c r="H661" s="5"/>
      <c r="I661" s="5"/>
      <c r="J661" s="5"/>
      <c r="K661" s="50"/>
      <c r="L661" s="50"/>
      <c r="M661" s="50"/>
      <c r="N661" s="50"/>
      <c r="O661" s="50"/>
      <c r="P661" s="50"/>
      <c r="Q661" s="50"/>
      <c r="R661" s="50"/>
      <c r="S661" s="50"/>
      <c r="T661" s="50"/>
      <c r="U661" s="50"/>
      <c r="V661" s="50"/>
      <c r="W661" s="50"/>
      <c r="X661" s="50"/>
      <c r="Y661" s="50"/>
      <c r="Z661" s="50"/>
      <c r="AA661" s="50"/>
      <c r="AB661" s="50"/>
    </row>
    <row r="662" customFormat="false" ht="15.75" hidden="false" customHeight="false" outlineLevel="0" collapsed="false">
      <c r="A662" s="50"/>
      <c r="B662" s="50"/>
      <c r="C662" s="5"/>
      <c r="D662" s="48"/>
      <c r="E662" s="50"/>
      <c r="F662" s="5"/>
      <c r="G662" s="5"/>
      <c r="H662" s="5"/>
      <c r="I662" s="5"/>
      <c r="J662" s="5"/>
      <c r="K662" s="50"/>
      <c r="L662" s="50"/>
      <c r="M662" s="50"/>
      <c r="N662" s="50"/>
      <c r="O662" s="50"/>
      <c r="P662" s="50"/>
      <c r="Q662" s="50"/>
      <c r="R662" s="50"/>
      <c r="S662" s="50"/>
      <c r="T662" s="50"/>
      <c r="U662" s="50"/>
      <c r="V662" s="50"/>
      <c r="W662" s="50"/>
      <c r="X662" s="50"/>
      <c r="Y662" s="50"/>
      <c r="Z662" s="50"/>
      <c r="AA662" s="50"/>
      <c r="AB662" s="50"/>
    </row>
    <row r="663" customFormat="false" ht="15.75" hidden="false" customHeight="false" outlineLevel="0" collapsed="false">
      <c r="A663" s="50"/>
      <c r="B663" s="50"/>
      <c r="C663" s="5"/>
      <c r="D663" s="48"/>
      <c r="E663" s="50"/>
      <c r="F663" s="5"/>
      <c r="G663" s="5"/>
      <c r="H663" s="5"/>
      <c r="I663" s="5"/>
      <c r="J663" s="5"/>
      <c r="K663" s="50"/>
      <c r="L663" s="50"/>
      <c r="M663" s="50"/>
      <c r="N663" s="50"/>
      <c r="O663" s="50"/>
      <c r="P663" s="50"/>
      <c r="Q663" s="50"/>
      <c r="R663" s="50"/>
      <c r="S663" s="50"/>
      <c r="T663" s="50"/>
      <c r="U663" s="50"/>
      <c r="V663" s="50"/>
      <c r="W663" s="50"/>
      <c r="X663" s="50"/>
      <c r="Y663" s="50"/>
      <c r="Z663" s="50"/>
      <c r="AA663" s="50"/>
      <c r="AB663" s="50"/>
    </row>
    <row r="664" customFormat="false" ht="15.75" hidden="false" customHeight="false" outlineLevel="0" collapsed="false">
      <c r="A664" s="50"/>
      <c r="B664" s="50"/>
      <c r="C664" s="5"/>
      <c r="D664" s="48"/>
      <c r="E664" s="50"/>
      <c r="F664" s="5"/>
      <c r="G664" s="5"/>
      <c r="H664" s="5"/>
      <c r="I664" s="5"/>
      <c r="J664" s="5"/>
      <c r="K664" s="50"/>
      <c r="L664" s="50"/>
      <c r="M664" s="50"/>
      <c r="N664" s="50"/>
      <c r="O664" s="50"/>
      <c r="P664" s="50"/>
      <c r="Q664" s="50"/>
      <c r="R664" s="50"/>
      <c r="S664" s="50"/>
      <c r="T664" s="50"/>
      <c r="U664" s="50"/>
      <c r="V664" s="50"/>
      <c r="W664" s="50"/>
      <c r="X664" s="50"/>
      <c r="Y664" s="50"/>
      <c r="Z664" s="50"/>
      <c r="AA664" s="50"/>
      <c r="AB664" s="50"/>
    </row>
    <row r="665" customFormat="false" ht="15.75" hidden="false" customHeight="false" outlineLevel="0" collapsed="false">
      <c r="A665" s="50"/>
      <c r="B665" s="50"/>
      <c r="C665" s="5"/>
      <c r="D665" s="48"/>
      <c r="E665" s="50"/>
      <c r="F665" s="5"/>
      <c r="G665" s="5"/>
      <c r="H665" s="5"/>
      <c r="I665" s="5"/>
      <c r="J665" s="5"/>
      <c r="K665" s="50"/>
      <c r="L665" s="50"/>
      <c r="M665" s="50"/>
      <c r="N665" s="50"/>
      <c r="O665" s="50"/>
      <c r="P665" s="50"/>
      <c r="Q665" s="50"/>
      <c r="R665" s="50"/>
      <c r="S665" s="50"/>
      <c r="T665" s="50"/>
      <c r="U665" s="50"/>
      <c r="V665" s="50"/>
      <c r="W665" s="50"/>
      <c r="X665" s="50"/>
      <c r="Y665" s="50"/>
      <c r="Z665" s="50"/>
      <c r="AA665" s="50"/>
      <c r="AB665" s="50"/>
    </row>
    <row r="666" customFormat="false" ht="15.75" hidden="false" customHeight="false" outlineLevel="0" collapsed="false">
      <c r="A666" s="50"/>
      <c r="B666" s="50"/>
      <c r="C666" s="5"/>
      <c r="D666" s="48"/>
      <c r="E666" s="50"/>
      <c r="F666" s="5"/>
      <c r="G666" s="5"/>
      <c r="H666" s="5"/>
      <c r="I666" s="5"/>
      <c r="J666" s="5"/>
      <c r="K666" s="50"/>
      <c r="L666" s="50"/>
      <c r="M666" s="50"/>
      <c r="N666" s="50"/>
      <c r="O666" s="50"/>
      <c r="P666" s="50"/>
      <c r="Q666" s="50"/>
      <c r="R666" s="50"/>
      <c r="S666" s="50"/>
      <c r="T666" s="50"/>
      <c r="U666" s="50"/>
      <c r="V666" s="50"/>
      <c r="W666" s="50"/>
      <c r="X666" s="50"/>
      <c r="Y666" s="50"/>
      <c r="Z666" s="50"/>
      <c r="AA666" s="50"/>
      <c r="AB666" s="50"/>
    </row>
    <row r="667" customFormat="false" ht="15.75" hidden="false" customHeight="false" outlineLevel="0" collapsed="false">
      <c r="A667" s="50"/>
      <c r="B667" s="50"/>
      <c r="C667" s="5"/>
      <c r="D667" s="48"/>
      <c r="E667" s="50"/>
      <c r="F667" s="5"/>
      <c r="G667" s="5"/>
      <c r="H667" s="5"/>
      <c r="I667" s="5"/>
      <c r="J667" s="5"/>
      <c r="K667" s="50"/>
      <c r="L667" s="50"/>
      <c r="M667" s="50"/>
      <c r="N667" s="50"/>
      <c r="O667" s="50"/>
      <c r="P667" s="50"/>
      <c r="Q667" s="50"/>
      <c r="R667" s="50"/>
      <c r="S667" s="50"/>
      <c r="T667" s="50"/>
      <c r="U667" s="50"/>
      <c r="V667" s="50"/>
      <c r="W667" s="50"/>
      <c r="X667" s="50"/>
      <c r="Y667" s="50"/>
      <c r="Z667" s="50"/>
      <c r="AA667" s="50"/>
      <c r="AB667" s="50"/>
    </row>
    <row r="668" customFormat="false" ht="15.75" hidden="false" customHeight="false" outlineLevel="0" collapsed="false">
      <c r="A668" s="50"/>
      <c r="B668" s="50"/>
      <c r="C668" s="5"/>
      <c r="D668" s="48"/>
      <c r="E668" s="50"/>
      <c r="F668" s="5"/>
      <c r="G668" s="5"/>
      <c r="H668" s="5"/>
      <c r="I668" s="5"/>
      <c r="J668" s="5"/>
      <c r="K668" s="50"/>
      <c r="L668" s="50"/>
      <c r="M668" s="50"/>
      <c r="N668" s="50"/>
      <c r="O668" s="50"/>
      <c r="P668" s="50"/>
      <c r="Q668" s="50"/>
      <c r="R668" s="50"/>
      <c r="S668" s="50"/>
      <c r="T668" s="50"/>
      <c r="U668" s="50"/>
      <c r="V668" s="50"/>
      <c r="W668" s="50"/>
      <c r="X668" s="50"/>
      <c r="Y668" s="50"/>
      <c r="Z668" s="50"/>
      <c r="AA668" s="50"/>
      <c r="AB668" s="50"/>
    </row>
    <row r="669" customFormat="false" ht="15.75" hidden="false" customHeight="false" outlineLevel="0" collapsed="false">
      <c r="A669" s="50"/>
      <c r="B669" s="50"/>
      <c r="C669" s="5"/>
      <c r="D669" s="48"/>
      <c r="E669" s="50"/>
      <c r="F669" s="5"/>
      <c r="G669" s="5"/>
      <c r="H669" s="5"/>
      <c r="I669" s="5"/>
      <c r="J669" s="5"/>
      <c r="K669" s="50"/>
      <c r="L669" s="50"/>
      <c r="M669" s="50"/>
      <c r="N669" s="50"/>
      <c r="O669" s="50"/>
      <c r="P669" s="50"/>
      <c r="Q669" s="50"/>
      <c r="R669" s="50"/>
      <c r="S669" s="50"/>
      <c r="T669" s="50"/>
      <c r="U669" s="50"/>
      <c r="V669" s="50"/>
      <c r="W669" s="50"/>
      <c r="X669" s="50"/>
      <c r="Y669" s="50"/>
      <c r="Z669" s="50"/>
      <c r="AA669" s="50"/>
      <c r="AB669" s="50"/>
    </row>
    <row r="670" customFormat="false" ht="15.75" hidden="false" customHeight="false" outlineLevel="0" collapsed="false">
      <c r="A670" s="50"/>
      <c r="B670" s="50"/>
      <c r="C670" s="5"/>
      <c r="D670" s="48"/>
      <c r="E670" s="50"/>
      <c r="F670" s="5"/>
      <c r="G670" s="5"/>
      <c r="H670" s="5"/>
      <c r="I670" s="5"/>
      <c r="J670" s="5"/>
      <c r="K670" s="50"/>
      <c r="L670" s="50"/>
      <c r="M670" s="50"/>
      <c r="N670" s="50"/>
      <c r="O670" s="50"/>
      <c r="P670" s="50"/>
      <c r="Q670" s="50"/>
      <c r="R670" s="50"/>
      <c r="S670" s="50"/>
      <c r="T670" s="50"/>
      <c r="U670" s="50"/>
      <c r="V670" s="50"/>
      <c r="W670" s="50"/>
      <c r="X670" s="50"/>
      <c r="Y670" s="50"/>
      <c r="Z670" s="50"/>
      <c r="AA670" s="50"/>
      <c r="AB670" s="50"/>
    </row>
    <row r="671" customFormat="false" ht="15.75" hidden="false" customHeight="false" outlineLevel="0" collapsed="false">
      <c r="A671" s="50"/>
      <c r="B671" s="50"/>
      <c r="C671" s="5"/>
      <c r="D671" s="48"/>
      <c r="E671" s="50"/>
      <c r="F671" s="5"/>
      <c r="G671" s="5"/>
      <c r="H671" s="5"/>
      <c r="I671" s="5"/>
      <c r="J671" s="5"/>
      <c r="K671" s="50"/>
      <c r="L671" s="50"/>
      <c r="M671" s="50"/>
      <c r="N671" s="50"/>
      <c r="O671" s="50"/>
      <c r="P671" s="50"/>
      <c r="Q671" s="50"/>
      <c r="R671" s="50"/>
      <c r="S671" s="50"/>
      <c r="T671" s="50"/>
      <c r="U671" s="50"/>
      <c r="V671" s="50"/>
      <c r="W671" s="50"/>
      <c r="X671" s="50"/>
      <c r="Y671" s="50"/>
      <c r="Z671" s="50"/>
      <c r="AA671" s="50"/>
      <c r="AB671" s="50"/>
    </row>
    <row r="672" customFormat="false" ht="15.75" hidden="false" customHeight="false" outlineLevel="0" collapsed="false">
      <c r="A672" s="50"/>
      <c r="B672" s="50"/>
      <c r="C672" s="5"/>
      <c r="D672" s="48"/>
      <c r="E672" s="50"/>
      <c r="F672" s="5"/>
      <c r="G672" s="5"/>
      <c r="H672" s="5"/>
      <c r="I672" s="5"/>
      <c r="J672" s="5"/>
      <c r="K672" s="50"/>
      <c r="L672" s="50"/>
      <c r="M672" s="50"/>
      <c r="N672" s="50"/>
      <c r="O672" s="50"/>
      <c r="P672" s="50"/>
      <c r="Q672" s="50"/>
      <c r="R672" s="50"/>
      <c r="S672" s="50"/>
      <c r="T672" s="50"/>
      <c r="U672" s="50"/>
      <c r="V672" s="50"/>
      <c r="W672" s="50"/>
      <c r="X672" s="50"/>
      <c r="Y672" s="50"/>
      <c r="Z672" s="50"/>
      <c r="AA672" s="50"/>
      <c r="AB672" s="50"/>
    </row>
    <row r="673" customFormat="false" ht="15.75" hidden="false" customHeight="false" outlineLevel="0" collapsed="false">
      <c r="A673" s="50"/>
      <c r="B673" s="50"/>
      <c r="C673" s="5"/>
      <c r="D673" s="48"/>
      <c r="E673" s="50"/>
      <c r="F673" s="5"/>
      <c r="G673" s="5"/>
      <c r="H673" s="5"/>
      <c r="I673" s="5"/>
      <c r="J673" s="5"/>
      <c r="K673" s="50"/>
      <c r="L673" s="50"/>
      <c r="M673" s="50"/>
      <c r="N673" s="50"/>
      <c r="O673" s="50"/>
      <c r="P673" s="50"/>
      <c r="Q673" s="50"/>
      <c r="R673" s="50"/>
      <c r="S673" s="50"/>
      <c r="T673" s="50"/>
      <c r="U673" s="50"/>
      <c r="V673" s="50"/>
      <c r="W673" s="50"/>
      <c r="X673" s="50"/>
      <c r="Y673" s="50"/>
      <c r="Z673" s="50"/>
      <c r="AA673" s="50"/>
      <c r="AB673" s="50"/>
    </row>
    <row r="674" customFormat="false" ht="15.75" hidden="false" customHeight="false" outlineLevel="0" collapsed="false">
      <c r="A674" s="50"/>
      <c r="B674" s="50"/>
      <c r="C674" s="5"/>
      <c r="D674" s="48"/>
      <c r="E674" s="50"/>
      <c r="F674" s="5"/>
      <c r="G674" s="5"/>
      <c r="H674" s="5"/>
      <c r="I674" s="5"/>
      <c r="J674" s="5"/>
      <c r="K674" s="50"/>
      <c r="L674" s="50"/>
      <c r="M674" s="50"/>
      <c r="N674" s="50"/>
      <c r="O674" s="50"/>
      <c r="P674" s="50"/>
      <c r="Q674" s="50"/>
      <c r="R674" s="50"/>
      <c r="S674" s="50"/>
      <c r="T674" s="50"/>
      <c r="U674" s="50"/>
      <c r="V674" s="50"/>
      <c r="W674" s="50"/>
      <c r="X674" s="50"/>
      <c r="Y674" s="50"/>
      <c r="Z674" s="50"/>
      <c r="AA674" s="50"/>
      <c r="AB674" s="50"/>
    </row>
    <row r="675" customFormat="false" ht="15.75" hidden="false" customHeight="false" outlineLevel="0" collapsed="false">
      <c r="A675" s="50"/>
      <c r="B675" s="50"/>
      <c r="C675" s="5"/>
      <c r="D675" s="48"/>
      <c r="E675" s="50"/>
      <c r="F675" s="5"/>
      <c r="G675" s="5"/>
      <c r="H675" s="5"/>
      <c r="I675" s="5"/>
      <c r="J675" s="5"/>
      <c r="K675" s="50"/>
      <c r="L675" s="50"/>
      <c r="M675" s="50"/>
      <c r="N675" s="50"/>
      <c r="O675" s="50"/>
      <c r="P675" s="50"/>
      <c r="Q675" s="50"/>
      <c r="R675" s="50"/>
      <c r="S675" s="50"/>
      <c r="T675" s="50"/>
      <c r="U675" s="50"/>
      <c r="V675" s="50"/>
      <c r="W675" s="50"/>
      <c r="X675" s="50"/>
      <c r="Y675" s="50"/>
      <c r="Z675" s="50"/>
      <c r="AA675" s="50"/>
      <c r="AB675" s="50"/>
    </row>
    <row r="676" customFormat="false" ht="15.75" hidden="false" customHeight="false" outlineLevel="0" collapsed="false">
      <c r="A676" s="50"/>
      <c r="B676" s="50"/>
      <c r="C676" s="5"/>
      <c r="D676" s="48"/>
      <c r="E676" s="50"/>
      <c r="F676" s="5"/>
      <c r="G676" s="5"/>
      <c r="H676" s="5"/>
      <c r="I676" s="5"/>
      <c r="J676" s="5"/>
      <c r="K676" s="50"/>
      <c r="L676" s="50"/>
      <c r="M676" s="50"/>
      <c r="N676" s="50"/>
      <c r="O676" s="50"/>
      <c r="P676" s="50"/>
      <c r="Q676" s="50"/>
      <c r="R676" s="50"/>
      <c r="S676" s="50"/>
      <c r="T676" s="50"/>
      <c r="U676" s="50"/>
      <c r="V676" s="50"/>
      <c r="W676" s="50"/>
      <c r="X676" s="50"/>
      <c r="Y676" s="50"/>
      <c r="Z676" s="50"/>
      <c r="AA676" s="50"/>
      <c r="AB676" s="50"/>
    </row>
    <row r="677" customFormat="false" ht="15.75" hidden="false" customHeight="false" outlineLevel="0" collapsed="false">
      <c r="A677" s="50"/>
      <c r="B677" s="50"/>
      <c r="C677" s="5"/>
      <c r="D677" s="48"/>
      <c r="E677" s="50"/>
      <c r="F677" s="5"/>
      <c r="G677" s="5"/>
      <c r="H677" s="5"/>
      <c r="I677" s="5"/>
      <c r="J677" s="5"/>
      <c r="K677" s="50"/>
      <c r="L677" s="50"/>
      <c r="M677" s="50"/>
      <c r="N677" s="50"/>
      <c r="O677" s="50"/>
      <c r="P677" s="50"/>
      <c r="Q677" s="50"/>
      <c r="R677" s="50"/>
      <c r="S677" s="50"/>
      <c r="T677" s="50"/>
      <c r="U677" s="50"/>
      <c r="V677" s="50"/>
      <c r="W677" s="50"/>
      <c r="X677" s="50"/>
      <c r="Y677" s="50"/>
      <c r="Z677" s="50"/>
      <c r="AA677" s="50"/>
      <c r="AB677" s="50"/>
    </row>
    <row r="678" customFormat="false" ht="15.75" hidden="false" customHeight="false" outlineLevel="0" collapsed="false">
      <c r="A678" s="50"/>
      <c r="B678" s="50"/>
      <c r="C678" s="5"/>
      <c r="D678" s="48"/>
      <c r="E678" s="50"/>
      <c r="F678" s="5"/>
      <c r="G678" s="5"/>
      <c r="H678" s="5"/>
      <c r="I678" s="5"/>
      <c r="J678" s="5"/>
      <c r="K678" s="50"/>
      <c r="L678" s="50"/>
      <c r="M678" s="50"/>
      <c r="N678" s="50"/>
      <c r="O678" s="50"/>
      <c r="P678" s="50"/>
      <c r="Q678" s="50"/>
      <c r="R678" s="50"/>
      <c r="S678" s="50"/>
      <c r="T678" s="50"/>
      <c r="U678" s="50"/>
      <c r="V678" s="50"/>
      <c r="W678" s="50"/>
      <c r="X678" s="50"/>
      <c r="Y678" s="50"/>
      <c r="Z678" s="50"/>
      <c r="AA678" s="50"/>
      <c r="AB678" s="50"/>
    </row>
    <row r="679" customFormat="false" ht="15.75" hidden="false" customHeight="false" outlineLevel="0" collapsed="false">
      <c r="A679" s="50"/>
      <c r="B679" s="50"/>
      <c r="C679" s="5"/>
      <c r="D679" s="48"/>
      <c r="E679" s="50"/>
      <c r="F679" s="5"/>
      <c r="G679" s="5"/>
      <c r="H679" s="5"/>
      <c r="I679" s="5"/>
      <c r="J679" s="5"/>
      <c r="K679" s="50"/>
      <c r="L679" s="50"/>
      <c r="M679" s="50"/>
      <c r="N679" s="50"/>
      <c r="O679" s="50"/>
      <c r="P679" s="50"/>
      <c r="Q679" s="50"/>
      <c r="R679" s="50"/>
      <c r="S679" s="50"/>
      <c r="T679" s="50"/>
      <c r="U679" s="50"/>
      <c r="V679" s="50"/>
      <c r="W679" s="50"/>
      <c r="X679" s="50"/>
      <c r="Y679" s="50"/>
      <c r="Z679" s="50"/>
      <c r="AA679" s="50"/>
      <c r="AB679" s="50"/>
    </row>
    <row r="680" customFormat="false" ht="15.75" hidden="false" customHeight="false" outlineLevel="0" collapsed="false">
      <c r="A680" s="50"/>
      <c r="B680" s="50"/>
      <c r="C680" s="5"/>
      <c r="D680" s="48"/>
      <c r="E680" s="50"/>
      <c r="F680" s="5"/>
      <c r="G680" s="5"/>
      <c r="H680" s="5"/>
      <c r="I680" s="5"/>
      <c r="J680" s="5"/>
      <c r="K680" s="50"/>
      <c r="L680" s="50"/>
      <c r="M680" s="50"/>
      <c r="N680" s="50"/>
      <c r="O680" s="50"/>
      <c r="P680" s="50"/>
      <c r="Q680" s="50"/>
      <c r="R680" s="50"/>
      <c r="S680" s="50"/>
      <c r="T680" s="50"/>
      <c r="U680" s="50"/>
      <c r="V680" s="50"/>
      <c r="W680" s="50"/>
      <c r="X680" s="50"/>
      <c r="Y680" s="50"/>
      <c r="Z680" s="50"/>
      <c r="AA680" s="50"/>
      <c r="AB680" s="50"/>
    </row>
    <row r="681" customFormat="false" ht="15.75" hidden="false" customHeight="false" outlineLevel="0" collapsed="false">
      <c r="A681" s="50"/>
      <c r="B681" s="50"/>
      <c r="C681" s="5"/>
      <c r="D681" s="48"/>
      <c r="E681" s="50"/>
      <c r="F681" s="5"/>
      <c r="G681" s="5"/>
      <c r="H681" s="5"/>
      <c r="I681" s="5"/>
      <c r="J681" s="5"/>
      <c r="K681" s="50"/>
      <c r="L681" s="50"/>
      <c r="M681" s="50"/>
      <c r="N681" s="50"/>
      <c r="O681" s="50"/>
      <c r="P681" s="50"/>
      <c r="Q681" s="50"/>
      <c r="R681" s="50"/>
      <c r="S681" s="50"/>
      <c r="T681" s="50"/>
      <c r="U681" s="50"/>
      <c r="V681" s="50"/>
      <c r="W681" s="50"/>
      <c r="X681" s="50"/>
      <c r="Y681" s="50"/>
      <c r="Z681" s="50"/>
      <c r="AA681" s="50"/>
      <c r="AB681" s="50"/>
    </row>
    <row r="682" customFormat="false" ht="15.75" hidden="false" customHeight="false" outlineLevel="0" collapsed="false">
      <c r="A682" s="50"/>
      <c r="B682" s="50"/>
      <c r="C682" s="5"/>
      <c r="D682" s="48"/>
      <c r="E682" s="50"/>
      <c r="F682" s="5"/>
      <c r="G682" s="5"/>
      <c r="H682" s="5"/>
      <c r="I682" s="5"/>
      <c r="J682" s="5"/>
      <c r="K682" s="50"/>
      <c r="L682" s="50"/>
      <c r="M682" s="50"/>
      <c r="N682" s="50"/>
      <c r="O682" s="50"/>
      <c r="P682" s="50"/>
      <c r="Q682" s="50"/>
      <c r="R682" s="50"/>
      <c r="S682" s="50"/>
      <c r="T682" s="50"/>
      <c r="U682" s="50"/>
      <c r="V682" s="50"/>
      <c r="W682" s="50"/>
      <c r="X682" s="50"/>
      <c r="Y682" s="50"/>
      <c r="Z682" s="50"/>
      <c r="AA682" s="50"/>
      <c r="AB682" s="50"/>
    </row>
    <row r="683" customFormat="false" ht="15.75" hidden="false" customHeight="false" outlineLevel="0" collapsed="false">
      <c r="A683" s="50"/>
      <c r="B683" s="50"/>
      <c r="C683" s="5"/>
      <c r="D683" s="48"/>
      <c r="E683" s="50"/>
      <c r="F683" s="5"/>
      <c r="G683" s="5"/>
      <c r="H683" s="5"/>
      <c r="I683" s="5"/>
      <c r="J683" s="5"/>
      <c r="K683" s="50"/>
      <c r="L683" s="50"/>
      <c r="M683" s="50"/>
      <c r="N683" s="50"/>
      <c r="O683" s="50"/>
      <c r="P683" s="50"/>
      <c r="Q683" s="50"/>
      <c r="R683" s="50"/>
      <c r="S683" s="50"/>
      <c r="T683" s="50"/>
      <c r="U683" s="50"/>
      <c r="V683" s="50"/>
      <c r="W683" s="50"/>
      <c r="X683" s="50"/>
      <c r="Y683" s="50"/>
      <c r="Z683" s="50"/>
      <c r="AA683" s="50"/>
      <c r="AB683" s="50"/>
    </row>
    <row r="684" customFormat="false" ht="15.75" hidden="false" customHeight="false" outlineLevel="0" collapsed="false">
      <c r="A684" s="50"/>
      <c r="B684" s="50"/>
      <c r="C684" s="5"/>
      <c r="D684" s="48"/>
      <c r="E684" s="50"/>
      <c r="F684" s="5"/>
      <c r="G684" s="5"/>
      <c r="H684" s="5"/>
      <c r="I684" s="5"/>
      <c r="J684" s="5"/>
      <c r="K684" s="50"/>
      <c r="L684" s="50"/>
      <c r="M684" s="50"/>
      <c r="N684" s="50"/>
      <c r="O684" s="50"/>
      <c r="P684" s="50"/>
      <c r="Q684" s="50"/>
      <c r="R684" s="50"/>
      <c r="S684" s="50"/>
      <c r="T684" s="50"/>
      <c r="U684" s="50"/>
      <c r="V684" s="50"/>
      <c r="W684" s="50"/>
      <c r="X684" s="50"/>
      <c r="Y684" s="50"/>
      <c r="Z684" s="50"/>
      <c r="AA684" s="50"/>
      <c r="AB684" s="50"/>
    </row>
    <row r="685" customFormat="false" ht="15.75" hidden="false" customHeight="false" outlineLevel="0" collapsed="false">
      <c r="A685" s="50"/>
      <c r="B685" s="50"/>
      <c r="C685" s="5"/>
      <c r="D685" s="48"/>
      <c r="E685" s="50"/>
      <c r="F685" s="5"/>
      <c r="G685" s="5"/>
      <c r="H685" s="5"/>
      <c r="I685" s="5"/>
      <c r="J685" s="5"/>
      <c r="K685" s="50"/>
      <c r="L685" s="50"/>
      <c r="M685" s="50"/>
      <c r="N685" s="50"/>
      <c r="O685" s="50"/>
      <c r="P685" s="50"/>
      <c r="Q685" s="50"/>
      <c r="R685" s="50"/>
      <c r="S685" s="50"/>
      <c r="T685" s="50"/>
      <c r="U685" s="50"/>
      <c r="V685" s="50"/>
      <c r="W685" s="50"/>
      <c r="X685" s="50"/>
      <c r="Y685" s="50"/>
      <c r="Z685" s="50"/>
      <c r="AA685" s="50"/>
      <c r="AB685" s="50"/>
    </row>
    <row r="686" customFormat="false" ht="15.75" hidden="false" customHeight="false" outlineLevel="0" collapsed="false">
      <c r="A686" s="50"/>
      <c r="B686" s="50"/>
      <c r="C686" s="5"/>
      <c r="D686" s="48"/>
      <c r="E686" s="50"/>
      <c r="F686" s="5"/>
      <c r="G686" s="5"/>
      <c r="H686" s="5"/>
      <c r="I686" s="5"/>
      <c r="J686" s="5"/>
      <c r="K686" s="50"/>
      <c r="L686" s="50"/>
      <c r="M686" s="50"/>
      <c r="N686" s="50"/>
      <c r="O686" s="50"/>
      <c r="P686" s="50"/>
      <c r="Q686" s="50"/>
      <c r="R686" s="50"/>
      <c r="S686" s="50"/>
      <c r="T686" s="50"/>
      <c r="U686" s="50"/>
      <c r="V686" s="50"/>
      <c r="W686" s="50"/>
      <c r="X686" s="50"/>
      <c r="Y686" s="50"/>
      <c r="Z686" s="50"/>
      <c r="AA686" s="50"/>
      <c r="AB686" s="50"/>
    </row>
    <row r="687" customFormat="false" ht="15.75" hidden="false" customHeight="false" outlineLevel="0" collapsed="false">
      <c r="A687" s="50"/>
      <c r="B687" s="50"/>
      <c r="C687" s="5"/>
      <c r="D687" s="48"/>
      <c r="E687" s="50"/>
      <c r="F687" s="5"/>
      <c r="G687" s="5"/>
      <c r="H687" s="5"/>
      <c r="I687" s="5"/>
      <c r="J687" s="5"/>
      <c r="K687" s="50"/>
      <c r="L687" s="50"/>
      <c r="M687" s="50"/>
      <c r="N687" s="50"/>
      <c r="O687" s="50"/>
      <c r="P687" s="50"/>
      <c r="Q687" s="50"/>
      <c r="R687" s="50"/>
      <c r="S687" s="50"/>
      <c r="T687" s="50"/>
      <c r="U687" s="50"/>
      <c r="V687" s="50"/>
      <c r="W687" s="50"/>
      <c r="X687" s="50"/>
      <c r="Y687" s="50"/>
      <c r="Z687" s="50"/>
      <c r="AA687" s="50"/>
      <c r="AB687" s="50"/>
    </row>
    <row r="688" customFormat="false" ht="15.75" hidden="false" customHeight="false" outlineLevel="0" collapsed="false">
      <c r="A688" s="50"/>
      <c r="B688" s="50"/>
      <c r="C688" s="5"/>
      <c r="D688" s="48"/>
      <c r="E688" s="50"/>
      <c r="F688" s="5"/>
      <c r="G688" s="5"/>
      <c r="H688" s="5"/>
      <c r="I688" s="5"/>
      <c r="J688" s="5"/>
      <c r="K688" s="50"/>
      <c r="L688" s="50"/>
      <c r="M688" s="50"/>
      <c r="N688" s="50"/>
      <c r="O688" s="50"/>
      <c r="P688" s="50"/>
      <c r="Q688" s="50"/>
      <c r="R688" s="50"/>
      <c r="S688" s="50"/>
      <c r="T688" s="50"/>
      <c r="U688" s="50"/>
      <c r="V688" s="50"/>
      <c r="W688" s="50"/>
      <c r="X688" s="50"/>
      <c r="Y688" s="50"/>
      <c r="Z688" s="50"/>
      <c r="AA688" s="50"/>
      <c r="AB688" s="50"/>
    </row>
    <row r="689" customFormat="false" ht="15.75" hidden="false" customHeight="false" outlineLevel="0" collapsed="false">
      <c r="A689" s="50"/>
      <c r="B689" s="50"/>
      <c r="C689" s="5"/>
      <c r="D689" s="48"/>
      <c r="E689" s="50"/>
      <c r="F689" s="5"/>
      <c r="G689" s="5"/>
      <c r="H689" s="5"/>
      <c r="I689" s="5"/>
      <c r="J689" s="5"/>
      <c r="K689" s="50"/>
      <c r="L689" s="50"/>
      <c r="M689" s="50"/>
      <c r="N689" s="50"/>
      <c r="O689" s="50"/>
      <c r="P689" s="50"/>
      <c r="Q689" s="50"/>
      <c r="R689" s="50"/>
      <c r="S689" s="50"/>
      <c r="T689" s="50"/>
      <c r="U689" s="50"/>
      <c r="V689" s="50"/>
      <c r="W689" s="50"/>
      <c r="X689" s="50"/>
      <c r="Y689" s="50"/>
      <c r="Z689" s="50"/>
      <c r="AA689" s="50"/>
      <c r="AB689" s="50"/>
    </row>
    <row r="690" customFormat="false" ht="15.75" hidden="false" customHeight="false" outlineLevel="0" collapsed="false">
      <c r="A690" s="50"/>
      <c r="B690" s="50"/>
      <c r="C690" s="5"/>
      <c r="D690" s="48"/>
      <c r="E690" s="50"/>
      <c r="F690" s="5"/>
      <c r="G690" s="5"/>
      <c r="H690" s="5"/>
      <c r="I690" s="5"/>
      <c r="J690" s="5"/>
      <c r="K690" s="50"/>
      <c r="L690" s="50"/>
      <c r="M690" s="50"/>
      <c r="N690" s="50"/>
      <c r="O690" s="50"/>
      <c r="P690" s="50"/>
      <c r="Q690" s="50"/>
      <c r="R690" s="50"/>
      <c r="S690" s="50"/>
      <c r="T690" s="50"/>
      <c r="U690" s="50"/>
      <c r="V690" s="50"/>
      <c r="W690" s="50"/>
      <c r="X690" s="50"/>
      <c r="Y690" s="50"/>
      <c r="Z690" s="50"/>
      <c r="AA690" s="50"/>
      <c r="AB690" s="50"/>
    </row>
    <row r="691" customFormat="false" ht="15.75" hidden="false" customHeight="false" outlineLevel="0" collapsed="false">
      <c r="A691" s="50"/>
      <c r="B691" s="50"/>
      <c r="C691" s="5"/>
      <c r="D691" s="48"/>
      <c r="E691" s="50"/>
      <c r="F691" s="5"/>
      <c r="G691" s="5"/>
      <c r="H691" s="5"/>
      <c r="I691" s="5"/>
      <c r="J691" s="5"/>
      <c r="K691" s="50"/>
      <c r="L691" s="50"/>
      <c r="M691" s="50"/>
      <c r="N691" s="50"/>
      <c r="O691" s="50"/>
      <c r="P691" s="50"/>
      <c r="Q691" s="50"/>
      <c r="R691" s="50"/>
      <c r="S691" s="50"/>
      <c r="T691" s="50"/>
      <c r="U691" s="50"/>
      <c r="V691" s="50"/>
      <c r="W691" s="50"/>
      <c r="X691" s="50"/>
      <c r="Y691" s="50"/>
      <c r="Z691" s="50"/>
      <c r="AA691" s="50"/>
      <c r="AB691" s="50"/>
    </row>
    <row r="692" customFormat="false" ht="15.75" hidden="false" customHeight="false" outlineLevel="0" collapsed="false">
      <c r="A692" s="50"/>
      <c r="B692" s="50"/>
      <c r="C692" s="5"/>
      <c r="D692" s="48"/>
      <c r="E692" s="50"/>
      <c r="F692" s="5"/>
      <c r="G692" s="5"/>
      <c r="H692" s="5"/>
      <c r="I692" s="5"/>
      <c r="J692" s="5"/>
      <c r="K692" s="50"/>
      <c r="L692" s="50"/>
      <c r="M692" s="50"/>
      <c r="N692" s="50"/>
      <c r="O692" s="50"/>
      <c r="P692" s="50"/>
      <c r="Q692" s="50"/>
      <c r="R692" s="50"/>
      <c r="S692" s="50"/>
      <c r="T692" s="50"/>
      <c r="U692" s="50"/>
      <c r="V692" s="50"/>
      <c r="W692" s="50"/>
      <c r="X692" s="50"/>
      <c r="Y692" s="50"/>
      <c r="Z692" s="50"/>
      <c r="AA692" s="50"/>
      <c r="AB692" s="50"/>
    </row>
    <row r="693" customFormat="false" ht="15.75" hidden="false" customHeight="false" outlineLevel="0" collapsed="false">
      <c r="A693" s="50"/>
      <c r="B693" s="50"/>
      <c r="C693" s="5"/>
      <c r="D693" s="48"/>
      <c r="E693" s="50"/>
      <c r="F693" s="5"/>
      <c r="G693" s="5"/>
      <c r="H693" s="5"/>
      <c r="I693" s="5"/>
      <c r="J693" s="5"/>
      <c r="K693" s="50"/>
      <c r="L693" s="50"/>
      <c r="M693" s="50"/>
      <c r="N693" s="50"/>
      <c r="O693" s="50"/>
      <c r="P693" s="50"/>
      <c r="Q693" s="50"/>
      <c r="R693" s="50"/>
      <c r="S693" s="50"/>
      <c r="T693" s="50"/>
      <c r="U693" s="50"/>
      <c r="V693" s="50"/>
      <c r="W693" s="50"/>
      <c r="X693" s="50"/>
      <c r="Y693" s="50"/>
      <c r="Z693" s="50"/>
      <c r="AA693" s="50"/>
      <c r="AB693" s="50"/>
    </row>
    <row r="694" customFormat="false" ht="15.75" hidden="false" customHeight="false" outlineLevel="0" collapsed="false">
      <c r="A694" s="50"/>
      <c r="B694" s="50"/>
      <c r="C694" s="5"/>
      <c r="D694" s="48"/>
      <c r="E694" s="50"/>
      <c r="F694" s="5"/>
      <c r="G694" s="5"/>
      <c r="H694" s="5"/>
      <c r="I694" s="5"/>
      <c r="J694" s="5"/>
      <c r="K694" s="50"/>
      <c r="L694" s="50"/>
      <c r="M694" s="50"/>
      <c r="N694" s="50"/>
      <c r="O694" s="50"/>
      <c r="P694" s="50"/>
      <c r="Q694" s="50"/>
      <c r="R694" s="50"/>
      <c r="S694" s="50"/>
      <c r="T694" s="50"/>
      <c r="U694" s="50"/>
      <c r="V694" s="50"/>
      <c r="W694" s="50"/>
      <c r="X694" s="50"/>
      <c r="Y694" s="50"/>
      <c r="Z694" s="50"/>
      <c r="AA694" s="50"/>
      <c r="AB694" s="50"/>
    </row>
    <row r="695" customFormat="false" ht="15.75" hidden="false" customHeight="false" outlineLevel="0" collapsed="false">
      <c r="A695" s="50"/>
      <c r="B695" s="50"/>
      <c r="C695" s="5"/>
      <c r="D695" s="48"/>
      <c r="E695" s="50"/>
      <c r="F695" s="5"/>
      <c r="G695" s="5"/>
      <c r="H695" s="5"/>
      <c r="I695" s="5"/>
      <c r="J695" s="5"/>
      <c r="K695" s="50"/>
      <c r="L695" s="50"/>
      <c r="M695" s="50"/>
      <c r="N695" s="50"/>
      <c r="O695" s="50"/>
      <c r="P695" s="50"/>
      <c r="Q695" s="50"/>
      <c r="R695" s="50"/>
      <c r="S695" s="50"/>
      <c r="T695" s="50"/>
      <c r="U695" s="50"/>
      <c r="V695" s="50"/>
      <c r="W695" s="50"/>
      <c r="X695" s="50"/>
      <c r="Y695" s="50"/>
      <c r="Z695" s="50"/>
      <c r="AA695" s="50"/>
      <c r="AB695" s="50"/>
    </row>
    <row r="696" customFormat="false" ht="15.75" hidden="false" customHeight="false" outlineLevel="0" collapsed="false">
      <c r="A696" s="50"/>
      <c r="B696" s="50"/>
      <c r="C696" s="5"/>
      <c r="D696" s="48"/>
      <c r="E696" s="50"/>
      <c r="F696" s="5"/>
      <c r="G696" s="5"/>
      <c r="H696" s="5"/>
      <c r="I696" s="5"/>
      <c r="J696" s="5"/>
      <c r="K696" s="50"/>
      <c r="L696" s="50"/>
      <c r="M696" s="50"/>
      <c r="N696" s="50"/>
      <c r="O696" s="50"/>
      <c r="P696" s="50"/>
      <c r="Q696" s="50"/>
      <c r="R696" s="50"/>
      <c r="S696" s="50"/>
      <c r="T696" s="50"/>
      <c r="U696" s="50"/>
      <c r="V696" s="50"/>
      <c r="W696" s="50"/>
      <c r="X696" s="50"/>
      <c r="Y696" s="50"/>
      <c r="Z696" s="50"/>
      <c r="AA696" s="50"/>
      <c r="AB696" s="50"/>
    </row>
    <row r="697" customFormat="false" ht="15.75" hidden="false" customHeight="false" outlineLevel="0" collapsed="false">
      <c r="A697" s="50"/>
      <c r="B697" s="50"/>
      <c r="C697" s="5"/>
      <c r="D697" s="48"/>
      <c r="E697" s="50"/>
      <c r="F697" s="5"/>
      <c r="G697" s="5"/>
      <c r="H697" s="5"/>
      <c r="I697" s="5"/>
      <c r="J697" s="5"/>
      <c r="K697" s="50"/>
      <c r="L697" s="50"/>
      <c r="M697" s="50"/>
      <c r="N697" s="50"/>
      <c r="O697" s="50"/>
      <c r="P697" s="50"/>
      <c r="Q697" s="50"/>
      <c r="R697" s="50"/>
      <c r="S697" s="50"/>
      <c r="T697" s="50"/>
      <c r="U697" s="50"/>
      <c r="V697" s="50"/>
      <c r="W697" s="50"/>
      <c r="X697" s="50"/>
      <c r="Y697" s="50"/>
      <c r="Z697" s="50"/>
      <c r="AA697" s="50"/>
      <c r="AB697" s="50"/>
    </row>
    <row r="698" customFormat="false" ht="15.75" hidden="false" customHeight="false" outlineLevel="0" collapsed="false">
      <c r="A698" s="50"/>
      <c r="B698" s="50"/>
      <c r="C698" s="5"/>
      <c r="D698" s="48"/>
      <c r="E698" s="50"/>
      <c r="F698" s="5"/>
      <c r="G698" s="5"/>
      <c r="H698" s="5"/>
      <c r="I698" s="5"/>
      <c r="J698" s="5"/>
      <c r="K698" s="50"/>
      <c r="L698" s="50"/>
      <c r="M698" s="50"/>
      <c r="N698" s="50"/>
      <c r="O698" s="50"/>
      <c r="P698" s="50"/>
      <c r="Q698" s="50"/>
      <c r="R698" s="50"/>
      <c r="S698" s="50"/>
      <c r="T698" s="50"/>
      <c r="U698" s="50"/>
      <c r="V698" s="50"/>
      <c r="W698" s="50"/>
      <c r="X698" s="50"/>
      <c r="Y698" s="50"/>
      <c r="Z698" s="50"/>
      <c r="AA698" s="50"/>
      <c r="AB698" s="50"/>
    </row>
    <row r="699" customFormat="false" ht="15.75" hidden="false" customHeight="false" outlineLevel="0" collapsed="false">
      <c r="A699" s="50"/>
      <c r="B699" s="50"/>
      <c r="C699" s="5"/>
      <c r="D699" s="48"/>
      <c r="E699" s="50"/>
      <c r="F699" s="5"/>
      <c r="G699" s="5"/>
      <c r="H699" s="5"/>
      <c r="I699" s="5"/>
      <c r="J699" s="5"/>
      <c r="K699" s="50"/>
      <c r="L699" s="50"/>
      <c r="M699" s="50"/>
      <c r="N699" s="50"/>
      <c r="O699" s="50"/>
      <c r="P699" s="50"/>
      <c r="Q699" s="50"/>
      <c r="R699" s="50"/>
      <c r="S699" s="50"/>
      <c r="T699" s="50"/>
      <c r="U699" s="50"/>
      <c r="V699" s="50"/>
      <c r="W699" s="50"/>
      <c r="X699" s="50"/>
      <c r="Y699" s="50"/>
      <c r="Z699" s="50"/>
      <c r="AA699" s="50"/>
      <c r="AB699" s="50"/>
    </row>
    <row r="700" customFormat="false" ht="15.75" hidden="false" customHeight="false" outlineLevel="0" collapsed="false">
      <c r="A700" s="50"/>
      <c r="B700" s="50"/>
      <c r="C700" s="5"/>
      <c r="D700" s="48"/>
      <c r="E700" s="50"/>
      <c r="F700" s="5"/>
      <c r="G700" s="5"/>
      <c r="H700" s="5"/>
      <c r="I700" s="5"/>
      <c r="J700" s="5"/>
      <c r="K700" s="50"/>
      <c r="L700" s="50"/>
      <c r="M700" s="50"/>
      <c r="N700" s="50"/>
      <c r="O700" s="50"/>
      <c r="P700" s="50"/>
      <c r="Q700" s="50"/>
      <c r="R700" s="50"/>
      <c r="S700" s="50"/>
      <c r="T700" s="50"/>
      <c r="U700" s="50"/>
      <c r="V700" s="50"/>
      <c r="W700" s="50"/>
      <c r="X700" s="50"/>
      <c r="Y700" s="50"/>
      <c r="Z700" s="50"/>
      <c r="AA700" s="50"/>
      <c r="AB700" s="50"/>
    </row>
    <row r="701" customFormat="false" ht="15.75" hidden="false" customHeight="false" outlineLevel="0" collapsed="false">
      <c r="A701" s="50"/>
      <c r="B701" s="50"/>
      <c r="C701" s="5"/>
      <c r="D701" s="48"/>
      <c r="E701" s="50"/>
      <c r="F701" s="5"/>
      <c r="G701" s="5"/>
      <c r="H701" s="5"/>
      <c r="I701" s="5"/>
      <c r="J701" s="5"/>
      <c r="K701" s="50"/>
      <c r="L701" s="50"/>
      <c r="M701" s="50"/>
      <c r="N701" s="50"/>
      <c r="O701" s="50"/>
      <c r="P701" s="50"/>
      <c r="Q701" s="50"/>
      <c r="R701" s="50"/>
      <c r="S701" s="50"/>
      <c r="T701" s="50"/>
      <c r="U701" s="50"/>
      <c r="V701" s="50"/>
      <c r="W701" s="50"/>
      <c r="X701" s="50"/>
      <c r="Y701" s="50"/>
      <c r="Z701" s="50"/>
      <c r="AA701" s="50"/>
      <c r="AB701" s="50"/>
    </row>
    <row r="702" customFormat="false" ht="15.75" hidden="false" customHeight="false" outlineLevel="0" collapsed="false">
      <c r="A702" s="50"/>
      <c r="B702" s="50"/>
      <c r="C702" s="5"/>
      <c r="D702" s="48"/>
      <c r="E702" s="50"/>
      <c r="F702" s="5"/>
      <c r="G702" s="5"/>
      <c r="H702" s="5"/>
      <c r="I702" s="5"/>
      <c r="J702" s="5"/>
      <c r="K702" s="50"/>
      <c r="L702" s="50"/>
      <c r="M702" s="50"/>
      <c r="N702" s="50"/>
      <c r="O702" s="50"/>
      <c r="P702" s="50"/>
      <c r="Q702" s="50"/>
      <c r="R702" s="50"/>
      <c r="S702" s="50"/>
      <c r="T702" s="50"/>
      <c r="U702" s="50"/>
      <c r="V702" s="50"/>
      <c r="W702" s="50"/>
      <c r="X702" s="50"/>
      <c r="Y702" s="50"/>
      <c r="Z702" s="50"/>
      <c r="AA702" s="50"/>
      <c r="AB702" s="50"/>
    </row>
    <row r="703" customFormat="false" ht="15.75" hidden="false" customHeight="false" outlineLevel="0" collapsed="false">
      <c r="A703" s="50"/>
      <c r="B703" s="50"/>
      <c r="C703" s="5"/>
      <c r="D703" s="48"/>
      <c r="E703" s="50"/>
      <c r="F703" s="5"/>
      <c r="G703" s="5"/>
      <c r="H703" s="5"/>
      <c r="I703" s="5"/>
      <c r="J703" s="5"/>
      <c r="K703" s="50"/>
      <c r="L703" s="50"/>
      <c r="M703" s="50"/>
      <c r="N703" s="50"/>
      <c r="O703" s="50"/>
      <c r="P703" s="50"/>
      <c r="Q703" s="50"/>
      <c r="R703" s="50"/>
      <c r="S703" s="50"/>
      <c r="T703" s="50"/>
      <c r="U703" s="50"/>
      <c r="V703" s="50"/>
      <c r="W703" s="50"/>
      <c r="X703" s="50"/>
      <c r="Y703" s="50"/>
      <c r="Z703" s="50"/>
      <c r="AA703" s="50"/>
      <c r="AB703" s="50"/>
    </row>
    <row r="704" customFormat="false" ht="15.75" hidden="false" customHeight="false" outlineLevel="0" collapsed="false">
      <c r="A704" s="50"/>
      <c r="B704" s="50"/>
      <c r="C704" s="5"/>
      <c r="D704" s="48"/>
      <c r="E704" s="50"/>
      <c r="F704" s="5"/>
      <c r="G704" s="5"/>
      <c r="H704" s="5"/>
      <c r="I704" s="5"/>
      <c r="J704" s="5"/>
      <c r="K704" s="50"/>
      <c r="L704" s="50"/>
      <c r="M704" s="50"/>
      <c r="N704" s="50"/>
      <c r="O704" s="50"/>
      <c r="P704" s="50"/>
      <c r="Q704" s="50"/>
      <c r="R704" s="50"/>
      <c r="S704" s="50"/>
      <c r="T704" s="50"/>
      <c r="U704" s="50"/>
      <c r="V704" s="50"/>
      <c r="W704" s="50"/>
      <c r="X704" s="50"/>
      <c r="Y704" s="50"/>
      <c r="Z704" s="50"/>
      <c r="AA704" s="50"/>
      <c r="AB704" s="50"/>
    </row>
    <row r="705" customFormat="false" ht="15.75" hidden="false" customHeight="false" outlineLevel="0" collapsed="false">
      <c r="A705" s="50"/>
      <c r="B705" s="50"/>
      <c r="C705" s="5"/>
      <c r="D705" s="48"/>
      <c r="E705" s="50"/>
      <c r="F705" s="5"/>
      <c r="G705" s="5"/>
      <c r="H705" s="5"/>
      <c r="I705" s="5"/>
      <c r="J705" s="5"/>
      <c r="K705" s="50"/>
      <c r="L705" s="50"/>
      <c r="M705" s="50"/>
      <c r="N705" s="50"/>
      <c r="O705" s="50"/>
      <c r="P705" s="50"/>
      <c r="Q705" s="50"/>
      <c r="R705" s="50"/>
      <c r="S705" s="50"/>
      <c r="T705" s="50"/>
      <c r="U705" s="50"/>
      <c r="V705" s="50"/>
      <c r="W705" s="50"/>
      <c r="X705" s="50"/>
      <c r="Y705" s="50"/>
      <c r="Z705" s="50"/>
      <c r="AA705" s="50"/>
      <c r="AB705" s="50"/>
    </row>
    <row r="706" customFormat="false" ht="15.75" hidden="false" customHeight="false" outlineLevel="0" collapsed="false">
      <c r="A706" s="50"/>
      <c r="B706" s="50"/>
      <c r="C706" s="5"/>
      <c r="D706" s="48"/>
      <c r="E706" s="50"/>
      <c r="F706" s="5"/>
      <c r="G706" s="5"/>
      <c r="H706" s="5"/>
      <c r="I706" s="5"/>
      <c r="J706" s="5"/>
      <c r="K706" s="50"/>
      <c r="L706" s="50"/>
      <c r="M706" s="50"/>
      <c r="N706" s="50"/>
      <c r="O706" s="50"/>
      <c r="P706" s="50"/>
      <c r="Q706" s="50"/>
      <c r="R706" s="50"/>
      <c r="S706" s="50"/>
      <c r="T706" s="50"/>
      <c r="U706" s="50"/>
      <c r="V706" s="50"/>
      <c r="W706" s="50"/>
      <c r="X706" s="50"/>
      <c r="Y706" s="50"/>
      <c r="Z706" s="50"/>
      <c r="AA706" s="50"/>
      <c r="AB706" s="50"/>
    </row>
    <row r="707" customFormat="false" ht="15.75" hidden="false" customHeight="false" outlineLevel="0" collapsed="false">
      <c r="A707" s="50"/>
      <c r="B707" s="50"/>
      <c r="C707" s="5"/>
      <c r="D707" s="48"/>
      <c r="E707" s="50"/>
      <c r="F707" s="5"/>
      <c r="G707" s="5"/>
      <c r="H707" s="5"/>
      <c r="I707" s="5"/>
      <c r="J707" s="5"/>
      <c r="K707" s="50"/>
      <c r="L707" s="50"/>
      <c r="M707" s="50"/>
      <c r="N707" s="50"/>
      <c r="O707" s="50"/>
      <c r="P707" s="50"/>
      <c r="Q707" s="50"/>
      <c r="R707" s="50"/>
      <c r="S707" s="50"/>
      <c r="T707" s="50"/>
      <c r="U707" s="50"/>
      <c r="V707" s="50"/>
      <c r="W707" s="50"/>
      <c r="X707" s="50"/>
      <c r="Y707" s="50"/>
      <c r="Z707" s="50"/>
      <c r="AA707" s="50"/>
      <c r="AB707" s="50"/>
    </row>
    <row r="708" customFormat="false" ht="15.75" hidden="false" customHeight="false" outlineLevel="0" collapsed="false">
      <c r="A708" s="50"/>
      <c r="B708" s="50"/>
      <c r="C708" s="5"/>
      <c r="D708" s="48"/>
      <c r="E708" s="50"/>
      <c r="F708" s="5"/>
      <c r="G708" s="5"/>
      <c r="H708" s="5"/>
      <c r="I708" s="5"/>
      <c r="J708" s="5"/>
      <c r="K708" s="50"/>
      <c r="L708" s="50"/>
      <c r="M708" s="50"/>
      <c r="N708" s="50"/>
      <c r="O708" s="50"/>
      <c r="P708" s="50"/>
      <c r="Q708" s="50"/>
      <c r="R708" s="50"/>
      <c r="S708" s="50"/>
      <c r="T708" s="50"/>
      <c r="U708" s="50"/>
      <c r="V708" s="50"/>
      <c r="W708" s="50"/>
      <c r="X708" s="50"/>
      <c r="Y708" s="50"/>
      <c r="Z708" s="50"/>
      <c r="AA708" s="50"/>
      <c r="AB708" s="50"/>
    </row>
    <row r="709" customFormat="false" ht="15.75" hidden="false" customHeight="false" outlineLevel="0" collapsed="false">
      <c r="A709" s="50"/>
      <c r="B709" s="50"/>
      <c r="C709" s="5"/>
      <c r="D709" s="48"/>
      <c r="E709" s="50"/>
      <c r="F709" s="5"/>
      <c r="G709" s="5"/>
      <c r="H709" s="5"/>
      <c r="I709" s="5"/>
      <c r="J709" s="5"/>
      <c r="K709" s="50"/>
      <c r="L709" s="50"/>
      <c r="M709" s="50"/>
      <c r="N709" s="50"/>
      <c r="O709" s="50"/>
      <c r="P709" s="50"/>
      <c r="Q709" s="50"/>
      <c r="R709" s="50"/>
      <c r="S709" s="50"/>
      <c r="T709" s="50"/>
      <c r="U709" s="50"/>
      <c r="V709" s="50"/>
      <c r="W709" s="50"/>
      <c r="X709" s="50"/>
      <c r="Y709" s="50"/>
      <c r="Z709" s="50"/>
      <c r="AA709" s="50"/>
      <c r="AB709" s="50"/>
    </row>
    <row r="710" customFormat="false" ht="15.75" hidden="false" customHeight="false" outlineLevel="0" collapsed="false">
      <c r="A710" s="50"/>
      <c r="B710" s="50"/>
      <c r="C710" s="5"/>
      <c r="D710" s="48"/>
      <c r="E710" s="50"/>
      <c r="F710" s="5"/>
      <c r="G710" s="5"/>
      <c r="H710" s="5"/>
      <c r="I710" s="5"/>
      <c r="J710" s="5"/>
      <c r="K710" s="50"/>
      <c r="L710" s="50"/>
      <c r="M710" s="50"/>
      <c r="N710" s="50"/>
      <c r="O710" s="50"/>
      <c r="P710" s="50"/>
      <c r="Q710" s="50"/>
      <c r="R710" s="50"/>
      <c r="S710" s="50"/>
      <c r="T710" s="50"/>
      <c r="U710" s="50"/>
      <c r="V710" s="50"/>
      <c r="W710" s="50"/>
      <c r="X710" s="50"/>
      <c r="Y710" s="50"/>
      <c r="Z710" s="50"/>
      <c r="AA710" s="50"/>
      <c r="AB710" s="50"/>
    </row>
    <row r="711" customFormat="false" ht="15.75" hidden="false" customHeight="false" outlineLevel="0" collapsed="false">
      <c r="A711" s="50"/>
      <c r="B711" s="50"/>
      <c r="C711" s="5"/>
      <c r="D711" s="48"/>
      <c r="E711" s="50"/>
      <c r="F711" s="5"/>
      <c r="G711" s="5"/>
      <c r="H711" s="5"/>
      <c r="I711" s="5"/>
      <c r="J711" s="5"/>
      <c r="K711" s="50"/>
      <c r="L711" s="50"/>
      <c r="M711" s="50"/>
      <c r="N711" s="50"/>
      <c r="O711" s="50"/>
      <c r="P711" s="50"/>
      <c r="Q711" s="50"/>
      <c r="R711" s="50"/>
      <c r="S711" s="50"/>
      <c r="T711" s="50"/>
      <c r="U711" s="50"/>
      <c r="V711" s="50"/>
      <c r="W711" s="50"/>
      <c r="X711" s="50"/>
      <c r="Y711" s="50"/>
      <c r="Z711" s="50"/>
      <c r="AA711" s="50"/>
      <c r="AB711" s="50"/>
    </row>
    <row r="712" customFormat="false" ht="15.75" hidden="false" customHeight="false" outlineLevel="0" collapsed="false">
      <c r="A712" s="50"/>
      <c r="B712" s="50"/>
      <c r="C712" s="5"/>
      <c r="D712" s="48"/>
      <c r="E712" s="50"/>
      <c r="F712" s="5"/>
      <c r="G712" s="5"/>
      <c r="H712" s="5"/>
      <c r="I712" s="5"/>
      <c r="J712" s="5"/>
      <c r="K712" s="50"/>
      <c r="L712" s="50"/>
      <c r="M712" s="50"/>
      <c r="N712" s="50"/>
      <c r="O712" s="50"/>
      <c r="P712" s="50"/>
      <c r="Q712" s="50"/>
      <c r="R712" s="50"/>
      <c r="S712" s="50"/>
      <c r="T712" s="50"/>
      <c r="U712" s="50"/>
      <c r="V712" s="50"/>
      <c r="W712" s="50"/>
      <c r="X712" s="50"/>
      <c r="Y712" s="50"/>
      <c r="Z712" s="50"/>
      <c r="AA712" s="50"/>
      <c r="AB712" s="50"/>
    </row>
    <row r="713" customFormat="false" ht="15.75" hidden="false" customHeight="false" outlineLevel="0" collapsed="false">
      <c r="A713" s="50"/>
      <c r="B713" s="50"/>
      <c r="C713" s="5"/>
      <c r="D713" s="48"/>
      <c r="E713" s="50"/>
      <c r="F713" s="5"/>
      <c r="G713" s="5"/>
      <c r="H713" s="5"/>
      <c r="I713" s="5"/>
      <c r="J713" s="5"/>
      <c r="K713" s="50"/>
      <c r="L713" s="50"/>
      <c r="M713" s="50"/>
      <c r="N713" s="50"/>
      <c r="O713" s="50"/>
      <c r="P713" s="50"/>
      <c r="Q713" s="50"/>
      <c r="R713" s="50"/>
      <c r="S713" s="50"/>
      <c r="T713" s="50"/>
      <c r="U713" s="50"/>
      <c r="V713" s="50"/>
      <c r="W713" s="50"/>
      <c r="X713" s="50"/>
      <c r="Y713" s="50"/>
      <c r="Z713" s="50"/>
      <c r="AA713" s="50"/>
      <c r="AB713" s="50"/>
    </row>
    <row r="714" customFormat="false" ht="15.75" hidden="false" customHeight="false" outlineLevel="0" collapsed="false">
      <c r="A714" s="50"/>
      <c r="B714" s="50"/>
      <c r="C714" s="5"/>
      <c r="D714" s="48"/>
      <c r="E714" s="50"/>
      <c r="F714" s="5"/>
      <c r="G714" s="5"/>
      <c r="H714" s="5"/>
      <c r="I714" s="5"/>
      <c r="J714" s="5"/>
      <c r="K714" s="50"/>
      <c r="L714" s="50"/>
      <c r="M714" s="50"/>
      <c r="N714" s="50"/>
      <c r="O714" s="50"/>
      <c r="P714" s="50"/>
      <c r="Q714" s="50"/>
      <c r="R714" s="50"/>
      <c r="S714" s="50"/>
      <c r="T714" s="50"/>
      <c r="U714" s="50"/>
      <c r="V714" s="50"/>
      <c r="W714" s="50"/>
      <c r="X714" s="50"/>
      <c r="Y714" s="50"/>
      <c r="Z714" s="50"/>
      <c r="AA714" s="50"/>
      <c r="AB714" s="50"/>
    </row>
    <row r="715" customFormat="false" ht="15.75" hidden="false" customHeight="false" outlineLevel="0" collapsed="false">
      <c r="A715" s="50"/>
      <c r="B715" s="50"/>
      <c r="C715" s="5"/>
      <c r="D715" s="48"/>
      <c r="E715" s="50"/>
      <c r="F715" s="5"/>
      <c r="G715" s="5"/>
      <c r="H715" s="5"/>
      <c r="I715" s="5"/>
      <c r="J715" s="5"/>
      <c r="K715" s="50"/>
      <c r="L715" s="50"/>
      <c r="M715" s="50"/>
      <c r="N715" s="50"/>
      <c r="O715" s="50"/>
      <c r="P715" s="50"/>
      <c r="Q715" s="50"/>
      <c r="R715" s="50"/>
      <c r="S715" s="50"/>
      <c r="T715" s="50"/>
      <c r="U715" s="50"/>
      <c r="V715" s="50"/>
      <c r="W715" s="50"/>
      <c r="X715" s="50"/>
      <c r="Y715" s="50"/>
      <c r="Z715" s="50"/>
      <c r="AA715" s="50"/>
      <c r="AB715" s="50"/>
    </row>
    <row r="716" customFormat="false" ht="15.75" hidden="false" customHeight="false" outlineLevel="0" collapsed="false">
      <c r="A716" s="50"/>
      <c r="B716" s="50"/>
      <c r="C716" s="5"/>
      <c r="D716" s="48"/>
      <c r="E716" s="50"/>
      <c r="F716" s="5"/>
      <c r="G716" s="5"/>
      <c r="H716" s="5"/>
      <c r="I716" s="5"/>
      <c r="J716" s="5"/>
      <c r="K716" s="50"/>
      <c r="L716" s="50"/>
      <c r="M716" s="50"/>
      <c r="N716" s="50"/>
      <c r="O716" s="50"/>
      <c r="P716" s="50"/>
      <c r="Q716" s="50"/>
      <c r="R716" s="50"/>
      <c r="S716" s="50"/>
      <c r="T716" s="50"/>
      <c r="U716" s="50"/>
      <c r="V716" s="50"/>
      <c r="W716" s="50"/>
      <c r="X716" s="50"/>
      <c r="Y716" s="50"/>
      <c r="Z716" s="50"/>
      <c r="AA716" s="50"/>
      <c r="AB716" s="50"/>
    </row>
    <row r="717" customFormat="false" ht="15.75" hidden="false" customHeight="false" outlineLevel="0" collapsed="false">
      <c r="A717" s="50"/>
      <c r="B717" s="50"/>
      <c r="C717" s="5"/>
      <c r="D717" s="48"/>
      <c r="E717" s="50"/>
      <c r="F717" s="5"/>
      <c r="G717" s="5"/>
      <c r="H717" s="5"/>
      <c r="I717" s="5"/>
      <c r="J717" s="5"/>
      <c r="K717" s="50"/>
      <c r="L717" s="50"/>
      <c r="M717" s="50"/>
      <c r="N717" s="50"/>
      <c r="O717" s="50"/>
      <c r="P717" s="50"/>
      <c r="Q717" s="50"/>
      <c r="R717" s="50"/>
      <c r="S717" s="50"/>
      <c r="T717" s="50"/>
      <c r="U717" s="50"/>
      <c r="V717" s="50"/>
      <c r="W717" s="50"/>
      <c r="X717" s="50"/>
      <c r="Y717" s="50"/>
      <c r="Z717" s="50"/>
      <c r="AA717" s="50"/>
      <c r="AB717" s="50"/>
    </row>
    <row r="718" customFormat="false" ht="15.75" hidden="false" customHeight="false" outlineLevel="0" collapsed="false">
      <c r="A718" s="50"/>
      <c r="B718" s="50"/>
      <c r="C718" s="5"/>
      <c r="D718" s="48"/>
      <c r="E718" s="50"/>
      <c r="F718" s="5"/>
      <c r="G718" s="5"/>
      <c r="H718" s="5"/>
      <c r="I718" s="5"/>
      <c r="J718" s="5"/>
      <c r="K718" s="50"/>
      <c r="L718" s="50"/>
      <c r="M718" s="50"/>
      <c r="N718" s="50"/>
      <c r="O718" s="50"/>
      <c r="P718" s="50"/>
      <c r="Q718" s="50"/>
      <c r="R718" s="50"/>
      <c r="S718" s="50"/>
      <c r="T718" s="50"/>
      <c r="U718" s="50"/>
      <c r="V718" s="50"/>
      <c r="W718" s="50"/>
      <c r="X718" s="50"/>
      <c r="Y718" s="50"/>
      <c r="Z718" s="50"/>
      <c r="AA718" s="50"/>
      <c r="AB718" s="50"/>
    </row>
    <row r="719" customFormat="false" ht="15.75" hidden="false" customHeight="false" outlineLevel="0" collapsed="false">
      <c r="A719" s="50"/>
      <c r="B719" s="50"/>
      <c r="C719" s="5"/>
      <c r="D719" s="48"/>
      <c r="E719" s="50"/>
      <c r="F719" s="5"/>
      <c r="G719" s="5"/>
      <c r="H719" s="5"/>
      <c r="I719" s="5"/>
      <c r="J719" s="5"/>
      <c r="K719" s="50"/>
      <c r="L719" s="50"/>
      <c r="M719" s="50"/>
      <c r="N719" s="50"/>
      <c r="O719" s="50"/>
      <c r="P719" s="50"/>
      <c r="Q719" s="50"/>
      <c r="R719" s="50"/>
      <c r="S719" s="50"/>
      <c r="T719" s="50"/>
      <c r="U719" s="50"/>
      <c r="V719" s="50"/>
      <c r="W719" s="50"/>
      <c r="X719" s="50"/>
      <c r="Y719" s="50"/>
      <c r="Z719" s="50"/>
      <c r="AA719" s="50"/>
      <c r="AB719" s="50"/>
    </row>
    <row r="720" customFormat="false" ht="15.75" hidden="false" customHeight="false" outlineLevel="0" collapsed="false">
      <c r="A720" s="50"/>
      <c r="B720" s="50"/>
      <c r="C720" s="5"/>
      <c r="D720" s="48"/>
      <c r="E720" s="50"/>
      <c r="F720" s="5"/>
      <c r="G720" s="5"/>
      <c r="H720" s="5"/>
      <c r="I720" s="5"/>
      <c r="J720" s="5"/>
      <c r="K720" s="50"/>
      <c r="L720" s="50"/>
      <c r="M720" s="50"/>
      <c r="N720" s="50"/>
      <c r="O720" s="50"/>
      <c r="P720" s="50"/>
      <c r="Q720" s="50"/>
      <c r="R720" s="50"/>
      <c r="S720" s="50"/>
      <c r="T720" s="50"/>
      <c r="U720" s="50"/>
      <c r="V720" s="50"/>
      <c r="W720" s="50"/>
      <c r="X720" s="50"/>
      <c r="Y720" s="50"/>
      <c r="Z720" s="50"/>
      <c r="AA720" s="50"/>
      <c r="AB720" s="50"/>
    </row>
    <row r="721" customFormat="false" ht="15.75" hidden="false" customHeight="false" outlineLevel="0" collapsed="false">
      <c r="A721" s="50"/>
      <c r="B721" s="50"/>
      <c r="C721" s="5"/>
      <c r="D721" s="48"/>
      <c r="E721" s="50"/>
      <c r="F721" s="5"/>
      <c r="G721" s="5"/>
      <c r="H721" s="5"/>
      <c r="I721" s="5"/>
      <c r="J721" s="5"/>
      <c r="K721" s="50"/>
      <c r="L721" s="50"/>
      <c r="M721" s="50"/>
      <c r="N721" s="50"/>
      <c r="O721" s="50"/>
      <c r="P721" s="50"/>
      <c r="Q721" s="50"/>
      <c r="R721" s="50"/>
      <c r="S721" s="50"/>
      <c r="T721" s="50"/>
      <c r="U721" s="50"/>
      <c r="V721" s="50"/>
      <c r="W721" s="50"/>
      <c r="X721" s="50"/>
      <c r="Y721" s="50"/>
      <c r="Z721" s="50"/>
      <c r="AA721" s="50"/>
      <c r="AB721" s="50"/>
    </row>
    <row r="722" customFormat="false" ht="15.75" hidden="false" customHeight="false" outlineLevel="0" collapsed="false">
      <c r="A722" s="50"/>
      <c r="B722" s="50"/>
      <c r="C722" s="5"/>
      <c r="D722" s="48"/>
      <c r="E722" s="50"/>
      <c r="F722" s="5"/>
      <c r="G722" s="5"/>
      <c r="H722" s="5"/>
      <c r="I722" s="5"/>
      <c r="J722" s="5"/>
      <c r="K722" s="50"/>
      <c r="L722" s="50"/>
      <c r="M722" s="50"/>
      <c r="N722" s="50"/>
      <c r="O722" s="50"/>
      <c r="P722" s="50"/>
      <c r="Q722" s="50"/>
      <c r="R722" s="50"/>
      <c r="S722" s="50"/>
      <c r="T722" s="50"/>
      <c r="U722" s="50"/>
      <c r="V722" s="50"/>
      <c r="W722" s="50"/>
      <c r="X722" s="50"/>
      <c r="Y722" s="50"/>
      <c r="Z722" s="50"/>
      <c r="AA722" s="50"/>
      <c r="AB722" s="50"/>
    </row>
    <row r="723" customFormat="false" ht="15.75" hidden="false" customHeight="false" outlineLevel="0" collapsed="false">
      <c r="A723" s="50"/>
      <c r="B723" s="50"/>
      <c r="C723" s="5"/>
      <c r="D723" s="48"/>
      <c r="E723" s="50"/>
      <c r="F723" s="5"/>
      <c r="G723" s="5"/>
      <c r="H723" s="5"/>
      <c r="I723" s="5"/>
      <c r="J723" s="5"/>
      <c r="K723" s="50"/>
      <c r="L723" s="50"/>
      <c r="M723" s="50"/>
      <c r="N723" s="50"/>
      <c r="O723" s="50"/>
      <c r="P723" s="50"/>
      <c r="Q723" s="50"/>
      <c r="R723" s="50"/>
      <c r="S723" s="50"/>
      <c r="T723" s="50"/>
      <c r="U723" s="50"/>
      <c r="V723" s="50"/>
      <c r="W723" s="50"/>
      <c r="X723" s="50"/>
      <c r="Y723" s="50"/>
      <c r="Z723" s="50"/>
      <c r="AA723" s="50"/>
      <c r="AB723" s="50"/>
    </row>
    <row r="724" customFormat="false" ht="15.75" hidden="false" customHeight="false" outlineLevel="0" collapsed="false">
      <c r="A724" s="50"/>
      <c r="B724" s="50"/>
      <c r="C724" s="5"/>
      <c r="D724" s="48"/>
      <c r="E724" s="50"/>
      <c r="F724" s="5"/>
      <c r="G724" s="5"/>
      <c r="H724" s="5"/>
      <c r="I724" s="5"/>
      <c r="J724" s="5"/>
      <c r="K724" s="50"/>
      <c r="L724" s="50"/>
      <c r="M724" s="50"/>
      <c r="N724" s="50"/>
      <c r="O724" s="50"/>
      <c r="P724" s="50"/>
      <c r="Q724" s="50"/>
      <c r="R724" s="50"/>
      <c r="S724" s="50"/>
      <c r="T724" s="50"/>
      <c r="U724" s="50"/>
      <c r="V724" s="50"/>
      <c r="W724" s="50"/>
      <c r="X724" s="50"/>
      <c r="Y724" s="50"/>
      <c r="Z724" s="50"/>
      <c r="AA724" s="50"/>
      <c r="AB724" s="50"/>
    </row>
    <row r="725" customFormat="false" ht="15.75" hidden="false" customHeight="false" outlineLevel="0" collapsed="false">
      <c r="A725" s="50"/>
      <c r="B725" s="50"/>
      <c r="C725" s="5"/>
      <c r="D725" s="48"/>
      <c r="E725" s="50"/>
      <c r="F725" s="5"/>
      <c r="G725" s="5"/>
      <c r="H725" s="5"/>
      <c r="I725" s="5"/>
      <c r="J725" s="5"/>
      <c r="K725" s="50"/>
      <c r="L725" s="50"/>
      <c r="M725" s="50"/>
      <c r="N725" s="50"/>
      <c r="O725" s="50"/>
      <c r="P725" s="50"/>
      <c r="Q725" s="50"/>
      <c r="R725" s="50"/>
      <c r="S725" s="50"/>
      <c r="T725" s="50"/>
      <c r="U725" s="50"/>
      <c r="V725" s="50"/>
      <c r="W725" s="50"/>
      <c r="X725" s="50"/>
      <c r="Y725" s="50"/>
      <c r="Z725" s="50"/>
      <c r="AA725" s="50"/>
      <c r="AB725" s="50"/>
    </row>
    <row r="726" customFormat="false" ht="15.75" hidden="false" customHeight="false" outlineLevel="0" collapsed="false">
      <c r="A726" s="50"/>
      <c r="B726" s="50"/>
      <c r="C726" s="5"/>
      <c r="D726" s="48"/>
      <c r="E726" s="50"/>
      <c r="F726" s="5"/>
      <c r="G726" s="5"/>
      <c r="H726" s="5"/>
      <c r="I726" s="5"/>
      <c r="J726" s="5"/>
      <c r="K726" s="50"/>
      <c r="L726" s="50"/>
      <c r="M726" s="50"/>
      <c r="N726" s="50"/>
      <c r="O726" s="50"/>
      <c r="P726" s="50"/>
      <c r="Q726" s="50"/>
      <c r="R726" s="50"/>
      <c r="S726" s="50"/>
      <c r="T726" s="50"/>
      <c r="U726" s="50"/>
      <c r="V726" s="50"/>
      <c r="W726" s="50"/>
      <c r="X726" s="50"/>
      <c r="Y726" s="50"/>
      <c r="Z726" s="50"/>
      <c r="AA726" s="50"/>
      <c r="AB726" s="50"/>
    </row>
    <row r="727" customFormat="false" ht="15.75" hidden="false" customHeight="false" outlineLevel="0" collapsed="false">
      <c r="A727" s="50"/>
      <c r="B727" s="50"/>
      <c r="C727" s="5"/>
      <c r="D727" s="48"/>
      <c r="E727" s="50"/>
      <c r="F727" s="5"/>
      <c r="G727" s="5"/>
      <c r="H727" s="5"/>
      <c r="I727" s="5"/>
      <c r="J727" s="5"/>
      <c r="K727" s="50"/>
      <c r="L727" s="50"/>
      <c r="M727" s="50"/>
      <c r="N727" s="50"/>
      <c r="O727" s="50"/>
      <c r="P727" s="50"/>
      <c r="Q727" s="50"/>
      <c r="R727" s="50"/>
      <c r="S727" s="50"/>
      <c r="T727" s="50"/>
      <c r="U727" s="50"/>
      <c r="V727" s="50"/>
      <c r="W727" s="50"/>
      <c r="X727" s="50"/>
      <c r="Y727" s="50"/>
      <c r="Z727" s="50"/>
      <c r="AA727" s="50"/>
      <c r="AB727" s="50"/>
    </row>
    <row r="728" customFormat="false" ht="15.75" hidden="false" customHeight="false" outlineLevel="0" collapsed="false">
      <c r="A728" s="50"/>
      <c r="B728" s="50"/>
      <c r="C728" s="5"/>
      <c r="D728" s="48"/>
      <c r="E728" s="50"/>
      <c r="F728" s="5"/>
      <c r="G728" s="5"/>
      <c r="H728" s="5"/>
      <c r="I728" s="5"/>
      <c r="J728" s="5"/>
      <c r="K728" s="50"/>
      <c r="L728" s="50"/>
      <c r="M728" s="50"/>
      <c r="N728" s="50"/>
      <c r="O728" s="50"/>
      <c r="P728" s="50"/>
      <c r="Q728" s="50"/>
      <c r="R728" s="50"/>
      <c r="S728" s="50"/>
      <c r="T728" s="50"/>
      <c r="U728" s="50"/>
      <c r="V728" s="50"/>
      <c r="W728" s="50"/>
      <c r="X728" s="50"/>
      <c r="Y728" s="50"/>
      <c r="Z728" s="50"/>
      <c r="AA728" s="50"/>
      <c r="AB728" s="50"/>
    </row>
    <row r="729" customFormat="false" ht="15.75" hidden="false" customHeight="false" outlineLevel="0" collapsed="false">
      <c r="A729" s="50"/>
      <c r="B729" s="50"/>
      <c r="C729" s="5"/>
      <c r="D729" s="48"/>
      <c r="E729" s="50"/>
      <c r="F729" s="5"/>
      <c r="G729" s="5"/>
      <c r="H729" s="5"/>
      <c r="I729" s="5"/>
      <c r="J729" s="5"/>
      <c r="K729" s="50"/>
      <c r="L729" s="50"/>
      <c r="M729" s="50"/>
      <c r="N729" s="50"/>
      <c r="O729" s="50"/>
      <c r="P729" s="50"/>
      <c r="Q729" s="50"/>
      <c r="R729" s="50"/>
      <c r="S729" s="50"/>
      <c r="T729" s="50"/>
      <c r="U729" s="50"/>
      <c r="V729" s="50"/>
      <c r="W729" s="50"/>
      <c r="X729" s="50"/>
      <c r="Y729" s="50"/>
      <c r="Z729" s="50"/>
      <c r="AA729" s="50"/>
      <c r="AB729" s="50"/>
    </row>
    <row r="730" customFormat="false" ht="15.75" hidden="false" customHeight="false" outlineLevel="0" collapsed="false">
      <c r="A730" s="50"/>
      <c r="B730" s="50"/>
      <c r="C730" s="5"/>
      <c r="D730" s="48"/>
      <c r="E730" s="50"/>
      <c r="F730" s="5"/>
      <c r="G730" s="5"/>
      <c r="H730" s="5"/>
      <c r="I730" s="5"/>
      <c r="J730" s="5"/>
      <c r="K730" s="50"/>
      <c r="L730" s="50"/>
      <c r="M730" s="50"/>
      <c r="N730" s="50"/>
      <c r="O730" s="50"/>
      <c r="P730" s="50"/>
      <c r="Q730" s="50"/>
      <c r="R730" s="50"/>
      <c r="S730" s="50"/>
      <c r="T730" s="50"/>
      <c r="U730" s="50"/>
      <c r="V730" s="50"/>
      <c r="W730" s="50"/>
      <c r="X730" s="50"/>
      <c r="Y730" s="50"/>
      <c r="Z730" s="50"/>
      <c r="AA730" s="50"/>
      <c r="AB730" s="50"/>
    </row>
    <row r="731" customFormat="false" ht="15.75" hidden="false" customHeight="false" outlineLevel="0" collapsed="false">
      <c r="A731" s="50"/>
      <c r="B731" s="50"/>
      <c r="C731" s="5"/>
      <c r="D731" s="48"/>
      <c r="E731" s="50"/>
      <c r="F731" s="5"/>
      <c r="G731" s="5"/>
      <c r="H731" s="5"/>
      <c r="I731" s="5"/>
      <c r="J731" s="5"/>
      <c r="K731" s="50"/>
      <c r="L731" s="50"/>
      <c r="M731" s="50"/>
      <c r="N731" s="50"/>
      <c r="O731" s="50"/>
      <c r="P731" s="50"/>
      <c r="Q731" s="50"/>
      <c r="R731" s="50"/>
      <c r="S731" s="50"/>
      <c r="T731" s="50"/>
      <c r="U731" s="50"/>
      <c r="V731" s="50"/>
      <c r="W731" s="50"/>
      <c r="X731" s="50"/>
      <c r="Y731" s="50"/>
      <c r="Z731" s="50"/>
      <c r="AA731" s="50"/>
      <c r="AB731" s="50"/>
    </row>
    <row r="732" customFormat="false" ht="15.75" hidden="false" customHeight="false" outlineLevel="0" collapsed="false">
      <c r="A732" s="50"/>
      <c r="B732" s="50"/>
      <c r="C732" s="5"/>
      <c r="D732" s="48"/>
      <c r="E732" s="50"/>
      <c r="F732" s="5"/>
      <c r="G732" s="5"/>
      <c r="H732" s="5"/>
      <c r="I732" s="5"/>
      <c r="J732" s="5"/>
      <c r="K732" s="50"/>
      <c r="L732" s="50"/>
      <c r="M732" s="50"/>
      <c r="N732" s="50"/>
      <c r="O732" s="50"/>
      <c r="P732" s="50"/>
      <c r="Q732" s="50"/>
      <c r="R732" s="50"/>
      <c r="S732" s="50"/>
      <c r="T732" s="50"/>
      <c r="U732" s="50"/>
      <c r="V732" s="50"/>
      <c r="W732" s="50"/>
      <c r="X732" s="50"/>
      <c r="Y732" s="50"/>
      <c r="Z732" s="50"/>
      <c r="AA732" s="50"/>
      <c r="AB732" s="50"/>
    </row>
    <row r="733" customFormat="false" ht="15.75" hidden="false" customHeight="false" outlineLevel="0" collapsed="false">
      <c r="A733" s="50"/>
      <c r="B733" s="50"/>
      <c r="C733" s="5"/>
      <c r="D733" s="48"/>
      <c r="E733" s="50"/>
      <c r="F733" s="5"/>
      <c r="G733" s="5"/>
      <c r="H733" s="5"/>
      <c r="I733" s="5"/>
      <c r="J733" s="5"/>
      <c r="K733" s="50"/>
      <c r="L733" s="50"/>
      <c r="M733" s="50"/>
      <c r="N733" s="50"/>
      <c r="O733" s="50"/>
      <c r="P733" s="50"/>
      <c r="Q733" s="50"/>
      <c r="R733" s="50"/>
      <c r="S733" s="50"/>
      <c r="T733" s="50"/>
      <c r="U733" s="50"/>
      <c r="V733" s="50"/>
      <c r="W733" s="50"/>
      <c r="X733" s="50"/>
      <c r="Y733" s="50"/>
      <c r="Z733" s="50"/>
      <c r="AA733" s="50"/>
      <c r="AB733" s="50"/>
    </row>
    <row r="734" customFormat="false" ht="15.75" hidden="false" customHeight="false" outlineLevel="0" collapsed="false">
      <c r="A734" s="50"/>
      <c r="B734" s="50"/>
      <c r="C734" s="5"/>
      <c r="D734" s="48"/>
      <c r="E734" s="50"/>
      <c r="F734" s="5"/>
      <c r="G734" s="5"/>
      <c r="H734" s="5"/>
      <c r="I734" s="5"/>
      <c r="J734" s="5"/>
      <c r="K734" s="50"/>
      <c r="L734" s="50"/>
      <c r="M734" s="50"/>
      <c r="N734" s="50"/>
      <c r="O734" s="50"/>
      <c r="P734" s="50"/>
      <c r="Q734" s="50"/>
      <c r="R734" s="50"/>
      <c r="S734" s="50"/>
      <c r="T734" s="50"/>
      <c r="U734" s="50"/>
      <c r="V734" s="50"/>
      <c r="W734" s="50"/>
      <c r="X734" s="50"/>
      <c r="Y734" s="50"/>
      <c r="Z734" s="50"/>
      <c r="AA734" s="50"/>
      <c r="AB734" s="50"/>
    </row>
    <row r="735" customFormat="false" ht="15.75" hidden="false" customHeight="false" outlineLevel="0" collapsed="false">
      <c r="A735" s="50"/>
      <c r="B735" s="50"/>
      <c r="C735" s="5"/>
      <c r="D735" s="48"/>
      <c r="E735" s="50"/>
      <c r="F735" s="5"/>
      <c r="G735" s="5"/>
      <c r="H735" s="5"/>
      <c r="I735" s="5"/>
      <c r="J735" s="5"/>
      <c r="K735" s="50"/>
      <c r="L735" s="50"/>
      <c r="M735" s="50"/>
      <c r="N735" s="50"/>
      <c r="O735" s="50"/>
      <c r="P735" s="50"/>
      <c r="Q735" s="50"/>
      <c r="R735" s="50"/>
      <c r="S735" s="50"/>
      <c r="T735" s="50"/>
      <c r="U735" s="50"/>
      <c r="V735" s="50"/>
      <c r="W735" s="50"/>
      <c r="X735" s="50"/>
      <c r="Y735" s="50"/>
      <c r="Z735" s="50"/>
      <c r="AA735" s="50"/>
      <c r="AB735" s="50"/>
    </row>
    <row r="736" customFormat="false" ht="15.75" hidden="false" customHeight="false" outlineLevel="0" collapsed="false">
      <c r="A736" s="50"/>
      <c r="B736" s="50"/>
      <c r="C736" s="5"/>
      <c r="D736" s="48"/>
      <c r="E736" s="50"/>
      <c r="F736" s="5"/>
      <c r="G736" s="5"/>
      <c r="H736" s="5"/>
      <c r="I736" s="5"/>
      <c r="J736" s="5"/>
      <c r="K736" s="50"/>
      <c r="L736" s="50"/>
      <c r="M736" s="50"/>
      <c r="N736" s="50"/>
      <c r="O736" s="50"/>
      <c r="P736" s="50"/>
      <c r="Q736" s="50"/>
      <c r="R736" s="50"/>
      <c r="S736" s="50"/>
      <c r="T736" s="50"/>
      <c r="U736" s="50"/>
      <c r="V736" s="50"/>
      <c r="W736" s="50"/>
      <c r="X736" s="50"/>
      <c r="Y736" s="50"/>
      <c r="Z736" s="50"/>
      <c r="AA736" s="50"/>
      <c r="AB736" s="50"/>
    </row>
    <row r="737" customFormat="false" ht="15.75" hidden="false" customHeight="false" outlineLevel="0" collapsed="false">
      <c r="A737" s="50"/>
      <c r="B737" s="50"/>
      <c r="C737" s="5"/>
      <c r="D737" s="48"/>
      <c r="E737" s="50"/>
      <c r="F737" s="5"/>
      <c r="G737" s="5"/>
      <c r="H737" s="5"/>
      <c r="I737" s="5"/>
      <c r="J737" s="5"/>
      <c r="K737" s="50"/>
      <c r="L737" s="50"/>
      <c r="M737" s="50"/>
      <c r="N737" s="50"/>
      <c r="O737" s="50"/>
      <c r="P737" s="50"/>
      <c r="Q737" s="50"/>
      <c r="R737" s="50"/>
      <c r="S737" s="50"/>
      <c r="T737" s="50"/>
      <c r="U737" s="50"/>
      <c r="V737" s="50"/>
      <c r="W737" s="50"/>
      <c r="X737" s="50"/>
      <c r="Y737" s="50"/>
      <c r="Z737" s="50"/>
      <c r="AA737" s="50"/>
      <c r="AB737" s="50"/>
    </row>
    <row r="738" customFormat="false" ht="15.75" hidden="false" customHeight="false" outlineLevel="0" collapsed="false">
      <c r="A738" s="50"/>
      <c r="B738" s="50"/>
      <c r="C738" s="5"/>
      <c r="D738" s="48"/>
      <c r="E738" s="50"/>
      <c r="F738" s="5"/>
      <c r="G738" s="5"/>
      <c r="H738" s="5"/>
      <c r="I738" s="5"/>
      <c r="J738" s="5"/>
      <c r="K738" s="50"/>
      <c r="L738" s="50"/>
      <c r="M738" s="50"/>
      <c r="N738" s="50"/>
      <c r="O738" s="50"/>
      <c r="P738" s="50"/>
      <c r="Q738" s="50"/>
      <c r="R738" s="50"/>
      <c r="S738" s="50"/>
      <c r="T738" s="50"/>
      <c r="U738" s="50"/>
      <c r="V738" s="50"/>
      <c r="W738" s="50"/>
      <c r="X738" s="50"/>
      <c r="Y738" s="50"/>
      <c r="Z738" s="50"/>
      <c r="AA738" s="50"/>
      <c r="AB738" s="50"/>
    </row>
    <row r="739" customFormat="false" ht="15.75" hidden="false" customHeight="false" outlineLevel="0" collapsed="false">
      <c r="A739" s="50"/>
      <c r="B739" s="50"/>
      <c r="C739" s="5"/>
      <c r="D739" s="48"/>
      <c r="E739" s="50"/>
      <c r="F739" s="5"/>
      <c r="G739" s="5"/>
      <c r="H739" s="5"/>
      <c r="I739" s="5"/>
      <c r="J739" s="5"/>
      <c r="K739" s="50"/>
      <c r="L739" s="50"/>
      <c r="M739" s="50"/>
      <c r="N739" s="50"/>
      <c r="O739" s="50"/>
      <c r="P739" s="50"/>
      <c r="Q739" s="50"/>
      <c r="R739" s="50"/>
      <c r="S739" s="50"/>
      <c r="T739" s="50"/>
      <c r="U739" s="50"/>
      <c r="V739" s="50"/>
      <c r="W739" s="50"/>
      <c r="X739" s="50"/>
      <c r="Y739" s="50"/>
      <c r="Z739" s="50"/>
      <c r="AA739" s="50"/>
      <c r="AB739" s="50"/>
    </row>
    <row r="740" customFormat="false" ht="15.75" hidden="false" customHeight="false" outlineLevel="0" collapsed="false">
      <c r="A740" s="50"/>
      <c r="B740" s="50"/>
      <c r="C740" s="5"/>
      <c r="D740" s="48"/>
      <c r="E740" s="50"/>
      <c r="F740" s="5"/>
      <c r="G740" s="5"/>
      <c r="H740" s="5"/>
      <c r="I740" s="5"/>
      <c r="J740" s="5"/>
      <c r="K740" s="50"/>
      <c r="L740" s="50"/>
      <c r="M740" s="50"/>
      <c r="N740" s="50"/>
      <c r="O740" s="50"/>
      <c r="P740" s="50"/>
      <c r="Q740" s="50"/>
      <c r="R740" s="50"/>
      <c r="S740" s="50"/>
      <c r="T740" s="50"/>
      <c r="U740" s="50"/>
      <c r="V740" s="50"/>
      <c r="W740" s="50"/>
      <c r="X740" s="50"/>
      <c r="Y740" s="50"/>
      <c r="Z740" s="50"/>
      <c r="AA740" s="50"/>
      <c r="AB740" s="50"/>
    </row>
    <row r="741" customFormat="false" ht="15.75" hidden="false" customHeight="false" outlineLevel="0" collapsed="false">
      <c r="A741" s="50"/>
      <c r="B741" s="50"/>
      <c r="C741" s="5"/>
      <c r="D741" s="48"/>
      <c r="E741" s="50"/>
      <c r="F741" s="5"/>
      <c r="G741" s="5"/>
      <c r="H741" s="5"/>
      <c r="I741" s="5"/>
      <c r="J741" s="5"/>
      <c r="K741" s="50"/>
      <c r="L741" s="50"/>
      <c r="M741" s="50"/>
      <c r="N741" s="50"/>
      <c r="O741" s="50"/>
      <c r="P741" s="50"/>
      <c r="Q741" s="50"/>
      <c r="R741" s="50"/>
      <c r="S741" s="50"/>
      <c r="T741" s="50"/>
      <c r="U741" s="50"/>
      <c r="V741" s="50"/>
      <c r="W741" s="50"/>
      <c r="X741" s="50"/>
      <c r="Y741" s="50"/>
      <c r="Z741" s="50"/>
      <c r="AA741" s="50"/>
      <c r="AB741" s="50"/>
    </row>
    <row r="742" customFormat="false" ht="15.75" hidden="false" customHeight="false" outlineLevel="0" collapsed="false">
      <c r="A742" s="50"/>
      <c r="B742" s="50"/>
      <c r="C742" s="5"/>
      <c r="D742" s="48"/>
      <c r="E742" s="50"/>
      <c r="F742" s="5"/>
      <c r="G742" s="5"/>
      <c r="H742" s="5"/>
      <c r="I742" s="5"/>
      <c r="J742" s="5"/>
      <c r="K742" s="50"/>
      <c r="L742" s="50"/>
      <c r="M742" s="50"/>
      <c r="N742" s="50"/>
      <c r="O742" s="50"/>
      <c r="P742" s="50"/>
      <c r="Q742" s="50"/>
      <c r="R742" s="50"/>
      <c r="S742" s="50"/>
      <c r="T742" s="50"/>
      <c r="U742" s="50"/>
      <c r="V742" s="50"/>
      <c r="W742" s="50"/>
      <c r="X742" s="50"/>
      <c r="Y742" s="50"/>
      <c r="Z742" s="50"/>
      <c r="AA742" s="50"/>
      <c r="AB742" s="50"/>
    </row>
    <row r="743" customFormat="false" ht="15.75" hidden="false" customHeight="false" outlineLevel="0" collapsed="false">
      <c r="A743" s="50"/>
      <c r="B743" s="50"/>
      <c r="C743" s="5"/>
      <c r="D743" s="48"/>
      <c r="E743" s="50"/>
      <c r="F743" s="5"/>
      <c r="G743" s="5"/>
      <c r="H743" s="5"/>
      <c r="I743" s="5"/>
      <c r="J743" s="5"/>
      <c r="K743" s="50"/>
      <c r="L743" s="50"/>
      <c r="M743" s="50"/>
      <c r="N743" s="50"/>
      <c r="O743" s="50"/>
      <c r="P743" s="50"/>
      <c r="Q743" s="50"/>
      <c r="R743" s="50"/>
      <c r="S743" s="50"/>
      <c r="T743" s="50"/>
      <c r="U743" s="50"/>
      <c r="V743" s="50"/>
      <c r="W743" s="50"/>
      <c r="X743" s="50"/>
      <c r="Y743" s="50"/>
      <c r="Z743" s="50"/>
      <c r="AA743" s="50"/>
      <c r="AB743" s="50"/>
    </row>
    <row r="744" customFormat="false" ht="15.75" hidden="false" customHeight="false" outlineLevel="0" collapsed="false">
      <c r="A744" s="50"/>
      <c r="B744" s="50"/>
      <c r="C744" s="5"/>
      <c r="D744" s="48"/>
      <c r="E744" s="50"/>
      <c r="F744" s="5"/>
      <c r="G744" s="5"/>
      <c r="H744" s="5"/>
      <c r="I744" s="5"/>
      <c r="J744" s="5"/>
      <c r="K744" s="50"/>
      <c r="L744" s="50"/>
      <c r="M744" s="50"/>
      <c r="N744" s="50"/>
      <c r="O744" s="50"/>
      <c r="P744" s="50"/>
      <c r="Q744" s="50"/>
      <c r="R744" s="50"/>
      <c r="S744" s="50"/>
      <c r="T744" s="50"/>
      <c r="U744" s="50"/>
      <c r="V744" s="50"/>
      <c r="W744" s="50"/>
      <c r="X744" s="50"/>
      <c r="Y744" s="50"/>
      <c r="Z744" s="50"/>
      <c r="AA744" s="50"/>
      <c r="AB744" s="50"/>
    </row>
    <row r="745" customFormat="false" ht="15.75" hidden="false" customHeight="false" outlineLevel="0" collapsed="false">
      <c r="A745" s="50"/>
      <c r="B745" s="50"/>
      <c r="C745" s="5"/>
      <c r="D745" s="48"/>
      <c r="E745" s="50"/>
      <c r="F745" s="5"/>
      <c r="G745" s="5"/>
      <c r="H745" s="5"/>
      <c r="I745" s="5"/>
      <c r="J745" s="5"/>
      <c r="K745" s="50"/>
      <c r="L745" s="50"/>
      <c r="M745" s="50"/>
      <c r="N745" s="50"/>
      <c r="O745" s="50"/>
      <c r="P745" s="50"/>
      <c r="Q745" s="50"/>
      <c r="R745" s="50"/>
      <c r="S745" s="50"/>
      <c r="T745" s="50"/>
      <c r="U745" s="50"/>
      <c r="V745" s="50"/>
      <c r="W745" s="50"/>
      <c r="X745" s="50"/>
      <c r="Y745" s="50"/>
      <c r="Z745" s="50"/>
      <c r="AA745" s="50"/>
      <c r="AB745" s="50"/>
    </row>
    <row r="746" customFormat="false" ht="15.75" hidden="false" customHeight="false" outlineLevel="0" collapsed="false">
      <c r="A746" s="50"/>
      <c r="B746" s="50"/>
      <c r="C746" s="5"/>
      <c r="D746" s="48"/>
      <c r="E746" s="50"/>
      <c r="F746" s="5"/>
      <c r="G746" s="5"/>
      <c r="H746" s="5"/>
      <c r="I746" s="5"/>
      <c r="J746" s="5"/>
      <c r="K746" s="50"/>
      <c r="L746" s="50"/>
      <c r="M746" s="50"/>
      <c r="N746" s="50"/>
      <c r="O746" s="50"/>
      <c r="P746" s="50"/>
      <c r="Q746" s="50"/>
      <c r="R746" s="50"/>
      <c r="S746" s="50"/>
      <c r="T746" s="50"/>
      <c r="U746" s="50"/>
      <c r="V746" s="50"/>
      <c r="W746" s="50"/>
      <c r="X746" s="50"/>
      <c r="Y746" s="50"/>
      <c r="Z746" s="50"/>
      <c r="AA746" s="50"/>
      <c r="AB746" s="50"/>
    </row>
    <row r="747" customFormat="false" ht="15.75" hidden="false" customHeight="false" outlineLevel="0" collapsed="false">
      <c r="A747" s="50"/>
      <c r="B747" s="50"/>
      <c r="C747" s="5"/>
      <c r="D747" s="48"/>
      <c r="E747" s="50"/>
      <c r="F747" s="5"/>
      <c r="G747" s="5"/>
      <c r="H747" s="5"/>
      <c r="I747" s="5"/>
      <c r="J747" s="5"/>
      <c r="K747" s="50"/>
      <c r="L747" s="50"/>
      <c r="M747" s="50"/>
      <c r="N747" s="50"/>
      <c r="O747" s="50"/>
      <c r="P747" s="50"/>
      <c r="Q747" s="50"/>
      <c r="R747" s="50"/>
      <c r="S747" s="50"/>
      <c r="T747" s="50"/>
      <c r="U747" s="50"/>
      <c r="V747" s="50"/>
      <c r="W747" s="50"/>
      <c r="X747" s="50"/>
      <c r="Y747" s="50"/>
      <c r="Z747" s="50"/>
      <c r="AA747" s="50"/>
      <c r="AB747" s="50"/>
    </row>
    <row r="748" customFormat="false" ht="15.75" hidden="false" customHeight="false" outlineLevel="0" collapsed="false">
      <c r="A748" s="50"/>
      <c r="B748" s="50"/>
      <c r="C748" s="5"/>
      <c r="D748" s="48"/>
      <c r="E748" s="50"/>
      <c r="F748" s="5"/>
      <c r="G748" s="5"/>
      <c r="H748" s="5"/>
      <c r="I748" s="5"/>
      <c r="J748" s="5"/>
      <c r="K748" s="50"/>
      <c r="L748" s="50"/>
      <c r="M748" s="50"/>
      <c r="N748" s="50"/>
      <c r="O748" s="50"/>
      <c r="P748" s="50"/>
      <c r="Q748" s="50"/>
      <c r="R748" s="50"/>
      <c r="S748" s="50"/>
      <c r="T748" s="50"/>
      <c r="U748" s="50"/>
      <c r="V748" s="50"/>
      <c r="W748" s="50"/>
      <c r="X748" s="50"/>
      <c r="Y748" s="50"/>
      <c r="Z748" s="50"/>
      <c r="AA748" s="50"/>
      <c r="AB748" s="50"/>
    </row>
    <row r="749" customFormat="false" ht="15.75" hidden="false" customHeight="false" outlineLevel="0" collapsed="false">
      <c r="A749" s="50"/>
      <c r="B749" s="50"/>
      <c r="C749" s="5"/>
      <c r="D749" s="48"/>
      <c r="E749" s="50"/>
      <c r="F749" s="5"/>
      <c r="G749" s="5"/>
      <c r="H749" s="5"/>
      <c r="I749" s="5"/>
      <c r="J749" s="5"/>
      <c r="K749" s="50"/>
      <c r="L749" s="50"/>
      <c r="M749" s="50"/>
      <c r="N749" s="50"/>
      <c r="O749" s="50"/>
      <c r="P749" s="50"/>
      <c r="Q749" s="50"/>
      <c r="R749" s="50"/>
      <c r="S749" s="50"/>
      <c r="T749" s="50"/>
      <c r="U749" s="50"/>
      <c r="V749" s="50"/>
      <c r="W749" s="50"/>
      <c r="X749" s="50"/>
      <c r="Y749" s="50"/>
      <c r="Z749" s="50"/>
      <c r="AA749" s="50"/>
      <c r="AB749" s="50"/>
    </row>
    <row r="750" customFormat="false" ht="15.75" hidden="false" customHeight="false" outlineLevel="0" collapsed="false">
      <c r="A750" s="50"/>
      <c r="B750" s="50"/>
      <c r="C750" s="5"/>
      <c r="D750" s="48"/>
      <c r="E750" s="50"/>
      <c r="F750" s="5"/>
      <c r="G750" s="5"/>
      <c r="H750" s="5"/>
      <c r="I750" s="5"/>
      <c r="J750" s="5"/>
      <c r="K750" s="50"/>
      <c r="L750" s="50"/>
      <c r="M750" s="50"/>
      <c r="N750" s="50"/>
      <c r="O750" s="50"/>
      <c r="P750" s="50"/>
      <c r="Q750" s="50"/>
      <c r="R750" s="50"/>
      <c r="S750" s="50"/>
      <c r="T750" s="50"/>
      <c r="U750" s="50"/>
      <c r="V750" s="50"/>
      <c r="W750" s="50"/>
      <c r="X750" s="50"/>
      <c r="Y750" s="50"/>
      <c r="Z750" s="50"/>
      <c r="AA750" s="50"/>
      <c r="AB750" s="50"/>
    </row>
    <row r="751" customFormat="false" ht="15.75" hidden="false" customHeight="false" outlineLevel="0" collapsed="false">
      <c r="A751" s="50"/>
      <c r="B751" s="50"/>
      <c r="C751" s="5"/>
      <c r="D751" s="48"/>
      <c r="E751" s="50"/>
      <c r="F751" s="5"/>
      <c r="G751" s="5"/>
      <c r="H751" s="5"/>
      <c r="I751" s="5"/>
      <c r="J751" s="5"/>
      <c r="K751" s="50"/>
      <c r="L751" s="50"/>
      <c r="M751" s="50"/>
      <c r="N751" s="50"/>
      <c r="O751" s="50"/>
      <c r="P751" s="50"/>
      <c r="Q751" s="50"/>
      <c r="R751" s="50"/>
      <c r="S751" s="50"/>
      <c r="T751" s="50"/>
      <c r="U751" s="50"/>
      <c r="V751" s="50"/>
      <c r="W751" s="50"/>
      <c r="X751" s="50"/>
      <c r="Y751" s="50"/>
      <c r="Z751" s="50"/>
      <c r="AA751" s="50"/>
      <c r="AB751" s="50"/>
    </row>
    <row r="752" customFormat="false" ht="15.75" hidden="false" customHeight="false" outlineLevel="0" collapsed="false">
      <c r="A752" s="50"/>
      <c r="B752" s="50"/>
      <c r="C752" s="5"/>
      <c r="D752" s="48"/>
      <c r="E752" s="50"/>
      <c r="F752" s="5"/>
      <c r="G752" s="5"/>
      <c r="H752" s="5"/>
      <c r="I752" s="5"/>
      <c r="J752" s="5"/>
      <c r="K752" s="50"/>
      <c r="L752" s="50"/>
      <c r="M752" s="50"/>
      <c r="N752" s="50"/>
      <c r="O752" s="50"/>
      <c r="P752" s="50"/>
      <c r="Q752" s="50"/>
      <c r="R752" s="50"/>
      <c r="S752" s="50"/>
      <c r="T752" s="50"/>
      <c r="U752" s="50"/>
      <c r="V752" s="50"/>
      <c r="W752" s="50"/>
      <c r="X752" s="50"/>
      <c r="Y752" s="50"/>
      <c r="Z752" s="50"/>
      <c r="AA752" s="50"/>
      <c r="AB752" s="50"/>
    </row>
    <row r="753" customFormat="false" ht="15.75" hidden="false" customHeight="false" outlineLevel="0" collapsed="false">
      <c r="A753" s="50"/>
      <c r="B753" s="50"/>
      <c r="C753" s="5"/>
      <c r="D753" s="48"/>
      <c r="E753" s="50"/>
      <c r="F753" s="5"/>
      <c r="G753" s="5"/>
      <c r="H753" s="5"/>
      <c r="I753" s="5"/>
      <c r="J753" s="5"/>
      <c r="K753" s="50"/>
      <c r="L753" s="50"/>
      <c r="M753" s="50"/>
      <c r="N753" s="50"/>
      <c r="O753" s="50"/>
      <c r="P753" s="50"/>
      <c r="Q753" s="50"/>
      <c r="R753" s="50"/>
      <c r="S753" s="50"/>
      <c r="T753" s="50"/>
      <c r="U753" s="50"/>
      <c r="V753" s="50"/>
      <c r="W753" s="50"/>
      <c r="X753" s="50"/>
      <c r="Y753" s="50"/>
      <c r="Z753" s="50"/>
      <c r="AA753" s="50"/>
      <c r="AB753" s="50"/>
    </row>
    <row r="754" customFormat="false" ht="15.75" hidden="false" customHeight="false" outlineLevel="0" collapsed="false">
      <c r="A754" s="50"/>
      <c r="B754" s="50"/>
      <c r="C754" s="5"/>
      <c r="D754" s="48"/>
      <c r="E754" s="50"/>
      <c r="F754" s="5"/>
      <c r="G754" s="5"/>
      <c r="H754" s="5"/>
      <c r="I754" s="5"/>
      <c r="J754" s="5"/>
      <c r="K754" s="50"/>
      <c r="L754" s="50"/>
      <c r="M754" s="50"/>
      <c r="N754" s="50"/>
      <c r="O754" s="50"/>
      <c r="P754" s="50"/>
      <c r="Q754" s="50"/>
      <c r="R754" s="50"/>
      <c r="S754" s="50"/>
      <c r="T754" s="50"/>
      <c r="U754" s="50"/>
      <c r="V754" s="50"/>
      <c r="W754" s="50"/>
      <c r="X754" s="50"/>
      <c r="Y754" s="50"/>
      <c r="Z754" s="50"/>
      <c r="AA754" s="50"/>
      <c r="AB754" s="50"/>
    </row>
    <row r="755" customFormat="false" ht="15.75" hidden="false" customHeight="false" outlineLevel="0" collapsed="false">
      <c r="A755" s="50"/>
      <c r="B755" s="50"/>
      <c r="C755" s="5"/>
      <c r="D755" s="48"/>
      <c r="E755" s="50"/>
      <c r="F755" s="5"/>
      <c r="G755" s="5"/>
      <c r="H755" s="5"/>
      <c r="I755" s="5"/>
      <c r="J755" s="5"/>
      <c r="K755" s="50"/>
      <c r="L755" s="50"/>
      <c r="M755" s="50"/>
      <c r="N755" s="50"/>
      <c r="O755" s="50"/>
      <c r="P755" s="50"/>
      <c r="Q755" s="50"/>
      <c r="R755" s="50"/>
      <c r="S755" s="50"/>
      <c r="T755" s="50"/>
      <c r="U755" s="50"/>
      <c r="V755" s="50"/>
      <c r="W755" s="50"/>
      <c r="X755" s="50"/>
      <c r="Y755" s="50"/>
      <c r="Z755" s="50"/>
      <c r="AA755" s="50"/>
      <c r="AB755" s="50"/>
    </row>
    <row r="756" customFormat="false" ht="15.75" hidden="false" customHeight="false" outlineLevel="0" collapsed="false">
      <c r="A756" s="50"/>
      <c r="B756" s="50"/>
      <c r="C756" s="5"/>
      <c r="D756" s="48"/>
      <c r="E756" s="50"/>
      <c r="F756" s="5"/>
      <c r="G756" s="5"/>
      <c r="H756" s="5"/>
      <c r="I756" s="5"/>
      <c r="J756" s="5"/>
      <c r="K756" s="50"/>
      <c r="L756" s="50"/>
      <c r="M756" s="50"/>
      <c r="N756" s="50"/>
      <c r="O756" s="50"/>
      <c r="P756" s="50"/>
      <c r="Q756" s="50"/>
      <c r="R756" s="50"/>
      <c r="S756" s="50"/>
      <c r="T756" s="50"/>
      <c r="U756" s="50"/>
      <c r="V756" s="50"/>
      <c r="W756" s="50"/>
      <c r="X756" s="50"/>
      <c r="Y756" s="50"/>
      <c r="Z756" s="50"/>
      <c r="AA756" s="50"/>
      <c r="AB756" s="50"/>
    </row>
    <row r="757" customFormat="false" ht="15.75" hidden="false" customHeight="false" outlineLevel="0" collapsed="false">
      <c r="A757" s="50"/>
      <c r="B757" s="50"/>
      <c r="C757" s="5"/>
      <c r="D757" s="48"/>
      <c r="E757" s="50"/>
      <c r="F757" s="5"/>
      <c r="G757" s="5"/>
      <c r="H757" s="5"/>
      <c r="I757" s="5"/>
      <c r="J757" s="5"/>
      <c r="K757" s="50"/>
      <c r="L757" s="50"/>
      <c r="M757" s="50"/>
      <c r="N757" s="50"/>
      <c r="O757" s="50"/>
      <c r="P757" s="50"/>
      <c r="Q757" s="50"/>
      <c r="R757" s="50"/>
      <c r="S757" s="50"/>
      <c r="T757" s="50"/>
      <c r="U757" s="50"/>
      <c r="V757" s="50"/>
      <c r="W757" s="50"/>
      <c r="X757" s="50"/>
      <c r="Y757" s="50"/>
      <c r="Z757" s="50"/>
      <c r="AA757" s="50"/>
      <c r="AB757" s="50"/>
    </row>
    <row r="758" customFormat="false" ht="15.75" hidden="false" customHeight="false" outlineLevel="0" collapsed="false">
      <c r="A758" s="50"/>
      <c r="B758" s="50"/>
      <c r="C758" s="5"/>
      <c r="D758" s="48"/>
      <c r="E758" s="50"/>
      <c r="F758" s="5"/>
      <c r="G758" s="5"/>
      <c r="H758" s="5"/>
      <c r="I758" s="5"/>
      <c r="J758" s="5"/>
      <c r="K758" s="50"/>
      <c r="L758" s="50"/>
      <c r="M758" s="50"/>
      <c r="N758" s="50"/>
      <c r="O758" s="50"/>
      <c r="P758" s="50"/>
      <c r="Q758" s="50"/>
      <c r="R758" s="50"/>
      <c r="S758" s="50"/>
      <c r="T758" s="50"/>
      <c r="U758" s="50"/>
      <c r="V758" s="50"/>
      <c r="W758" s="50"/>
      <c r="X758" s="50"/>
      <c r="Y758" s="50"/>
      <c r="Z758" s="50"/>
      <c r="AA758" s="50"/>
      <c r="AB758" s="50"/>
    </row>
    <row r="759" customFormat="false" ht="15.75" hidden="false" customHeight="false" outlineLevel="0" collapsed="false">
      <c r="A759" s="50"/>
      <c r="B759" s="50"/>
      <c r="C759" s="5"/>
      <c r="D759" s="48"/>
      <c r="E759" s="50"/>
      <c r="F759" s="5"/>
      <c r="G759" s="5"/>
      <c r="H759" s="5"/>
      <c r="I759" s="5"/>
      <c r="J759" s="5"/>
      <c r="K759" s="50"/>
      <c r="L759" s="50"/>
      <c r="M759" s="50"/>
      <c r="N759" s="50"/>
      <c r="O759" s="50"/>
      <c r="P759" s="50"/>
      <c r="Q759" s="50"/>
      <c r="R759" s="50"/>
      <c r="S759" s="50"/>
      <c r="T759" s="50"/>
      <c r="U759" s="50"/>
      <c r="V759" s="50"/>
      <c r="W759" s="50"/>
      <c r="X759" s="50"/>
      <c r="Y759" s="50"/>
      <c r="Z759" s="50"/>
      <c r="AA759" s="50"/>
      <c r="AB759" s="50"/>
    </row>
    <row r="760" customFormat="false" ht="15.75" hidden="false" customHeight="false" outlineLevel="0" collapsed="false">
      <c r="A760" s="50"/>
      <c r="B760" s="50"/>
      <c r="C760" s="5"/>
      <c r="D760" s="48"/>
      <c r="E760" s="50"/>
      <c r="F760" s="5"/>
      <c r="G760" s="5"/>
      <c r="H760" s="5"/>
      <c r="I760" s="5"/>
      <c r="J760" s="5"/>
      <c r="K760" s="50"/>
      <c r="L760" s="50"/>
      <c r="M760" s="50"/>
      <c r="N760" s="50"/>
      <c r="O760" s="50"/>
      <c r="P760" s="50"/>
      <c r="Q760" s="50"/>
      <c r="R760" s="50"/>
      <c r="S760" s="50"/>
      <c r="T760" s="50"/>
      <c r="U760" s="50"/>
      <c r="V760" s="50"/>
      <c r="W760" s="50"/>
      <c r="X760" s="50"/>
      <c r="Y760" s="50"/>
      <c r="Z760" s="50"/>
      <c r="AA760" s="50"/>
      <c r="AB760" s="50"/>
    </row>
    <row r="761" customFormat="false" ht="15.75" hidden="false" customHeight="false" outlineLevel="0" collapsed="false">
      <c r="A761" s="50"/>
      <c r="B761" s="50"/>
      <c r="C761" s="5"/>
      <c r="D761" s="48"/>
      <c r="E761" s="50"/>
      <c r="F761" s="5"/>
      <c r="G761" s="5"/>
      <c r="H761" s="5"/>
      <c r="I761" s="5"/>
      <c r="J761" s="5"/>
      <c r="K761" s="50"/>
      <c r="L761" s="50"/>
      <c r="M761" s="50"/>
      <c r="N761" s="50"/>
      <c r="O761" s="50"/>
      <c r="P761" s="50"/>
      <c r="Q761" s="50"/>
      <c r="R761" s="50"/>
      <c r="S761" s="50"/>
      <c r="T761" s="50"/>
      <c r="U761" s="50"/>
      <c r="V761" s="50"/>
      <c r="W761" s="50"/>
      <c r="X761" s="50"/>
      <c r="Y761" s="50"/>
      <c r="Z761" s="50"/>
      <c r="AA761" s="50"/>
      <c r="AB761" s="50"/>
    </row>
    <row r="762" customFormat="false" ht="15.75" hidden="false" customHeight="false" outlineLevel="0" collapsed="false">
      <c r="A762" s="50"/>
      <c r="B762" s="50"/>
      <c r="C762" s="5"/>
      <c r="D762" s="48"/>
      <c r="E762" s="50"/>
      <c r="F762" s="5"/>
      <c r="G762" s="5"/>
      <c r="H762" s="5"/>
      <c r="I762" s="5"/>
      <c r="J762" s="5"/>
      <c r="K762" s="50"/>
      <c r="L762" s="50"/>
      <c r="M762" s="50"/>
      <c r="N762" s="50"/>
      <c r="O762" s="50"/>
      <c r="P762" s="50"/>
      <c r="Q762" s="50"/>
      <c r="R762" s="50"/>
      <c r="S762" s="50"/>
      <c r="T762" s="50"/>
      <c r="U762" s="50"/>
      <c r="V762" s="50"/>
      <c r="W762" s="50"/>
      <c r="X762" s="50"/>
      <c r="Y762" s="50"/>
      <c r="Z762" s="50"/>
      <c r="AA762" s="50"/>
      <c r="AB762" s="50"/>
    </row>
    <row r="763" customFormat="false" ht="15.75" hidden="false" customHeight="false" outlineLevel="0" collapsed="false">
      <c r="A763" s="50"/>
      <c r="B763" s="50"/>
      <c r="C763" s="5"/>
      <c r="D763" s="48"/>
      <c r="E763" s="50"/>
      <c r="F763" s="5"/>
      <c r="G763" s="5"/>
      <c r="H763" s="5"/>
      <c r="I763" s="5"/>
      <c r="J763" s="5"/>
      <c r="K763" s="50"/>
      <c r="L763" s="50"/>
      <c r="M763" s="50"/>
      <c r="N763" s="50"/>
      <c r="O763" s="50"/>
      <c r="P763" s="50"/>
      <c r="Q763" s="50"/>
      <c r="R763" s="50"/>
      <c r="S763" s="50"/>
      <c r="T763" s="50"/>
      <c r="U763" s="50"/>
      <c r="V763" s="50"/>
      <c r="W763" s="50"/>
      <c r="X763" s="50"/>
      <c r="Y763" s="50"/>
      <c r="Z763" s="50"/>
      <c r="AA763" s="50"/>
      <c r="AB763" s="50"/>
    </row>
    <row r="764" customFormat="false" ht="15.75" hidden="false" customHeight="false" outlineLevel="0" collapsed="false">
      <c r="A764" s="50"/>
      <c r="B764" s="50"/>
      <c r="C764" s="5"/>
      <c r="D764" s="48"/>
      <c r="E764" s="50"/>
      <c r="F764" s="5"/>
      <c r="G764" s="5"/>
      <c r="H764" s="5"/>
      <c r="I764" s="5"/>
      <c r="J764" s="5"/>
      <c r="K764" s="50"/>
      <c r="L764" s="50"/>
      <c r="M764" s="50"/>
      <c r="N764" s="50"/>
      <c r="O764" s="50"/>
      <c r="P764" s="50"/>
      <c r="Q764" s="50"/>
      <c r="R764" s="50"/>
      <c r="S764" s="50"/>
      <c r="T764" s="50"/>
      <c r="U764" s="50"/>
      <c r="V764" s="50"/>
      <c r="W764" s="50"/>
      <c r="X764" s="50"/>
      <c r="Y764" s="50"/>
      <c r="Z764" s="50"/>
      <c r="AA764" s="50"/>
      <c r="AB764" s="50"/>
    </row>
    <row r="765" customFormat="false" ht="15.75" hidden="false" customHeight="false" outlineLevel="0" collapsed="false">
      <c r="A765" s="50"/>
      <c r="B765" s="50"/>
      <c r="C765" s="5"/>
      <c r="D765" s="48"/>
      <c r="E765" s="50"/>
      <c r="F765" s="5"/>
      <c r="G765" s="5"/>
      <c r="H765" s="5"/>
      <c r="I765" s="5"/>
      <c r="J765" s="5"/>
      <c r="K765" s="50"/>
      <c r="L765" s="50"/>
      <c r="M765" s="50"/>
      <c r="N765" s="50"/>
      <c r="O765" s="50"/>
      <c r="P765" s="50"/>
      <c r="Q765" s="50"/>
      <c r="R765" s="50"/>
      <c r="S765" s="50"/>
      <c r="T765" s="50"/>
      <c r="U765" s="50"/>
      <c r="V765" s="50"/>
      <c r="W765" s="50"/>
      <c r="X765" s="50"/>
      <c r="Y765" s="50"/>
      <c r="Z765" s="50"/>
      <c r="AA765" s="50"/>
      <c r="AB765" s="50"/>
    </row>
    <row r="766" customFormat="false" ht="15.75" hidden="false" customHeight="false" outlineLevel="0" collapsed="false">
      <c r="A766" s="50"/>
      <c r="B766" s="50"/>
      <c r="C766" s="5"/>
      <c r="D766" s="48"/>
      <c r="E766" s="50"/>
      <c r="F766" s="5"/>
      <c r="G766" s="5"/>
      <c r="H766" s="5"/>
      <c r="I766" s="5"/>
      <c r="J766" s="5"/>
      <c r="K766" s="50"/>
      <c r="L766" s="50"/>
      <c r="M766" s="50"/>
      <c r="N766" s="50"/>
      <c r="O766" s="50"/>
      <c r="P766" s="50"/>
      <c r="Q766" s="50"/>
      <c r="R766" s="50"/>
      <c r="S766" s="50"/>
      <c r="T766" s="50"/>
      <c r="U766" s="50"/>
      <c r="V766" s="50"/>
      <c r="W766" s="50"/>
      <c r="X766" s="50"/>
      <c r="Y766" s="50"/>
      <c r="Z766" s="50"/>
      <c r="AA766" s="50"/>
      <c r="AB766" s="50"/>
    </row>
    <row r="767" customFormat="false" ht="15.75" hidden="false" customHeight="false" outlineLevel="0" collapsed="false">
      <c r="A767" s="50"/>
      <c r="B767" s="50"/>
      <c r="C767" s="5"/>
      <c r="D767" s="48"/>
      <c r="E767" s="50"/>
      <c r="F767" s="5"/>
      <c r="G767" s="5"/>
      <c r="H767" s="5"/>
      <c r="I767" s="5"/>
      <c r="J767" s="5"/>
      <c r="K767" s="50"/>
      <c r="L767" s="50"/>
      <c r="M767" s="50"/>
      <c r="N767" s="50"/>
      <c r="O767" s="50"/>
      <c r="P767" s="50"/>
      <c r="Q767" s="50"/>
      <c r="R767" s="50"/>
      <c r="S767" s="50"/>
      <c r="T767" s="50"/>
      <c r="U767" s="50"/>
      <c r="V767" s="50"/>
      <c r="W767" s="50"/>
      <c r="X767" s="50"/>
      <c r="Y767" s="50"/>
      <c r="Z767" s="50"/>
      <c r="AA767" s="50"/>
      <c r="AB767" s="50"/>
    </row>
    <row r="768" customFormat="false" ht="15.75" hidden="false" customHeight="false" outlineLevel="0" collapsed="false">
      <c r="A768" s="50"/>
      <c r="B768" s="50"/>
      <c r="C768" s="5"/>
      <c r="D768" s="48"/>
      <c r="E768" s="50"/>
      <c r="F768" s="5"/>
      <c r="G768" s="5"/>
      <c r="H768" s="5"/>
      <c r="I768" s="5"/>
      <c r="J768" s="5"/>
      <c r="K768" s="50"/>
      <c r="L768" s="50"/>
      <c r="M768" s="50"/>
      <c r="N768" s="50"/>
      <c r="O768" s="50"/>
      <c r="P768" s="50"/>
      <c r="Q768" s="50"/>
      <c r="R768" s="50"/>
      <c r="S768" s="50"/>
      <c r="T768" s="50"/>
      <c r="U768" s="50"/>
      <c r="V768" s="50"/>
      <c r="W768" s="50"/>
      <c r="X768" s="50"/>
      <c r="Y768" s="50"/>
      <c r="Z768" s="50"/>
      <c r="AA768" s="50"/>
      <c r="AB768" s="50"/>
    </row>
    <row r="769" customFormat="false" ht="15.75" hidden="false" customHeight="false" outlineLevel="0" collapsed="false">
      <c r="A769" s="50"/>
      <c r="B769" s="50"/>
      <c r="C769" s="5"/>
      <c r="D769" s="48"/>
      <c r="E769" s="50"/>
      <c r="F769" s="5"/>
      <c r="G769" s="5"/>
      <c r="H769" s="5"/>
      <c r="I769" s="5"/>
      <c r="J769" s="5"/>
      <c r="K769" s="50"/>
      <c r="L769" s="50"/>
      <c r="M769" s="50"/>
      <c r="N769" s="50"/>
      <c r="O769" s="50"/>
      <c r="P769" s="50"/>
      <c r="Q769" s="50"/>
      <c r="R769" s="50"/>
      <c r="S769" s="50"/>
      <c r="T769" s="50"/>
      <c r="U769" s="50"/>
      <c r="V769" s="50"/>
      <c r="W769" s="50"/>
      <c r="X769" s="50"/>
      <c r="Y769" s="50"/>
      <c r="Z769" s="50"/>
      <c r="AA769" s="50"/>
      <c r="AB769" s="50"/>
    </row>
    <row r="770" customFormat="false" ht="15.75" hidden="false" customHeight="false" outlineLevel="0" collapsed="false">
      <c r="A770" s="50"/>
      <c r="B770" s="50"/>
      <c r="C770" s="5"/>
      <c r="D770" s="48"/>
      <c r="E770" s="50"/>
      <c r="F770" s="5"/>
      <c r="G770" s="5"/>
      <c r="H770" s="5"/>
      <c r="I770" s="5"/>
      <c r="J770" s="5"/>
      <c r="K770" s="50"/>
      <c r="L770" s="50"/>
      <c r="M770" s="50"/>
      <c r="N770" s="50"/>
      <c r="O770" s="50"/>
      <c r="P770" s="50"/>
      <c r="Q770" s="50"/>
      <c r="R770" s="50"/>
      <c r="S770" s="50"/>
      <c r="T770" s="50"/>
      <c r="U770" s="50"/>
      <c r="V770" s="50"/>
      <c r="W770" s="50"/>
      <c r="X770" s="50"/>
      <c r="Y770" s="50"/>
      <c r="Z770" s="50"/>
      <c r="AA770" s="50"/>
      <c r="AB770" s="50"/>
    </row>
    <row r="771" customFormat="false" ht="15.75" hidden="false" customHeight="false" outlineLevel="0" collapsed="false">
      <c r="A771" s="50"/>
      <c r="B771" s="50"/>
      <c r="C771" s="5"/>
      <c r="D771" s="48"/>
      <c r="E771" s="50"/>
      <c r="F771" s="5"/>
      <c r="G771" s="5"/>
      <c r="H771" s="5"/>
      <c r="I771" s="5"/>
      <c r="J771" s="5"/>
      <c r="K771" s="50"/>
      <c r="L771" s="50"/>
      <c r="M771" s="50"/>
      <c r="N771" s="50"/>
      <c r="O771" s="50"/>
      <c r="P771" s="50"/>
      <c r="Q771" s="50"/>
      <c r="R771" s="50"/>
      <c r="S771" s="50"/>
      <c r="T771" s="50"/>
      <c r="U771" s="50"/>
      <c r="V771" s="50"/>
      <c r="W771" s="50"/>
      <c r="X771" s="50"/>
      <c r="Y771" s="50"/>
      <c r="Z771" s="50"/>
      <c r="AA771" s="50"/>
      <c r="AB771" s="50"/>
    </row>
    <row r="772" customFormat="false" ht="15.75" hidden="false" customHeight="false" outlineLevel="0" collapsed="false">
      <c r="A772" s="50"/>
      <c r="B772" s="50"/>
      <c r="C772" s="5"/>
      <c r="D772" s="48"/>
      <c r="E772" s="50"/>
      <c r="F772" s="5"/>
      <c r="G772" s="5"/>
      <c r="H772" s="5"/>
      <c r="I772" s="5"/>
      <c r="J772" s="5"/>
      <c r="K772" s="50"/>
      <c r="L772" s="50"/>
      <c r="M772" s="50"/>
      <c r="N772" s="50"/>
      <c r="O772" s="50"/>
      <c r="P772" s="50"/>
      <c r="Q772" s="50"/>
      <c r="R772" s="50"/>
      <c r="S772" s="50"/>
      <c r="T772" s="50"/>
      <c r="U772" s="50"/>
      <c r="V772" s="50"/>
      <c r="W772" s="50"/>
      <c r="X772" s="50"/>
      <c r="Y772" s="50"/>
      <c r="Z772" s="50"/>
      <c r="AA772" s="50"/>
      <c r="AB772" s="50"/>
    </row>
    <row r="773" customFormat="false" ht="15.75" hidden="false" customHeight="false" outlineLevel="0" collapsed="false">
      <c r="A773" s="50"/>
      <c r="B773" s="50"/>
      <c r="C773" s="5"/>
      <c r="D773" s="48"/>
      <c r="E773" s="50"/>
      <c r="F773" s="5"/>
      <c r="G773" s="5"/>
      <c r="H773" s="5"/>
      <c r="I773" s="5"/>
      <c r="J773" s="5"/>
      <c r="K773" s="50"/>
      <c r="L773" s="50"/>
      <c r="M773" s="50"/>
      <c r="N773" s="50"/>
      <c r="O773" s="50"/>
      <c r="P773" s="50"/>
      <c r="Q773" s="50"/>
      <c r="R773" s="50"/>
      <c r="S773" s="50"/>
      <c r="T773" s="50"/>
      <c r="U773" s="50"/>
      <c r="V773" s="50"/>
      <c r="W773" s="50"/>
      <c r="X773" s="50"/>
      <c r="Y773" s="50"/>
      <c r="Z773" s="50"/>
      <c r="AA773" s="50"/>
      <c r="AB773" s="50"/>
    </row>
    <row r="774" customFormat="false" ht="15.75" hidden="false" customHeight="false" outlineLevel="0" collapsed="false">
      <c r="A774" s="50"/>
      <c r="B774" s="50"/>
      <c r="C774" s="5"/>
      <c r="D774" s="48"/>
      <c r="E774" s="50"/>
      <c r="F774" s="5"/>
      <c r="G774" s="5"/>
      <c r="H774" s="5"/>
      <c r="I774" s="5"/>
      <c r="J774" s="5"/>
      <c r="K774" s="50"/>
      <c r="L774" s="50"/>
      <c r="M774" s="50"/>
      <c r="N774" s="50"/>
      <c r="O774" s="50"/>
      <c r="P774" s="50"/>
      <c r="Q774" s="50"/>
      <c r="R774" s="50"/>
      <c r="S774" s="50"/>
      <c r="T774" s="50"/>
      <c r="U774" s="50"/>
      <c r="V774" s="50"/>
      <c r="W774" s="50"/>
      <c r="X774" s="50"/>
      <c r="Y774" s="50"/>
      <c r="Z774" s="50"/>
      <c r="AA774" s="50"/>
      <c r="AB774" s="50"/>
    </row>
    <row r="775" customFormat="false" ht="15.75" hidden="false" customHeight="false" outlineLevel="0" collapsed="false">
      <c r="A775" s="50"/>
      <c r="B775" s="50"/>
      <c r="C775" s="5"/>
      <c r="D775" s="48"/>
      <c r="E775" s="50"/>
      <c r="F775" s="5"/>
      <c r="G775" s="5"/>
      <c r="H775" s="5"/>
      <c r="I775" s="5"/>
      <c r="J775" s="5"/>
      <c r="K775" s="50"/>
      <c r="L775" s="50"/>
      <c r="M775" s="50"/>
      <c r="N775" s="50"/>
      <c r="O775" s="50"/>
      <c r="P775" s="50"/>
      <c r="Q775" s="50"/>
      <c r="R775" s="50"/>
      <c r="S775" s="50"/>
      <c r="T775" s="50"/>
      <c r="U775" s="50"/>
      <c r="V775" s="50"/>
      <c r="W775" s="50"/>
      <c r="X775" s="50"/>
      <c r="Y775" s="50"/>
      <c r="Z775" s="50"/>
      <c r="AA775" s="50"/>
      <c r="AB775" s="50"/>
    </row>
    <row r="776" customFormat="false" ht="15.75" hidden="false" customHeight="false" outlineLevel="0" collapsed="false">
      <c r="A776" s="50"/>
      <c r="B776" s="50"/>
      <c r="C776" s="5"/>
      <c r="D776" s="48"/>
      <c r="E776" s="50"/>
      <c r="F776" s="5"/>
      <c r="G776" s="5"/>
      <c r="H776" s="5"/>
      <c r="I776" s="5"/>
      <c r="J776" s="5"/>
      <c r="K776" s="50"/>
      <c r="L776" s="50"/>
      <c r="M776" s="50"/>
      <c r="N776" s="50"/>
      <c r="O776" s="50"/>
      <c r="P776" s="50"/>
      <c r="Q776" s="50"/>
      <c r="R776" s="50"/>
      <c r="S776" s="50"/>
      <c r="T776" s="50"/>
      <c r="U776" s="50"/>
      <c r="V776" s="50"/>
      <c r="W776" s="50"/>
      <c r="X776" s="50"/>
      <c r="Y776" s="50"/>
      <c r="Z776" s="50"/>
      <c r="AA776" s="50"/>
      <c r="AB776" s="50"/>
    </row>
    <row r="777" customFormat="false" ht="15.75" hidden="false" customHeight="false" outlineLevel="0" collapsed="false">
      <c r="A777" s="50"/>
      <c r="B777" s="50"/>
      <c r="C777" s="5"/>
      <c r="D777" s="48"/>
      <c r="E777" s="50"/>
      <c r="F777" s="5"/>
      <c r="G777" s="5"/>
      <c r="H777" s="5"/>
      <c r="I777" s="5"/>
      <c r="J777" s="5"/>
      <c r="K777" s="50"/>
      <c r="L777" s="50"/>
      <c r="M777" s="50"/>
      <c r="N777" s="50"/>
      <c r="O777" s="50"/>
      <c r="P777" s="50"/>
      <c r="Q777" s="50"/>
      <c r="R777" s="50"/>
      <c r="S777" s="50"/>
      <c r="T777" s="50"/>
      <c r="U777" s="50"/>
      <c r="V777" s="50"/>
      <c r="W777" s="50"/>
      <c r="X777" s="50"/>
      <c r="Y777" s="50"/>
      <c r="Z777" s="50"/>
      <c r="AA777" s="50"/>
      <c r="AB777" s="50"/>
    </row>
    <row r="778" customFormat="false" ht="15.75" hidden="false" customHeight="false" outlineLevel="0" collapsed="false">
      <c r="A778" s="50"/>
      <c r="B778" s="50"/>
      <c r="C778" s="5"/>
      <c r="D778" s="48"/>
      <c r="E778" s="50"/>
      <c r="F778" s="5"/>
      <c r="G778" s="5"/>
      <c r="H778" s="5"/>
      <c r="I778" s="5"/>
      <c r="J778" s="5"/>
      <c r="K778" s="50"/>
      <c r="L778" s="50"/>
      <c r="M778" s="50"/>
      <c r="N778" s="50"/>
      <c r="O778" s="50"/>
      <c r="P778" s="50"/>
      <c r="Q778" s="50"/>
      <c r="R778" s="50"/>
      <c r="S778" s="50"/>
      <c r="T778" s="50"/>
      <c r="U778" s="50"/>
      <c r="V778" s="50"/>
      <c r="W778" s="50"/>
      <c r="X778" s="50"/>
      <c r="Y778" s="50"/>
      <c r="Z778" s="50"/>
      <c r="AA778" s="50"/>
      <c r="AB778" s="50"/>
    </row>
    <row r="779" customFormat="false" ht="15.75" hidden="false" customHeight="false" outlineLevel="0" collapsed="false">
      <c r="A779" s="50"/>
      <c r="B779" s="50"/>
      <c r="C779" s="5"/>
      <c r="D779" s="48"/>
      <c r="E779" s="50"/>
      <c r="F779" s="5"/>
      <c r="G779" s="5"/>
      <c r="H779" s="5"/>
      <c r="I779" s="5"/>
      <c r="J779" s="5"/>
      <c r="K779" s="50"/>
      <c r="L779" s="50"/>
      <c r="M779" s="50"/>
      <c r="N779" s="50"/>
      <c r="O779" s="50"/>
      <c r="P779" s="50"/>
      <c r="Q779" s="50"/>
      <c r="R779" s="50"/>
      <c r="S779" s="50"/>
      <c r="T779" s="50"/>
      <c r="U779" s="50"/>
      <c r="V779" s="50"/>
      <c r="W779" s="50"/>
      <c r="X779" s="50"/>
      <c r="Y779" s="50"/>
      <c r="Z779" s="50"/>
      <c r="AA779" s="50"/>
      <c r="AB779" s="50"/>
    </row>
    <row r="780" customFormat="false" ht="15.75" hidden="false" customHeight="false" outlineLevel="0" collapsed="false">
      <c r="A780" s="50"/>
      <c r="B780" s="50"/>
      <c r="C780" s="5"/>
      <c r="D780" s="48"/>
      <c r="E780" s="50"/>
      <c r="F780" s="5"/>
      <c r="G780" s="5"/>
      <c r="H780" s="5"/>
      <c r="I780" s="5"/>
      <c r="J780" s="5"/>
      <c r="K780" s="50"/>
      <c r="L780" s="50"/>
      <c r="M780" s="50"/>
      <c r="N780" s="50"/>
      <c r="O780" s="50"/>
      <c r="P780" s="50"/>
      <c r="Q780" s="50"/>
      <c r="R780" s="50"/>
      <c r="S780" s="50"/>
      <c r="T780" s="50"/>
      <c r="U780" s="50"/>
      <c r="V780" s="50"/>
      <c r="W780" s="50"/>
      <c r="X780" s="50"/>
      <c r="Y780" s="50"/>
      <c r="Z780" s="50"/>
      <c r="AA780" s="50"/>
      <c r="AB780" s="50"/>
    </row>
    <row r="781" customFormat="false" ht="15.75" hidden="false" customHeight="false" outlineLevel="0" collapsed="false">
      <c r="A781" s="50"/>
      <c r="B781" s="50"/>
      <c r="C781" s="5"/>
      <c r="D781" s="48"/>
      <c r="E781" s="50"/>
      <c r="F781" s="5"/>
      <c r="G781" s="5"/>
      <c r="H781" s="5"/>
      <c r="I781" s="5"/>
      <c r="J781" s="5"/>
      <c r="K781" s="50"/>
      <c r="L781" s="50"/>
      <c r="M781" s="50"/>
      <c r="N781" s="50"/>
      <c r="O781" s="50"/>
      <c r="P781" s="50"/>
      <c r="Q781" s="50"/>
      <c r="R781" s="50"/>
      <c r="S781" s="50"/>
      <c r="T781" s="50"/>
      <c r="U781" s="50"/>
      <c r="V781" s="50"/>
      <c r="W781" s="50"/>
      <c r="X781" s="50"/>
      <c r="Y781" s="50"/>
      <c r="Z781" s="50"/>
      <c r="AA781" s="50"/>
      <c r="AB781" s="50"/>
    </row>
    <row r="782" customFormat="false" ht="15.75" hidden="false" customHeight="false" outlineLevel="0" collapsed="false">
      <c r="A782" s="50"/>
      <c r="B782" s="50"/>
      <c r="C782" s="5"/>
      <c r="D782" s="48"/>
      <c r="E782" s="50"/>
      <c r="F782" s="5"/>
      <c r="G782" s="5"/>
      <c r="H782" s="5"/>
      <c r="I782" s="5"/>
      <c r="J782" s="5"/>
      <c r="K782" s="50"/>
      <c r="L782" s="50"/>
      <c r="M782" s="50"/>
      <c r="N782" s="50"/>
      <c r="O782" s="50"/>
      <c r="P782" s="50"/>
      <c r="Q782" s="50"/>
      <c r="R782" s="50"/>
      <c r="S782" s="50"/>
      <c r="T782" s="50"/>
      <c r="U782" s="50"/>
      <c r="V782" s="50"/>
      <c r="W782" s="50"/>
      <c r="X782" s="50"/>
      <c r="Y782" s="50"/>
      <c r="Z782" s="50"/>
      <c r="AA782" s="50"/>
      <c r="AB782" s="50"/>
    </row>
    <row r="783" customFormat="false" ht="15.75" hidden="false" customHeight="false" outlineLevel="0" collapsed="false">
      <c r="A783" s="50"/>
      <c r="B783" s="50"/>
      <c r="C783" s="5"/>
      <c r="D783" s="48"/>
      <c r="E783" s="50"/>
      <c r="F783" s="5"/>
      <c r="G783" s="5"/>
      <c r="H783" s="5"/>
      <c r="I783" s="5"/>
      <c r="J783" s="5"/>
      <c r="K783" s="50"/>
      <c r="L783" s="50"/>
      <c r="M783" s="50"/>
      <c r="N783" s="50"/>
      <c r="O783" s="50"/>
      <c r="P783" s="50"/>
      <c r="Q783" s="50"/>
      <c r="R783" s="50"/>
      <c r="S783" s="50"/>
      <c r="T783" s="50"/>
      <c r="U783" s="50"/>
      <c r="V783" s="50"/>
      <c r="W783" s="50"/>
      <c r="X783" s="50"/>
      <c r="Y783" s="50"/>
      <c r="Z783" s="50"/>
      <c r="AA783" s="50"/>
      <c r="AB783" s="50"/>
    </row>
    <row r="784" customFormat="false" ht="15.75" hidden="false" customHeight="false" outlineLevel="0" collapsed="false">
      <c r="A784" s="50"/>
      <c r="B784" s="50"/>
      <c r="C784" s="5"/>
      <c r="D784" s="48"/>
      <c r="E784" s="50"/>
      <c r="F784" s="5"/>
      <c r="G784" s="5"/>
      <c r="H784" s="5"/>
      <c r="I784" s="5"/>
      <c r="J784" s="5"/>
      <c r="K784" s="50"/>
      <c r="L784" s="50"/>
      <c r="M784" s="50"/>
      <c r="N784" s="50"/>
      <c r="O784" s="50"/>
      <c r="P784" s="50"/>
      <c r="Q784" s="50"/>
      <c r="R784" s="50"/>
      <c r="S784" s="50"/>
      <c r="T784" s="50"/>
      <c r="U784" s="50"/>
      <c r="V784" s="50"/>
      <c r="W784" s="50"/>
      <c r="X784" s="50"/>
      <c r="Y784" s="50"/>
      <c r="Z784" s="50"/>
      <c r="AA784" s="50"/>
      <c r="AB784" s="50"/>
    </row>
    <row r="785" customFormat="false" ht="15.75" hidden="false" customHeight="false" outlineLevel="0" collapsed="false">
      <c r="A785" s="50"/>
      <c r="B785" s="50"/>
      <c r="C785" s="5"/>
      <c r="D785" s="48"/>
      <c r="E785" s="50"/>
      <c r="F785" s="5"/>
      <c r="G785" s="5"/>
      <c r="H785" s="5"/>
      <c r="I785" s="5"/>
      <c r="J785" s="5"/>
      <c r="K785" s="50"/>
      <c r="L785" s="50"/>
      <c r="M785" s="50"/>
      <c r="N785" s="50"/>
      <c r="O785" s="50"/>
      <c r="P785" s="50"/>
      <c r="Q785" s="50"/>
      <c r="R785" s="50"/>
      <c r="S785" s="50"/>
      <c r="T785" s="50"/>
      <c r="U785" s="50"/>
      <c r="V785" s="50"/>
      <c r="W785" s="50"/>
      <c r="X785" s="50"/>
      <c r="Y785" s="50"/>
      <c r="Z785" s="50"/>
      <c r="AA785" s="50"/>
      <c r="AB785" s="50"/>
    </row>
    <row r="786" customFormat="false" ht="15.75" hidden="false" customHeight="false" outlineLevel="0" collapsed="false">
      <c r="A786" s="50"/>
      <c r="B786" s="50"/>
      <c r="C786" s="5"/>
      <c r="D786" s="48"/>
      <c r="E786" s="50"/>
      <c r="F786" s="5"/>
      <c r="G786" s="5"/>
      <c r="H786" s="5"/>
      <c r="I786" s="5"/>
      <c r="J786" s="5"/>
      <c r="K786" s="50"/>
      <c r="L786" s="50"/>
      <c r="M786" s="50"/>
      <c r="N786" s="50"/>
      <c r="O786" s="50"/>
      <c r="P786" s="50"/>
      <c r="Q786" s="50"/>
      <c r="R786" s="50"/>
      <c r="S786" s="50"/>
      <c r="T786" s="50"/>
      <c r="U786" s="50"/>
      <c r="V786" s="50"/>
      <c r="W786" s="50"/>
      <c r="X786" s="50"/>
      <c r="Y786" s="50"/>
      <c r="Z786" s="50"/>
      <c r="AA786" s="50"/>
      <c r="AB786" s="50"/>
    </row>
    <row r="787" customFormat="false" ht="15.75" hidden="false" customHeight="false" outlineLevel="0" collapsed="false">
      <c r="A787" s="50"/>
      <c r="B787" s="50"/>
      <c r="C787" s="5"/>
      <c r="D787" s="48"/>
      <c r="E787" s="50"/>
      <c r="F787" s="5"/>
      <c r="G787" s="5"/>
      <c r="H787" s="5"/>
      <c r="I787" s="5"/>
      <c r="J787" s="5"/>
      <c r="K787" s="50"/>
      <c r="L787" s="50"/>
      <c r="M787" s="50"/>
      <c r="N787" s="50"/>
      <c r="O787" s="50"/>
      <c r="P787" s="50"/>
      <c r="Q787" s="50"/>
      <c r="R787" s="50"/>
      <c r="S787" s="50"/>
      <c r="T787" s="50"/>
      <c r="U787" s="50"/>
      <c r="V787" s="50"/>
      <c r="W787" s="50"/>
      <c r="X787" s="50"/>
      <c r="Y787" s="50"/>
      <c r="Z787" s="50"/>
      <c r="AA787" s="50"/>
      <c r="AB787" s="50"/>
    </row>
    <row r="788" customFormat="false" ht="15.75" hidden="false" customHeight="false" outlineLevel="0" collapsed="false">
      <c r="A788" s="50"/>
      <c r="B788" s="50"/>
      <c r="C788" s="5"/>
      <c r="D788" s="48"/>
      <c r="E788" s="50"/>
      <c r="F788" s="5"/>
      <c r="G788" s="5"/>
      <c r="H788" s="5"/>
      <c r="I788" s="5"/>
      <c r="J788" s="5"/>
      <c r="K788" s="50"/>
      <c r="L788" s="50"/>
      <c r="M788" s="50"/>
      <c r="N788" s="50"/>
      <c r="O788" s="50"/>
      <c r="P788" s="50"/>
      <c r="Q788" s="50"/>
      <c r="R788" s="50"/>
      <c r="S788" s="50"/>
      <c r="T788" s="50"/>
      <c r="U788" s="50"/>
      <c r="V788" s="50"/>
      <c r="W788" s="50"/>
      <c r="X788" s="50"/>
      <c r="Y788" s="50"/>
      <c r="Z788" s="50"/>
      <c r="AA788" s="50"/>
      <c r="AB788" s="50"/>
    </row>
    <row r="789" customFormat="false" ht="15.75" hidden="false" customHeight="false" outlineLevel="0" collapsed="false">
      <c r="A789" s="50"/>
      <c r="B789" s="50"/>
      <c r="C789" s="5"/>
      <c r="D789" s="48"/>
      <c r="E789" s="50"/>
      <c r="F789" s="5"/>
      <c r="G789" s="5"/>
      <c r="H789" s="5"/>
      <c r="I789" s="5"/>
      <c r="J789" s="5"/>
      <c r="K789" s="50"/>
      <c r="L789" s="50"/>
      <c r="M789" s="50"/>
      <c r="N789" s="50"/>
      <c r="O789" s="50"/>
      <c r="P789" s="50"/>
      <c r="Q789" s="50"/>
      <c r="R789" s="50"/>
      <c r="S789" s="50"/>
      <c r="T789" s="50"/>
      <c r="U789" s="50"/>
      <c r="V789" s="50"/>
      <c r="W789" s="50"/>
      <c r="X789" s="50"/>
      <c r="Y789" s="50"/>
      <c r="Z789" s="50"/>
      <c r="AA789" s="50"/>
      <c r="AB789" s="50"/>
    </row>
    <row r="790" customFormat="false" ht="15.75" hidden="false" customHeight="false" outlineLevel="0" collapsed="false">
      <c r="A790" s="50"/>
      <c r="B790" s="50"/>
      <c r="C790" s="5"/>
      <c r="D790" s="48"/>
      <c r="E790" s="50"/>
      <c r="F790" s="5"/>
      <c r="G790" s="5"/>
      <c r="H790" s="5"/>
      <c r="I790" s="5"/>
      <c r="J790" s="5"/>
      <c r="K790" s="50"/>
      <c r="L790" s="50"/>
      <c r="M790" s="50"/>
      <c r="N790" s="50"/>
      <c r="O790" s="50"/>
      <c r="P790" s="50"/>
      <c r="Q790" s="50"/>
      <c r="R790" s="50"/>
      <c r="S790" s="50"/>
      <c r="T790" s="50"/>
      <c r="U790" s="50"/>
      <c r="V790" s="50"/>
      <c r="W790" s="50"/>
      <c r="X790" s="50"/>
      <c r="Y790" s="50"/>
      <c r="Z790" s="50"/>
      <c r="AA790" s="50"/>
      <c r="AB790" s="50"/>
    </row>
    <row r="791" customFormat="false" ht="15.75" hidden="false" customHeight="false" outlineLevel="0" collapsed="false">
      <c r="A791" s="50"/>
      <c r="B791" s="50"/>
      <c r="C791" s="5"/>
      <c r="D791" s="48"/>
      <c r="E791" s="50"/>
      <c r="F791" s="5"/>
      <c r="G791" s="5"/>
      <c r="H791" s="5"/>
      <c r="I791" s="5"/>
      <c r="J791" s="5"/>
      <c r="K791" s="50"/>
      <c r="L791" s="50"/>
      <c r="M791" s="50"/>
      <c r="N791" s="50"/>
      <c r="O791" s="50"/>
      <c r="P791" s="50"/>
      <c r="Q791" s="50"/>
      <c r="R791" s="50"/>
      <c r="S791" s="50"/>
      <c r="T791" s="50"/>
      <c r="U791" s="50"/>
      <c r="V791" s="50"/>
      <c r="W791" s="50"/>
      <c r="X791" s="50"/>
      <c r="Y791" s="50"/>
      <c r="Z791" s="50"/>
      <c r="AA791" s="50"/>
      <c r="AB791" s="50"/>
    </row>
    <row r="792" customFormat="false" ht="15.75" hidden="false" customHeight="false" outlineLevel="0" collapsed="false">
      <c r="A792" s="50"/>
      <c r="B792" s="50"/>
      <c r="C792" s="5"/>
      <c r="D792" s="48"/>
      <c r="E792" s="50"/>
      <c r="F792" s="5"/>
      <c r="G792" s="5"/>
      <c r="H792" s="5"/>
      <c r="I792" s="5"/>
      <c r="J792" s="5"/>
      <c r="K792" s="50"/>
      <c r="L792" s="50"/>
      <c r="M792" s="50"/>
      <c r="N792" s="50"/>
      <c r="O792" s="50"/>
      <c r="P792" s="50"/>
      <c r="Q792" s="50"/>
      <c r="R792" s="50"/>
      <c r="S792" s="50"/>
      <c r="T792" s="50"/>
      <c r="U792" s="50"/>
      <c r="V792" s="50"/>
      <c r="W792" s="50"/>
      <c r="X792" s="50"/>
      <c r="Y792" s="50"/>
      <c r="Z792" s="50"/>
      <c r="AA792" s="50"/>
      <c r="AB792" s="50"/>
    </row>
    <row r="793" customFormat="false" ht="15.75" hidden="false" customHeight="false" outlineLevel="0" collapsed="false">
      <c r="A793" s="50"/>
      <c r="B793" s="50"/>
      <c r="C793" s="5"/>
      <c r="D793" s="48"/>
      <c r="E793" s="50"/>
      <c r="F793" s="5"/>
      <c r="G793" s="5"/>
      <c r="H793" s="5"/>
      <c r="I793" s="5"/>
      <c r="J793" s="5"/>
      <c r="K793" s="50"/>
      <c r="L793" s="50"/>
      <c r="M793" s="50"/>
      <c r="N793" s="50"/>
      <c r="O793" s="50"/>
      <c r="P793" s="50"/>
      <c r="Q793" s="50"/>
      <c r="R793" s="50"/>
      <c r="S793" s="50"/>
      <c r="T793" s="50"/>
      <c r="U793" s="50"/>
      <c r="V793" s="50"/>
      <c r="W793" s="50"/>
      <c r="X793" s="50"/>
      <c r="Y793" s="50"/>
      <c r="Z793" s="50"/>
      <c r="AA793" s="50"/>
      <c r="AB793" s="50"/>
    </row>
    <row r="794" customFormat="false" ht="15.75" hidden="false" customHeight="false" outlineLevel="0" collapsed="false">
      <c r="A794" s="50"/>
      <c r="B794" s="50"/>
      <c r="C794" s="5"/>
      <c r="D794" s="48"/>
      <c r="E794" s="50"/>
      <c r="F794" s="5"/>
      <c r="G794" s="5"/>
      <c r="H794" s="5"/>
      <c r="I794" s="5"/>
      <c r="J794" s="5"/>
      <c r="K794" s="50"/>
      <c r="L794" s="50"/>
      <c r="M794" s="50"/>
      <c r="N794" s="50"/>
      <c r="O794" s="50"/>
      <c r="P794" s="50"/>
      <c r="Q794" s="50"/>
      <c r="R794" s="50"/>
      <c r="S794" s="50"/>
      <c r="T794" s="50"/>
      <c r="U794" s="50"/>
      <c r="V794" s="50"/>
      <c r="W794" s="50"/>
      <c r="X794" s="50"/>
      <c r="Y794" s="50"/>
      <c r="Z794" s="50"/>
      <c r="AA794" s="50"/>
      <c r="AB794" s="50"/>
    </row>
    <row r="795" customFormat="false" ht="15.75" hidden="false" customHeight="false" outlineLevel="0" collapsed="false">
      <c r="A795" s="50"/>
      <c r="B795" s="50"/>
      <c r="C795" s="5"/>
      <c r="D795" s="48"/>
      <c r="E795" s="50"/>
      <c r="F795" s="5"/>
      <c r="G795" s="5"/>
      <c r="H795" s="5"/>
      <c r="I795" s="5"/>
      <c r="J795" s="5"/>
      <c r="K795" s="50"/>
      <c r="L795" s="50"/>
      <c r="M795" s="50"/>
      <c r="N795" s="50"/>
      <c r="O795" s="50"/>
      <c r="P795" s="50"/>
      <c r="Q795" s="50"/>
      <c r="R795" s="50"/>
      <c r="S795" s="50"/>
      <c r="T795" s="50"/>
      <c r="U795" s="50"/>
      <c r="V795" s="50"/>
      <c r="W795" s="50"/>
      <c r="X795" s="50"/>
      <c r="Y795" s="50"/>
      <c r="Z795" s="50"/>
      <c r="AA795" s="50"/>
      <c r="AB795" s="50"/>
    </row>
    <row r="796" customFormat="false" ht="15.75" hidden="false" customHeight="false" outlineLevel="0" collapsed="false">
      <c r="A796" s="50"/>
      <c r="B796" s="50"/>
      <c r="C796" s="5"/>
      <c r="D796" s="48"/>
      <c r="E796" s="50"/>
      <c r="F796" s="5"/>
      <c r="G796" s="5"/>
      <c r="H796" s="5"/>
      <c r="I796" s="5"/>
      <c r="J796" s="5"/>
      <c r="K796" s="50"/>
      <c r="L796" s="50"/>
      <c r="M796" s="50"/>
      <c r="N796" s="50"/>
      <c r="O796" s="50"/>
      <c r="P796" s="50"/>
      <c r="Q796" s="50"/>
      <c r="R796" s="50"/>
      <c r="S796" s="50"/>
      <c r="T796" s="50"/>
      <c r="U796" s="50"/>
      <c r="V796" s="50"/>
      <c r="W796" s="50"/>
      <c r="X796" s="50"/>
      <c r="Y796" s="50"/>
      <c r="Z796" s="50"/>
      <c r="AA796" s="50"/>
      <c r="AB796" s="50"/>
    </row>
    <row r="797" customFormat="false" ht="15.75" hidden="false" customHeight="false" outlineLevel="0" collapsed="false">
      <c r="A797" s="50"/>
      <c r="B797" s="50"/>
      <c r="C797" s="5"/>
      <c r="D797" s="48"/>
      <c r="E797" s="50"/>
      <c r="F797" s="5"/>
      <c r="G797" s="5"/>
      <c r="H797" s="5"/>
      <c r="I797" s="5"/>
      <c r="J797" s="5"/>
      <c r="K797" s="50"/>
      <c r="L797" s="50"/>
      <c r="M797" s="50"/>
      <c r="N797" s="50"/>
      <c r="O797" s="50"/>
      <c r="P797" s="50"/>
      <c r="Q797" s="50"/>
      <c r="R797" s="50"/>
      <c r="S797" s="50"/>
      <c r="T797" s="50"/>
      <c r="U797" s="50"/>
      <c r="V797" s="50"/>
      <c r="W797" s="50"/>
      <c r="X797" s="50"/>
      <c r="Y797" s="50"/>
      <c r="Z797" s="50"/>
      <c r="AA797" s="50"/>
      <c r="AB797" s="50"/>
    </row>
    <row r="798" customFormat="false" ht="15.75" hidden="false" customHeight="false" outlineLevel="0" collapsed="false">
      <c r="A798" s="50"/>
      <c r="B798" s="50"/>
      <c r="C798" s="5"/>
      <c r="D798" s="48"/>
      <c r="E798" s="50"/>
      <c r="F798" s="5"/>
      <c r="G798" s="5"/>
      <c r="H798" s="5"/>
      <c r="I798" s="5"/>
      <c r="J798" s="5"/>
      <c r="K798" s="50"/>
      <c r="L798" s="50"/>
      <c r="M798" s="50"/>
      <c r="N798" s="50"/>
      <c r="O798" s="50"/>
      <c r="P798" s="50"/>
      <c r="Q798" s="50"/>
      <c r="R798" s="50"/>
      <c r="S798" s="50"/>
      <c r="T798" s="50"/>
      <c r="U798" s="50"/>
      <c r="V798" s="50"/>
      <c r="W798" s="50"/>
      <c r="X798" s="50"/>
      <c r="Y798" s="50"/>
      <c r="Z798" s="50"/>
      <c r="AA798" s="50"/>
      <c r="AB798" s="50"/>
    </row>
    <row r="799" customFormat="false" ht="15.75" hidden="false" customHeight="false" outlineLevel="0" collapsed="false">
      <c r="A799" s="50"/>
      <c r="B799" s="50"/>
      <c r="C799" s="5"/>
      <c r="D799" s="48"/>
      <c r="E799" s="50"/>
      <c r="F799" s="5"/>
      <c r="G799" s="5"/>
      <c r="H799" s="5"/>
      <c r="I799" s="5"/>
      <c r="J799" s="5"/>
      <c r="K799" s="50"/>
      <c r="L799" s="50"/>
      <c r="M799" s="50"/>
      <c r="N799" s="50"/>
      <c r="O799" s="50"/>
      <c r="P799" s="50"/>
      <c r="Q799" s="50"/>
      <c r="R799" s="50"/>
      <c r="S799" s="50"/>
      <c r="T799" s="50"/>
      <c r="U799" s="50"/>
      <c r="V799" s="50"/>
      <c r="W799" s="50"/>
      <c r="X799" s="50"/>
      <c r="Y799" s="50"/>
      <c r="Z799" s="50"/>
      <c r="AA799" s="50"/>
      <c r="AB799" s="50"/>
    </row>
    <row r="800" customFormat="false" ht="15.75" hidden="false" customHeight="false" outlineLevel="0" collapsed="false">
      <c r="A800" s="50"/>
      <c r="B800" s="50"/>
      <c r="C800" s="5"/>
      <c r="D800" s="48"/>
      <c r="E800" s="50"/>
      <c r="F800" s="5"/>
      <c r="G800" s="5"/>
      <c r="H800" s="5"/>
      <c r="I800" s="5"/>
      <c r="J800" s="5"/>
      <c r="K800" s="50"/>
      <c r="L800" s="50"/>
      <c r="M800" s="50"/>
      <c r="N800" s="50"/>
      <c r="O800" s="50"/>
      <c r="P800" s="50"/>
      <c r="Q800" s="50"/>
      <c r="R800" s="50"/>
      <c r="S800" s="50"/>
      <c r="T800" s="50"/>
      <c r="U800" s="50"/>
      <c r="V800" s="50"/>
      <c r="W800" s="50"/>
      <c r="X800" s="50"/>
      <c r="Y800" s="50"/>
      <c r="Z800" s="50"/>
      <c r="AA800" s="50"/>
      <c r="AB800" s="50"/>
    </row>
    <row r="801" customFormat="false" ht="15.75" hidden="false" customHeight="false" outlineLevel="0" collapsed="false">
      <c r="A801" s="50"/>
      <c r="B801" s="50"/>
      <c r="C801" s="5"/>
      <c r="D801" s="48"/>
      <c r="E801" s="50"/>
      <c r="F801" s="5"/>
      <c r="G801" s="5"/>
      <c r="H801" s="5"/>
      <c r="I801" s="5"/>
      <c r="J801" s="5"/>
      <c r="K801" s="50"/>
      <c r="L801" s="50"/>
      <c r="M801" s="50"/>
      <c r="N801" s="50"/>
      <c r="O801" s="50"/>
      <c r="P801" s="50"/>
      <c r="Q801" s="50"/>
      <c r="R801" s="50"/>
      <c r="S801" s="50"/>
      <c r="T801" s="50"/>
      <c r="U801" s="50"/>
      <c r="V801" s="50"/>
      <c r="W801" s="50"/>
      <c r="X801" s="50"/>
      <c r="Y801" s="50"/>
      <c r="Z801" s="50"/>
      <c r="AA801" s="50"/>
      <c r="AB801" s="50"/>
    </row>
    <row r="802" customFormat="false" ht="15.75" hidden="false" customHeight="false" outlineLevel="0" collapsed="false">
      <c r="A802" s="50"/>
      <c r="B802" s="50"/>
      <c r="C802" s="5"/>
      <c r="D802" s="48"/>
      <c r="E802" s="50"/>
      <c r="F802" s="5"/>
      <c r="G802" s="5"/>
      <c r="H802" s="5"/>
      <c r="I802" s="5"/>
      <c r="J802" s="5"/>
      <c r="K802" s="50"/>
      <c r="L802" s="50"/>
      <c r="M802" s="50"/>
      <c r="N802" s="50"/>
      <c r="O802" s="50"/>
      <c r="P802" s="50"/>
      <c r="Q802" s="50"/>
      <c r="R802" s="50"/>
      <c r="S802" s="50"/>
      <c r="T802" s="50"/>
      <c r="U802" s="50"/>
      <c r="V802" s="50"/>
      <c r="W802" s="50"/>
      <c r="X802" s="50"/>
      <c r="Y802" s="50"/>
      <c r="Z802" s="50"/>
      <c r="AA802" s="50"/>
      <c r="AB802" s="50"/>
    </row>
    <row r="803" customFormat="false" ht="15.75" hidden="false" customHeight="false" outlineLevel="0" collapsed="false">
      <c r="A803" s="50"/>
      <c r="B803" s="50"/>
      <c r="C803" s="5"/>
      <c r="D803" s="48"/>
      <c r="E803" s="50"/>
      <c r="F803" s="5"/>
      <c r="G803" s="5"/>
      <c r="H803" s="5"/>
      <c r="I803" s="5"/>
      <c r="J803" s="5"/>
      <c r="K803" s="50"/>
      <c r="L803" s="50"/>
      <c r="M803" s="50"/>
      <c r="N803" s="50"/>
      <c r="O803" s="50"/>
      <c r="P803" s="50"/>
      <c r="Q803" s="50"/>
      <c r="R803" s="50"/>
      <c r="S803" s="50"/>
      <c r="T803" s="50"/>
      <c r="U803" s="50"/>
      <c r="V803" s="50"/>
      <c r="W803" s="50"/>
      <c r="X803" s="50"/>
      <c r="Y803" s="50"/>
      <c r="Z803" s="50"/>
      <c r="AA803" s="50"/>
      <c r="AB803" s="50"/>
    </row>
    <row r="804" customFormat="false" ht="15.75" hidden="false" customHeight="false" outlineLevel="0" collapsed="false">
      <c r="A804" s="50"/>
      <c r="B804" s="50"/>
      <c r="C804" s="5"/>
      <c r="D804" s="48"/>
      <c r="E804" s="50"/>
      <c r="F804" s="5"/>
      <c r="G804" s="5"/>
      <c r="H804" s="5"/>
      <c r="I804" s="5"/>
      <c r="J804" s="5"/>
      <c r="K804" s="50"/>
      <c r="L804" s="50"/>
      <c r="M804" s="50"/>
      <c r="N804" s="50"/>
      <c r="O804" s="50"/>
      <c r="P804" s="50"/>
      <c r="Q804" s="50"/>
      <c r="R804" s="50"/>
      <c r="S804" s="50"/>
      <c r="T804" s="50"/>
      <c r="U804" s="50"/>
      <c r="V804" s="50"/>
      <c r="W804" s="50"/>
      <c r="X804" s="50"/>
      <c r="Y804" s="50"/>
      <c r="Z804" s="50"/>
      <c r="AA804" s="50"/>
      <c r="AB804" s="50"/>
    </row>
    <row r="805" customFormat="false" ht="15.75" hidden="false" customHeight="false" outlineLevel="0" collapsed="false">
      <c r="A805" s="50"/>
      <c r="B805" s="50"/>
      <c r="C805" s="5"/>
      <c r="D805" s="48"/>
      <c r="E805" s="50"/>
      <c r="F805" s="5"/>
      <c r="G805" s="5"/>
      <c r="H805" s="5"/>
      <c r="I805" s="5"/>
      <c r="J805" s="5"/>
      <c r="K805" s="50"/>
      <c r="L805" s="50"/>
      <c r="M805" s="50"/>
      <c r="N805" s="50"/>
      <c r="O805" s="50"/>
      <c r="P805" s="50"/>
      <c r="Q805" s="50"/>
      <c r="R805" s="50"/>
      <c r="S805" s="50"/>
      <c r="T805" s="50"/>
      <c r="U805" s="50"/>
      <c r="V805" s="50"/>
      <c r="W805" s="50"/>
      <c r="X805" s="50"/>
      <c r="Y805" s="50"/>
      <c r="Z805" s="50"/>
      <c r="AA805" s="50"/>
      <c r="AB805" s="50"/>
    </row>
    <row r="806" customFormat="false" ht="15.75" hidden="false" customHeight="false" outlineLevel="0" collapsed="false">
      <c r="A806" s="50"/>
      <c r="B806" s="50"/>
      <c r="C806" s="5"/>
      <c r="D806" s="48"/>
      <c r="E806" s="50"/>
      <c r="F806" s="5"/>
      <c r="G806" s="5"/>
      <c r="H806" s="5"/>
      <c r="I806" s="5"/>
      <c r="J806" s="5"/>
      <c r="K806" s="50"/>
      <c r="L806" s="50"/>
      <c r="M806" s="50"/>
      <c r="N806" s="50"/>
      <c r="O806" s="50"/>
      <c r="P806" s="50"/>
      <c r="Q806" s="50"/>
      <c r="R806" s="50"/>
      <c r="S806" s="50"/>
      <c r="T806" s="50"/>
      <c r="U806" s="50"/>
      <c r="V806" s="50"/>
      <c r="W806" s="50"/>
      <c r="X806" s="50"/>
      <c r="Y806" s="50"/>
      <c r="Z806" s="50"/>
      <c r="AA806" s="50"/>
      <c r="AB806" s="50"/>
    </row>
    <row r="807" customFormat="false" ht="15.75" hidden="false" customHeight="false" outlineLevel="0" collapsed="false">
      <c r="A807" s="50"/>
      <c r="B807" s="50"/>
      <c r="C807" s="5"/>
      <c r="D807" s="48"/>
      <c r="E807" s="50"/>
      <c r="F807" s="5"/>
      <c r="G807" s="5"/>
      <c r="H807" s="5"/>
      <c r="I807" s="5"/>
      <c r="J807" s="5"/>
      <c r="K807" s="50"/>
      <c r="L807" s="50"/>
      <c r="M807" s="50"/>
      <c r="N807" s="50"/>
      <c r="O807" s="50"/>
      <c r="P807" s="50"/>
      <c r="Q807" s="50"/>
      <c r="R807" s="50"/>
      <c r="S807" s="50"/>
      <c r="T807" s="50"/>
      <c r="U807" s="50"/>
      <c r="V807" s="50"/>
      <c r="W807" s="50"/>
      <c r="X807" s="50"/>
      <c r="Y807" s="50"/>
      <c r="Z807" s="50"/>
      <c r="AA807" s="50"/>
      <c r="AB807" s="50"/>
    </row>
    <row r="808" customFormat="false" ht="15.75" hidden="false" customHeight="false" outlineLevel="0" collapsed="false">
      <c r="A808" s="50"/>
      <c r="B808" s="50"/>
      <c r="C808" s="5"/>
      <c r="D808" s="48"/>
      <c r="E808" s="50"/>
      <c r="F808" s="5"/>
      <c r="G808" s="5"/>
      <c r="H808" s="5"/>
      <c r="I808" s="5"/>
      <c r="J808" s="5"/>
      <c r="K808" s="50"/>
      <c r="L808" s="50"/>
      <c r="M808" s="50"/>
      <c r="N808" s="50"/>
      <c r="O808" s="50"/>
      <c r="P808" s="50"/>
      <c r="Q808" s="50"/>
      <c r="R808" s="50"/>
      <c r="S808" s="50"/>
      <c r="T808" s="50"/>
      <c r="U808" s="50"/>
      <c r="V808" s="50"/>
      <c r="W808" s="50"/>
      <c r="X808" s="50"/>
      <c r="Y808" s="50"/>
      <c r="Z808" s="50"/>
      <c r="AA808" s="50"/>
      <c r="AB808" s="50"/>
    </row>
    <row r="809" customFormat="false" ht="15.75" hidden="false" customHeight="false" outlineLevel="0" collapsed="false">
      <c r="A809" s="50"/>
      <c r="B809" s="50"/>
      <c r="C809" s="5"/>
      <c r="D809" s="48"/>
      <c r="E809" s="50"/>
      <c r="F809" s="5"/>
      <c r="G809" s="5"/>
      <c r="H809" s="5"/>
      <c r="I809" s="5"/>
      <c r="J809" s="5"/>
      <c r="K809" s="50"/>
      <c r="L809" s="50"/>
      <c r="M809" s="50"/>
      <c r="N809" s="50"/>
      <c r="O809" s="50"/>
      <c r="P809" s="50"/>
      <c r="Q809" s="50"/>
      <c r="R809" s="50"/>
      <c r="S809" s="50"/>
      <c r="T809" s="50"/>
      <c r="U809" s="50"/>
      <c r="V809" s="50"/>
      <c r="W809" s="50"/>
      <c r="X809" s="50"/>
      <c r="Y809" s="50"/>
      <c r="Z809" s="50"/>
      <c r="AA809" s="50"/>
      <c r="AB809" s="50"/>
    </row>
    <row r="810" customFormat="false" ht="15.75" hidden="false" customHeight="false" outlineLevel="0" collapsed="false">
      <c r="A810" s="50"/>
      <c r="B810" s="50"/>
      <c r="C810" s="5"/>
      <c r="D810" s="48"/>
      <c r="E810" s="50"/>
      <c r="F810" s="5"/>
      <c r="G810" s="5"/>
      <c r="H810" s="5"/>
      <c r="I810" s="5"/>
      <c r="J810" s="5"/>
      <c r="K810" s="50"/>
      <c r="L810" s="50"/>
      <c r="M810" s="50"/>
      <c r="N810" s="50"/>
      <c r="O810" s="50"/>
      <c r="P810" s="50"/>
      <c r="Q810" s="50"/>
      <c r="R810" s="50"/>
      <c r="S810" s="50"/>
      <c r="T810" s="50"/>
      <c r="U810" s="50"/>
      <c r="V810" s="50"/>
      <c r="W810" s="50"/>
      <c r="X810" s="50"/>
      <c r="Y810" s="50"/>
      <c r="Z810" s="50"/>
      <c r="AA810" s="50"/>
      <c r="AB810" s="50"/>
    </row>
    <row r="811" customFormat="false" ht="15.75" hidden="false" customHeight="false" outlineLevel="0" collapsed="false">
      <c r="A811" s="50"/>
      <c r="B811" s="50"/>
      <c r="C811" s="5"/>
      <c r="D811" s="48"/>
      <c r="E811" s="50"/>
      <c r="F811" s="5"/>
      <c r="G811" s="5"/>
      <c r="H811" s="5"/>
      <c r="I811" s="5"/>
      <c r="J811" s="5"/>
      <c r="K811" s="50"/>
      <c r="L811" s="50"/>
      <c r="M811" s="50"/>
      <c r="N811" s="50"/>
      <c r="O811" s="50"/>
      <c r="P811" s="50"/>
      <c r="Q811" s="50"/>
      <c r="R811" s="50"/>
      <c r="S811" s="50"/>
      <c r="T811" s="50"/>
      <c r="U811" s="50"/>
      <c r="V811" s="50"/>
      <c r="W811" s="50"/>
      <c r="X811" s="50"/>
      <c r="Y811" s="50"/>
      <c r="Z811" s="50"/>
      <c r="AA811" s="50"/>
      <c r="AB811" s="50"/>
    </row>
    <row r="812" customFormat="false" ht="15.75" hidden="false" customHeight="false" outlineLevel="0" collapsed="false">
      <c r="A812" s="50"/>
      <c r="B812" s="50"/>
      <c r="C812" s="5"/>
      <c r="D812" s="48"/>
      <c r="E812" s="50"/>
      <c r="F812" s="5"/>
      <c r="G812" s="5"/>
      <c r="H812" s="5"/>
      <c r="I812" s="5"/>
      <c r="J812" s="5"/>
      <c r="K812" s="50"/>
      <c r="L812" s="50"/>
      <c r="M812" s="50"/>
      <c r="N812" s="50"/>
      <c r="O812" s="50"/>
      <c r="P812" s="50"/>
      <c r="Q812" s="50"/>
      <c r="R812" s="50"/>
      <c r="S812" s="50"/>
      <c r="T812" s="50"/>
      <c r="U812" s="50"/>
      <c r="V812" s="50"/>
      <c r="W812" s="50"/>
      <c r="X812" s="50"/>
      <c r="Y812" s="50"/>
      <c r="Z812" s="50"/>
      <c r="AA812" s="50"/>
      <c r="AB812" s="50"/>
    </row>
    <row r="813" customFormat="false" ht="15.75" hidden="false" customHeight="false" outlineLevel="0" collapsed="false">
      <c r="A813" s="50"/>
      <c r="B813" s="50"/>
      <c r="C813" s="5"/>
      <c r="D813" s="48"/>
      <c r="E813" s="50"/>
      <c r="F813" s="5"/>
      <c r="G813" s="5"/>
      <c r="H813" s="5"/>
      <c r="I813" s="5"/>
      <c r="J813" s="5"/>
      <c r="K813" s="50"/>
      <c r="L813" s="50"/>
      <c r="M813" s="50"/>
      <c r="N813" s="50"/>
      <c r="O813" s="50"/>
      <c r="P813" s="50"/>
      <c r="Q813" s="50"/>
      <c r="R813" s="50"/>
      <c r="S813" s="50"/>
      <c r="T813" s="50"/>
      <c r="U813" s="50"/>
      <c r="V813" s="50"/>
      <c r="W813" s="50"/>
      <c r="X813" s="50"/>
      <c r="Y813" s="50"/>
      <c r="Z813" s="50"/>
      <c r="AA813" s="50"/>
      <c r="AB813" s="50"/>
    </row>
    <row r="814" customFormat="false" ht="15.75" hidden="false" customHeight="false" outlineLevel="0" collapsed="false">
      <c r="A814" s="50"/>
      <c r="B814" s="50"/>
      <c r="C814" s="5"/>
      <c r="D814" s="48"/>
      <c r="E814" s="50"/>
      <c r="F814" s="5"/>
      <c r="G814" s="5"/>
      <c r="H814" s="5"/>
      <c r="I814" s="5"/>
      <c r="J814" s="5"/>
      <c r="K814" s="50"/>
      <c r="L814" s="50"/>
      <c r="M814" s="50"/>
      <c r="N814" s="50"/>
      <c r="O814" s="50"/>
      <c r="P814" s="50"/>
      <c r="Q814" s="50"/>
      <c r="R814" s="50"/>
      <c r="S814" s="50"/>
      <c r="T814" s="50"/>
      <c r="U814" s="50"/>
      <c r="V814" s="50"/>
      <c r="W814" s="50"/>
      <c r="X814" s="50"/>
      <c r="Y814" s="50"/>
      <c r="Z814" s="50"/>
      <c r="AA814" s="50"/>
      <c r="AB814" s="50"/>
    </row>
    <row r="815" customFormat="false" ht="15.75" hidden="false" customHeight="false" outlineLevel="0" collapsed="false">
      <c r="A815" s="50"/>
      <c r="B815" s="50"/>
      <c r="C815" s="5"/>
      <c r="D815" s="48"/>
      <c r="E815" s="50"/>
      <c r="F815" s="5"/>
      <c r="G815" s="5"/>
      <c r="H815" s="5"/>
      <c r="I815" s="5"/>
      <c r="J815" s="5"/>
      <c r="K815" s="50"/>
      <c r="L815" s="50"/>
      <c r="M815" s="50"/>
      <c r="N815" s="50"/>
      <c r="O815" s="50"/>
      <c r="P815" s="50"/>
      <c r="Q815" s="50"/>
      <c r="R815" s="50"/>
      <c r="S815" s="50"/>
      <c r="T815" s="50"/>
      <c r="U815" s="50"/>
      <c r="V815" s="50"/>
      <c r="W815" s="50"/>
      <c r="X815" s="50"/>
      <c r="Y815" s="50"/>
      <c r="Z815" s="50"/>
      <c r="AA815" s="50"/>
      <c r="AB815" s="50"/>
    </row>
    <row r="816" customFormat="false" ht="15.75" hidden="false" customHeight="false" outlineLevel="0" collapsed="false">
      <c r="A816" s="50"/>
      <c r="B816" s="50"/>
      <c r="C816" s="5"/>
      <c r="D816" s="48"/>
      <c r="E816" s="50"/>
      <c r="F816" s="5"/>
      <c r="G816" s="5"/>
      <c r="H816" s="5"/>
      <c r="I816" s="5"/>
      <c r="J816" s="5"/>
      <c r="K816" s="50"/>
      <c r="L816" s="50"/>
      <c r="M816" s="50"/>
      <c r="N816" s="50"/>
      <c r="O816" s="50"/>
      <c r="P816" s="50"/>
      <c r="Q816" s="50"/>
      <c r="R816" s="50"/>
      <c r="S816" s="50"/>
      <c r="T816" s="50"/>
      <c r="U816" s="50"/>
      <c r="V816" s="50"/>
      <c r="W816" s="50"/>
      <c r="X816" s="50"/>
      <c r="Y816" s="50"/>
      <c r="Z816" s="50"/>
      <c r="AA816" s="50"/>
      <c r="AB816" s="50"/>
    </row>
    <row r="817" customFormat="false" ht="15.75" hidden="false" customHeight="false" outlineLevel="0" collapsed="false">
      <c r="A817" s="50"/>
      <c r="B817" s="50"/>
      <c r="C817" s="5"/>
      <c r="D817" s="48"/>
      <c r="E817" s="50"/>
      <c r="F817" s="5"/>
      <c r="G817" s="5"/>
      <c r="H817" s="5"/>
      <c r="I817" s="5"/>
      <c r="J817" s="5"/>
      <c r="K817" s="50"/>
      <c r="L817" s="50"/>
      <c r="M817" s="50"/>
      <c r="N817" s="50"/>
      <c r="O817" s="50"/>
      <c r="P817" s="50"/>
      <c r="Q817" s="50"/>
      <c r="R817" s="50"/>
      <c r="S817" s="50"/>
      <c r="T817" s="50"/>
      <c r="U817" s="50"/>
      <c r="V817" s="50"/>
      <c r="W817" s="50"/>
      <c r="X817" s="50"/>
      <c r="Y817" s="50"/>
      <c r="Z817" s="50"/>
      <c r="AA817" s="50"/>
      <c r="AB817" s="50"/>
    </row>
    <row r="818" customFormat="false" ht="15.75" hidden="false" customHeight="false" outlineLevel="0" collapsed="false">
      <c r="A818" s="50"/>
      <c r="B818" s="50"/>
      <c r="C818" s="5"/>
      <c r="D818" s="48"/>
      <c r="E818" s="50"/>
      <c r="F818" s="5"/>
      <c r="G818" s="5"/>
      <c r="H818" s="5"/>
      <c r="I818" s="5"/>
      <c r="J818" s="5"/>
      <c r="K818" s="50"/>
      <c r="L818" s="50"/>
      <c r="M818" s="50"/>
      <c r="N818" s="50"/>
      <c r="O818" s="50"/>
      <c r="P818" s="50"/>
      <c r="Q818" s="50"/>
      <c r="R818" s="50"/>
      <c r="S818" s="50"/>
      <c r="T818" s="50"/>
      <c r="U818" s="50"/>
      <c r="V818" s="50"/>
      <c r="W818" s="50"/>
      <c r="X818" s="50"/>
      <c r="Y818" s="50"/>
      <c r="Z818" s="50"/>
      <c r="AA818" s="50"/>
      <c r="AB818" s="50"/>
    </row>
    <row r="819" customFormat="false" ht="15.75" hidden="false" customHeight="false" outlineLevel="0" collapsed="false">
      <c r="A819" s="50"/>
      <c r="B819" s="50"/>
      <c r="C819" s="5"/>
      <c r="D819" s="48"/>
      <c r="E819" s="50"/>
      <c r="F819" s="5"/>
      <c r="G819" s="5"/>
      <c r="H819" s="5"/>
      <c r="I819" s="5"/>
      <c r="J819" s="5"/>
      <c r="K819" s="50"/>
      <c r="L819" s="50"/>
      <c r="M819" s="50"/>
      <c r="N819" s="50"/>
      <c r="O819" s="50"/>
      <c r="P819" s="50"/>
      <c r="Q819" s="50"/>
      <c r="R819" s="50"/>
      <c r="S819" s="50"/>
      <c r="T819" s="50"/>
      <c r="U819" s="50"/>
      <c r="V819" s="50"/>
      <c r="W819" s="50"/>
      <c r="X819" s="50"/>
      <c r="Y819" s="50"/>
      <c r="Z819" s="50"/>
      <c r="AA819" s="50"/>
      <c r="AB819" s="50"/>
    </row>
    <row r="820" customFormat="false" ht="15.75" hidden="false" customHeight="false" outlineLevel="0" collapsed="false">
      <c r="A820" s="50"/>
      <c r="B820" s="50"/>
      <c r="C820" s="5"/>
      <c r="D820" s="48"/>
      <c r="E820" s="50"/>
      <c r="F820" s="5"/>
      <c r="G820" s="5"/>
      <c r="H820" s="5"/>
      <c r="I820" s="5"/>
      <c r="J820" s="5"/>
      <c r="K820" s="50"/>
      <c r="L820" s="50"/>
      <c r="M820" s="50"/>
      <c r="N820" s="50"/>
      <c r="O820" s="50"/>
      <c r="P820" s="50"/>
      <c r="Q820" s="50"/>
      <c r="R820" s="50"/>
      <c r="S820" s="50"/>
      <c r="T820" s="50"/>
      <c r="U820" s="50"/>
      <c r="V820" s="50"/>
      <c r="W820" s="50"/>
      <c r="X820" s="50"/>
      <c r="Y820" s="50"/>
      <c r="Z820" s="50"/>
      <c r="AA820" s="50"/>
      <c r="AB820" s="50"/>
    </row>
    <row r="821" customFormat="false" ht="15.75" hidden="false" customHeight="false" outlineLevel="0" collapsed="false">
      <c r="A821" s="50"/>
      <c r="B821" s="50"/>
      <c r="C821" s="5"/>
      <c r="D821" s="48"/>
      <c r="E821" s="50"/>
      <c r="F821" s="5"/>
      <c r="G821" s="5"/>
      <c r="H821" s="5"/>
      <c r="I821" s="5"/>
      <c r="J821" s="5"/>
      <c r="K821" s="50"/>
      <c r="L821" s="50"/>
      <c r="M821" s="50"/>
      <c r="N821" s="50"/>
      <c r="O821" s="50"/>
      <c r="P821" s="50"/>
      <c r="Q821" s="50"/>
      <c r="R821" s="50"/>
      <c r="S821" s="50"/>
      <c r="T821" s="50"/>
      <c r="U821" s="50"/>
      <c r="V821" s="50"/>
      <c r="W821" s="50"/>
      <c r="X821" s="50"/>
      <c r="Y821" s="50"/>
      <c r="Z821" s="50"/>
      <c r="AA821" s="50"/>
      <c r="AB821" s="50"/>
    </row>
    <row r="822" customFormat="false" ht="15.75" hidden="false" customHeight="false" outlineLevel="0" collapsed="false">
      <c r="A822" s="50"/>
      <c r="B822" s="50"/>
      <c r="C822" s="5"/>
      <c r="D822" s="48"/>
      <c r="E822" s="50"/>
      <c r="F822" s="5"/>
      <c r="G822" s="5"/>
      <c r="H822" s="5"/>
      <c r="I822" s="5"/>
      <c r="J822" s="5"/>
      <c r="K822" s="50"/>
      <c r="L822" s="50"/>
      <c r="M822" s="50"/>
      <c r="N822" s="50"/>
      <c r="O822" s="50"/>
      <c r="P822" s="50"/>
      <c r="Q822" s="50"/>
      <c r="R822" s="50"/>
      <c r="S822" s="50"/>
      <c r="T822" s="50"/>
      <c r="U822" s="50"/>
      <c r="V822" s="50"/>
      <c r="W822" s="50"/>
      <c r="X822" s="50"/>
      <c r="Y822" s="50"/>
      <c r="Z822" s="50"/>
      <c r="AA822" s="50"/>
      <c r="AB822" s="50"/>
    </row>
    <row r="823" customFormat="false" ht="15.75" hidden="false" customHeight="false" outlineLevel="0" collapsed="false">
      <c r="A823" s="50"/>
      <c r="B823" s="50"/>
      <c r="C823" s="5"/>
      <c r="D823" s="48"/>
      <c r="E823" s="50"/>
      <c r="F823" s="5"/>
      <c r="G823" s="5"/>
      <c r="H823" s="5"/>
      <c r="I823" s="5"/>
      <c r="J823" s="5"/>
      <c r="K823" s="50"/>
      <c r="L823" s="50"/>
      <c r="M823" s="50"/>
      <c r="N823" s="50"/>
      <c r="O823" s="50"/>
      <c r="P823" s="50"/>
      <c r="Q823" s="50"/>
      <c r="R823" s="50"/>
      <c r="S823" s="50"/>
      <c r="T823" s="50"/>
      <c r="U823" s="50"/>
      <c r="V823" s="50"/>
      <c r="W823" s="50"/>
      <c r="X823" s="50"/>
      <c r="Y823" s="50"/>
      <c r="Z823" s="50"/>
      <c r="AA823" s="50"/>
      <c r="AB823" s="50"/>
    </row>
    <row r="824" customFormat="false" ht="15.75" hidden="false" customHeight="false" outlineLevel="0" collapsed="false">
      <c r="A824" s="50"/>
      <c r="B824" s="50"/>
      <c r="C824" s="5"/>
      <c r="D824" s="48"/>
      <c r="E824" s="50"/>
      <c r="F824" s="5"/>
      <c r="G824" s="5"/>
      <c r="H824" s="5"/>
      <c r="I824" s="5"/>
      <c r="J824" s="5"/>
      <c r="K824" s="50"/>
      <c r="L824" s="50"/>
      <c r="M824" s="50"/>
      <c r="N824" s="50"/>
      <c r="O824" s="50"/>
      <c r="P824" s="50"/>
      <c r="Q824" s="50"/>
      <c r="R824" s="50"/>
      <c r="S824" s="50"/>
      <c r="T824" s="50"/>
      <c r="U824" s="50"/>
      <c r="V824" s="50"/>
      <c r="W824" s="50"/>
      <c r="X824" s="50"/>
      <c r="Y824" s="50"/>
      <c r="Z824" s="50"/>
      <c r="AA824" s="50"/>
      <c r="AB824" s="50"/>
    </row>
    <row r="825" customFormat="false" ht="15.75" hidden="false" customHeight="false" outlineLevel="0" collapsed="false">
      <c r="A825" s="50"/>
      <c r="B825" s="50"/>
      <c r="C825" s="5"/>
      <c r="D825" s="48"/>
      <c r="E825" s="50"/>
      <c r="F825" s="5"/>
      <c r="G825" s="5"/>
      <c r="H825" s="5"/>
      <c r="I825" s="5"/>
      <c r="J825" s="5"/>
      <c r="K825" s="50"/>
      <c r="L825" s="50"/>
      <c r="M825" s="50"/>
      <c r="N825" s="50"/>
      <c r="O825" s="50"/>
      <c r="P825" s="50"/>
      <c r="Q825" s="50"/>
      <c r="R825" s="50"/>
      <c r="S825" s="50"/>
      <c r="T825" s="50"/>
      <c r="U825" s="50"/>
      <c r="V825" s="50"/>
      <c r="W825" s="50"/>
      <c r="X825" s="50"/>
      <c r="Y825" s="50"/>
      <c r="Z825" s="50"/>
      <c r="AA825" s="50"/>
      <c r="AB825" s="50"/>
    </row>
    <row r="826" customFormat="false" ht="15.75" hidden="false" customHeight="false" outlineLevel="0" collapsed="false">
      <c r="A826" s="50"/>
      <c r="B826" s="50"/>
      <c r="C826" s="5"/>
      <c r="D826" s="48"/>
      <c r="E826" s="50"/>
      <c r="F826" s="5"/>
      <c r="G826" s="5"/>
      <c r="H826" s="5"/>
      <c r="I826" s="5"/>
      <c r="J826" s="5"/>
      <c r="K826" s="50"/>
      <c r="L826" s="50"/>
      <c r="M826" s="50"/>
      <c r="N826" s="50"/>
      <c r="O826" s="50"/>
      <c r="P826" s="50"/>
      <c r="Q826" s="50"/>
      <c r="R826" s="50"/>
      <c r="S826" s="50"/>
      <c r="T826" s="50"/>
      <c r="U826" s="50"/>
      <c r="V826" s="50"/>
      <c r="W826" s="50"/>
      <c r="X826" s="50"/>
      <c r="Y826" s="50"/>
      <c r="Z826" s="50"/>
      <c r="AA826" s="50"/>
      <c r="AB826" s="50"/>
    </row>
    <row r="827" customFormat="false" ht="15.75" hidden="false" customHeight="false" outlineLevel="0" collapsed="false">
      <c r="A827" s="50"/>
      <c r="B827" s="50"/>
      <c r="C827" s="5"/>
      <c r="D827" s="48"/>
      <c r="E827" s="50"/>
      <c r="F827" s="5"/>
      <c r="G827" s="5"/>
      <c r="H827" s="5"/>
      <c r="I827" s="5"/>
      <c r="J827" s="5"/>
      <c r="K827" s="50"/>
      <c r="L827" s="50"/>
      <c r="M827" s="50"/>
      <c r="N827" s="50"/>
      <c r="O827" s="50"/>
      <c r="P827" s="50"/>
      <c r="Q827" s="50"/>
      <c r="R827" s="50"/>
      <c r="S827" s="50"/>
      <c r="T827" s="50"/>
      <c r="U827" s="50"/>
      <c r="V827" s="50"/>
      <c r="W827" s="50"/>
      <c r="X827" s="50"/>
      <c r="Y827" s="50"/>
      <c r="Z827" s="50"/>
      <c r="AA827" s="50"/>
      <c r="AB827" s="50"/>
    </row>
    <row r="828" customFormat="false" ht="15.75" hidden="false" customHeight="false" outlineLevel="0" collapsed="false">
      <c r="A828" s="50"/>
      <c r="B828" s="50"/>
      <c r="C828" s="5"/>
      <c r="D828" s="48"/>
      <c r="E828" s="50"/>
      <c r="F828" s="5"/>
      <c r="G828" s="5"/>
      <c r="H828" s="5"/>
      <c r="I828" s="5"/>
      <c r="J828" s="5"/>
      <c r="K828" s="50"/>
      <c r="L828" s="50"/>
      <c r="M828" s="50"/>
      <c r="N828" s="50"/>
      <c r="O828" s="50"/>
      <c r="P828" s="50"/>
      <c r="Q828" s="50"/>
      <c r="R828" s="50"/>
      <c r="S828" s="50"/>
      <c r="T828" s="50"/>
      <c r="U828" s="50"/>
      <c r="V828" s="50"/>
      <c r="W828" s="50"/>
      <c r="X828" s="50"/>
      <c r="Y828" s="50"/>
      <c r="Z828" s="50"/>
      <c r="AA828" s="50"/>
      <c r="AB828" s="50"/>
    </row>
    <row r="829" customFormat="false" ht="15.75" hidden="false" customHeight="false" outlineLevel="0" collapsed="false">
      <c r="A829" s="50"/>
      <c r="B829" s="50"/>
      <c r="C829" s="5"/>
      <c r="D829" s="48"/>
      <c r="E829" s="50"/>
      <c r="F829" s="5"/>
      <c r="G829" s="5"/>
      <c r="H829" s="5"/>
      <c r="I829" s="5"/>
      <c r="J829" s="5"/>
      <c r="K829" s="50"/>
      <c r="L829" s="50"/>
      <c r="M829" s="50"/>
      <c r="N829" s="50"/>
      <c r="O829" s="50"/>
      <c r="P829" s="50"/>
      <c r="Q829" s="50"/>
      <c r="R829" s="50"/>
      <c r="S829" s="50"/>
      <c r="T829" s="50"/>
      <c r="U829" s="50"/>
      <c r="V829" s="50"/>
      <c r="W829" s="50"/>
      <c r="X829" s="50"/>
      <c r="Y829" s="50"/>
      <c r="Z829" s="50"/>
      <c r="AA829" s="50"/>
      <c r="AB829" s="50"/>
    </row>
    <row r="830" customFormat="false" ht="15.75" hidden="false" customHeight="false" outlineLevel="0" collapsed="false">
      <c r="A830" s="50"/>
      <c r="B830" s="50"/>
      <c r="C830" s="5"/>
      <c r="D830" s="48"/>
      <c r="E830" s="50"/>
      <c r="F830" s="5"/>
      <c r="G830" s="5"/>
      <c r="H830" s="5"/>
      <c r="I830" s="5"/>
      <c r="J830" s="5"/>
      <c r="K830" s="50"/>
      <c r="L830" s="50"/>
      <c r="M830" s="50"/>
      <c r="N830" s="50"/>
      <c r="O830" s="50"/>
      <c r="P830" s="50"/>
      <c r="Q830" s="50"/>
      <c r="R830" s="50"/>
      <c r="S830" s="50"/>
      <c r="T830" s="50"/>
      <c r="U830" s="50"/>
      <c r="V830" s="50"/>
      <c r="W830" s="50"/>
      <c r="X830" s="50"/>
      <c r="Y830" s="50"/>
      <c r="Z830" s="50"/>
      <c r="AA830" s="50"/>
      <c r="AB830" s="50"/>
    </row>
    <row r="831" customFormat="false" ht="15.75" hidden="false" customHeight="false" outlineLevel="0" collapsed="false">
      <c r="A831" s="50"/>
      <c r="B831" s="50"/>
      <c r="C831" s="5"/>
      <c r="D831" s="48"/>
      <c r="E831" s="50"/>
      <c r="F831" s="5"/>
      <c r="G831" s="5"/>
      <c r="H831" s="5"/>
      <c r="I831" s="5"/>
      <c r="J831" s="5"/>
      <c r="K831" s="50"/>
      <c r="L831" s="50"/>
      <c r="M831" s="50"/>
      <c r="N831" s="50"/>
      <c r="O831" s="50"/>
      <c r="P831" s="50"/>
      <c r="Q831" s="50"/>
      <c r="R831" s="50"/>
      <c r="S831" s="50"/>
      <c r="T831" s="50"/>
      <c r="U831" s="50"/>
      <c r="V831" s="50"/>
      <c r="W831" s="50"/>
      <c r="X831" s="50"/>
      <c r="Y831" s="50"/>
      <c r="Z831" s="50"/>
      <c r="AA831" s="50"/>
      <c r="AB831" s="50"/>
    </row>
    <row r="832" customFormat="false" ht="15.75" hidden="false" customHeight="false" outlineLevel="0" collapsed="false">
      <c r="A832" s="50"/>
      <c r="B832" s="50"/>
      <c r="C832" s="5"/>
      <c r="D832" s="48"/>
      <c r="E832" s="50"/>
      <c r="F832" s="5"/>
      <c r="G832" s="5"/>
      <c r="H832" s="5"/>
      <c r="I832" s="5"/>
      <c r="J832" s="5"/>
      <c r="K832" s="50"/>
      <c r="L832" s="50"/>
      <c r="M832" s="50"/>
      <c r="N832" s="50"/>
      <c r="O832" s="50"/>
      <c r="P832" s="50"/>
      <c r="Q832" s="50"/>
      <c r="R832" s="50"/>
      <c r="S832" s="50"/>
      <c r="T832" s="50"/>
      <c r="U832" s="50"/>
      <c r="V832" s="50"/>
      <c r="W832" s="50"/>
      <c r="X832" s="50"/>
      <c r="Y832" s="50"/>
      <c r="Z832" s="50"/>
      <c r="AA832" s="50"/>
      <c r="AB832" s="50"/>
    </row>
    <row r="833" customFormat="false" ht="15.75" hidden="false" customHeight="false" outlineLevel="0" collapsed="false">
      <c r="A833" s="50"/>
      <c r="B833" s="50"/>
      <c r="C833" s="5"/>
      <c r="D833" s="48"/>
      <c r="E833" s="50"/>
      <c r="F833" s="5"/>
      <c r="G833" s="5"/>
      <c r="H833" s="5"/>
      <c r="I833" s="5"/>
      <c r="J833" s="5"/>
      <c r="K833" s="50"/>
      <c r="L833" s="50"/>
      <c r="M833" s="50"/>
      <c r="N833" s="50"/>
      <c r="O833" s="50"/>
      <c r="P833" s="50"/>
      <c r="Q833" s="50"/>
      <c r="R833" s="50"/>
      <c r="S833" s="50"/>
      <c r="T833" s="50"/>
      <c r="U833" s="50"/>
      <c r="V833" s="50"/>
      <c r="W833" s="50"/>
      <c r="X833" s="50"/>
      <c r="Y833" s="50"/>
      <c r="Z833" s="50"/>
      <c r="AA833" s="50"/>
      <c r="AB833" s="50"/>
    </row>
    <row r="834" customFormat="false" ht="15.75" hidden="false" customHeight="false" outlineLevel="0" collapsed="false">
      <c r="A834" s="50"/>
      <c r="B834" s="50"/>
      <c r="C834" s="5"/>
      <c r="D834" s="48"/>
      <c r="E834" s="50"/>
      <c r="F834" s="5"/>
      <c r="G834" s="5"/>
      <c r="H834" s="5"/>
      <c r="I834" s="5"/>
      <c r="J834" s="5"/>
      <c r="K834" s="50"/>
      <c r="L834" s="50"/>
      <c r="M834" s="50"/>
      <c r="N834" s="50"/>
      <c r="O834" s="50"/>
      <c r="P834" s="50"/>
      <c r="Q834" s="50"/>
      <c r="R834" s="50"/>
      <c r="S834" s="50"/>
      <c r="T834" s="50"/>
      <c r="U834" s="50"/>
      <c r="V834" s="50"/>
      <c r="W834" s="50"/>
      <c r="X834" s="50"/>
      <c r="Y834" s="50"/>
      <c r="Z834" s="50"/>
      <c r="AA834" s="50"/>
      <c r="AB834" s="50"/>
    </row>
    <row r="835" customFormat="false" ht="15.75" hidden="false" customHeight="false" outlineLevel="0" collapsed="false">
      <c r="A835" s="50"/>
      <c r="B835" s="50"/>
      <c r="C835" s="5"/>
      <c r="D835" s="48"/>
      <c r="E835" s="50"/>
      <c r="F835" s="5"/>
      <c r="G835" s="5"/>
      <c r="H835" s="5"/>
      <c r="I835" s="5"/>
      <c r="J835" s="5"/>
      <c r="K835" s="50"/>
      <c r="L835" s="50"/>
      <c r="M835" s="50"/>
      <c r="N835" s="50"/>
      <c r="O835" s="50"/>
      <c r="P835" s="50"/>
      <c r="Q835" s="50"/>
      <c r="R835" s="50"/>
      <c r="S835" s="50"/>
      <c r="T835" s="50"/>
      <c r="U835" s="50"/>
      <c r="V835" s="50"/>
      <c r="W835" s="50"/>
      <c r="X835" s="50"/>
      <c r="Y835" s="50"/>
      <c r="Z835" s="50"/>
      <c r="AA835" s="50"/>
      <c r="AB835" s="50"/>
    </row>
    <row r="836" customFormat="false" ht="15.75" hidden="false" customHeight="false" outlineLevel="0" collapsed="false">
      <c r="A836" s="50"/>
      <c r="B836" s="50"/>
      <c r="C836" s="5"/>
      <c r="D836" s="48"/>
      <c r="E836" s="50"/>
      <c r="F836" s="5"/>
      <c r="G836" s="5"/>
      <c r="H836" s="5"/>
      <c r="I836" s="5"/>
      <c r="J836" s="5"/>
      <c r="K836" s="50"/>
      <c r="L836" s="50"/>
      <c r="M836" s="50"/>
      <c r="N836" s="50"/>
      <c r="O836" s="50"/>
      <c r="P836" s="50"/>
      <c r="Q836" s="50"/>
      <c r="R836" s="50"/>
      <c r="S836" s="50"/>
      <c r="T836" s="50"/>
      <c r="U836" s="50"/>
      <c r="V836" s="50"/>
      <c r="W836" s="50"/>
      <c r="X836" s="50"/>
      <c r="Y836" s="50"/>
      <c r="Z836" s="50"/>
      <c r="AA836" s="50"/>
      <c r="AB836" s="50"/>
    </row>
    <row r="837" customFormat="false" ht="15.75" hidden="false" customHeight="false" outlineLevel="0" collapsed="false">
      <c r="A837" s="50"/>
      <c r="B837" s="50"/>
      <c r="C837" s="5"/>
      <c r="D837" s="48"/>
      <c r="E837" s="50"/>
      <c r="F837" s="5"/>
      <c r="G837" s="5"/>
      <c r="H837" s="5"/>
      <c r="I837" s="5"/>
      <c r="J837" s="5"/>
      <c r="K837" s="50"/>
      <c r="L837" s="50"/>
      <c r="M837" s="50"/>
      <c r="N837" s="50"/>
      <c r="O837" s="50"/>
      <c r="P837" s="50"/>
      <c r="Q837" s="50"/>
      <c r="R837" s="50"/>
      <c r="S837" s="50"/>
      <c r="T837" s="50"/>
      <c r="U837" s="50"/>
      <c r="V837" s="50"/>
      <c r="W837" s="50"/>
      <c r="X837" s="50"/>
      <c r="Y837" s="50"/>
      <c r="Z837" s="50"/>
      <c r="AA837" s="50"/>
      <c r="AB837" s="50"/>
    </row>
    <row r="838" customFormat="false" ht="15.75" hidden="false" customHeight="false" outlineLevel="0" collapsed="false">
      <c r="A838" s="50"/>
      <c r="B838" s="50"/>
      <c r="C838" s="5"/>
      <c r="D838" s="48"/>
      <c r="E838" s="50"/>
      <c r="F838" s="5"/>
      <c r="G838" s="5"/>
      <c r="H838" s="5"/>
      <c r="I838" s="5"/>
      <c r="J838" s="5"/>
      <c r="K838" s="50"/>
      <c r="L838" s="50"/>
      <c r="M838" s="50"/>
      <c r="N838" s="50"/>
      <c r="O838" s="50"/>
      <c r="P838" s="50"/>
      <c r="Q838" s="50"/>
      <c r="R838" s="50"/>
      <c r="S838" s="50"/>
      <c r="T838" s="50"/>
      <c r="U838" s="50"/>
      <c r="V838" s="50"/>
      <c r="W838" s="50"/>
      <c r="X838" s="50"/>
      <c r="Y838" s="50"/>
      <c r="Z838" s="50"/>
      <c r="AA838" s="50"/>
      <c r="AB838" s="50"/>
    </row>
    <row r="839" customFormat="false" ht="15.75" hidden="false" customHeight="false" outlineLevel="0" collapsed="false">
      <c r="A839" s="50"/>
      <c r="B839" s="50"/>
      <c r="C839" s="5"/>
      <c r="D839" s="48"/>
      <c r="E839" s="50"/>
      <c r="F839" s="5"/>
      <c r="G839" s="5"/>
      <c r="H839" s="5"/>
      <c r="I839" s="5"/>
      <c r="J839" s="5"/>
      <c r="K839" s="50"/>
      <c r="L839" s="50"/>
      <c r="M839" s="50"/>
      <c r="N839" s="50"/>
      <c r="O839" s="50"/>
      <c r="P839" s="50"/>
      <c r="Q839" s="50"/>
      <c r="R839" s="50"/>
      <c r="S839" s="50"/>
      <c r="T839" s="50"/>
      <c r="U839" s="50"/>
      <c r="V839" s="50"/>
      <c r="W839" s="50"/>
      <c r="X839" s="50"/>
      <c r="Y839" s="50"/>
      <c r="Z839" s="50"/>
      <c r="AA839" s="50"/>
      <c r="AB839" s="50"/>
    </row>
    <row r="840" customFormat="false" ht="15.75" hidden="false" customHeight="false" outlineLevel="0" collapsed="false">
      <c r="A840" s="50"/>
      <c r="B840" s="50"/>
      <c r="C840" s="5"/>
      <c r="D840" s="48"/>
      <c r="E840" s="50"/>
      <c r="F840" s="5"/>
      <c r="G840" s="5"/>
      <c r="H840" s="5"/>
      <c r="I840" s="5"/>
      <c r="J840" s="5"/>
      <c r="K840" s="50"/>
      <c r="L840" s="50"/>
      <c r="M840" s="50"/>
      <c r="N840" s="50"/>
      <c r="O840" s="50"/>
      <c r="P840" s="50"/>
      <c r="Q840" s="50"/>
      <c r="R840" s="50"/>
      <c r="S840" s="50"/>
      <c r="T840" s="50"/>
      <c r="U840" s="50"/>
      <c r="V840" s="50"/>
      <c r="W840" s="50"/>
      <c r="X840" s="50"/>
      <c r="Y840" s="50"/>
      <c r="Z840" s="50"/>
      <c r="AA840" s="50"/>
      <c r="AB840" s="50"/>
    </row>
    <row r="841" customFormat="false" ht="15.75" hidden="false" customHeight="false" outlineLevel="0" collapsed="false">
      <c r="A841" s="50"/>
      <c r="B841" s="50"/>
      <c r="C841" s="5"/>
      <c r="D841" s="48"/>
      <c r="E841" s="50"/>
      <c r="F841" s="5"/>
      <c r="G841" s="5"/>
      <c r="H841" s="5"/>
      <c r="I841" s="5"/>
      <c r="J841" s="5"/>
      <c r="K841" s="50"/>
      <c r="L841" s="50"/>
      <c r="M841" s="50"/>
      <c r="N841" s="50"/>
      <c r="O841" s="50"/>
      <c r="P841" s="50"/>
      <c r="Q841" s="50"/>
      <c r="R841" s="50"/>
      <c r="S841" s="50"/>
      <c r="T841" s="50"/>
      <c r="U841" s="50"/>
      <c r="V841" s="50"/>
      <c r="W841" s="50"/>
      <c r="X841" s="50"/>
      <c r="Y841" s="50"/>
      <c r="Z841" s="50"/>
      <c r="AA841" s="50"/>
      <c r="AB841" s="50"/>
    </row>
    <row r="842" customFormat="false" ht="15.75" hidden="false" customHeight="false" outlineLevel="0" collapsed="false">
      <c r="A842" s="50"/>
      <c r="B842" s="50"/>
      <c r="C842" s="5"/>
      <c r="D842" s="48"/>
      <c r="E842" s="50"/>
      <c r="F842" s="5"/>
      <c r="G842" s="5"/>
      <c r="H842" s="5"/>
      <c r="I842" s="5"/>
      <c r="J842" s="5"/>
      <c r="K842" s="50"/>
      <c r="L842" s="50"/>
      <c r="M842" s="50"/>
      <c r="N842" s="50"/>
      <c r="O842" s="50"/>
      <c r="P842" s="50"/>
      <c r="Q842" s="50"/>
      <c r="R842" s="50"/>
      <c r="S842" s="50"/>
      <c r="T842" s="50"/>
      <c r="U842" s="50"/>
      <c r="V842" s="50"/>
      <c r="W842" s="50"/>
      <c r="X842" s="50"/>
      <c r="Y842" s="50"/>
      <c r="Z842" s="50"/>
      <c r="AA842" s="50"/>
      <c r="AB842" s="50"/>
    </row>
    <row r="843" customFormat="false" ht="15.75" hidden="false" customHeight="false" outlineLevel="0" collapsed="false">
      <c r="A843" s="50"/>
      <c r="B843" s="50"/>
      <c r="C843" s="5"/>
      <c r="D843" s="48"/>
      <c r="E843" s="50"/>
      <c r="F843" s="5"/>
      <c r="G843" s="5"/>
      <c r="H843" s="5"/>
      <c r="I843" s="5"/>
      <c r="J843" s="5"/>
      <c r="K843" s="50"/>
      <c r="L843" s="50"/>
      <c r="M843" s="50"/>
      <c r="N843" s="50"/>
      <c r="O843" s="50"/>
      <c r="P843" s="50"/>
      <c r="Q843" s="50"/>
      <c r="R843" s="50"/>
      <c r="S843" s="50"/>
      <c r="T843" s="50"/>
      <c r="U843" s="50"/>
      <c r="V843" s="50"/>
      <c r="W843" s="50"/>
      <c r="X843" s="50"/>
      <c r="Y843" s="50"/>
      <c r="Z843" s="50"/>
      <c r="AA843" s="50"/>
      <c r="AB843" s="50"/>
    </row>
    <row r="844" customFormat="false" ht="15.75" hidden="false" customHeight="false" outlineLevel="0" collapsed="false">
      <c r="A844" s="50"/>
      <c r="B844" s="50"/>
      <c r="C844" s="5"/>
      <c r="D844" s="48"/>
      <c r="E844" s="50"/>
      <c r="F844" s="5"/>
      <c r="G844" s="5"/>
      <c r="H844" s="5"/>
      <c r="I844" s="5"/>
      <c r="J844" s="5"/>
      <c r="K844" s="50"/>
      <c r="L844" s="50"/>
      <c r="M844" s="50"/>
      <c r="N844" s="50"/>
      <c r="O844" s="50"/>
      <c r="P844" s="50"/>
      <c r="Q844" s="50"/>
      <c r="R844" s="50"/>
      <c r="S844" s="50"/>
      <c r="T844" s="50"/>
      <c r="U844" s="50"/>
      <c r="V844" s="50"/>
      <c r="W844" s="50"/>
      <c r="X844" s="50"/>
      <c r="Y844" s="50"/>
      <c r="Z844" s="50"/>
      <c r="AA844" s="50"/>
      <c r="AB844" s="50"/>
    </row>
    <row r="845" customFormat="false" ht="15.75" hidden="false" customHeight="false" outlineLevel="0" collapsed="false">
      <c r="A845" s="50"/>
      <c r="B845" s="50"/>
      <c r="C845" s="5"/>
      <c r="D845" s="48"/>
      <c r="E845" s="50"/>
      <c r="F845" s="5"/>
      <c r="G845" s="5"/>
      <c r="H845" s="5"/>
      <c r="I845" s="5"/>
      <c r="J845" s="5"/>
      <c r="K845" s="50"/>
      <c r="L845" s="50"/>
      <c r="M845" s="50"/>
      <c r="N845" s="50"/>
      <c r="O845" s="50"/>
      <c r="P845" s="50"/>
      <c r="Q845" s="50"/>
      <c r="R845" s="50"/>
      <c r="S845" s="50"/>
      <c r="T845" s="50"/>
      <c r="U845" s="50"/>
      <c r="V845" s="50"/>
      <c r="W845" s="50"/>
      <c r="X845" s="50"/>
      <c r="Y845" s="50"/>
      <c r="Z845" s="50"/>
      <c r="AA845" s="50"/>
      <c r="AB845" s="50"/>
    </row>
    <row r="846" customFormat="false" ht="15.75" hidden="false" customHeight="false" outlineLevel="0" collapsed="false">
      <c r="A846" s="50"/>
      <c r="B846" s="50"/>
      <c r="C846" s="5"/>
      <c r="D846" s="48"/>
      <c r="E846" s="50"/>
      <c r="F846" s="5"/>
      <c r="G846" s="5"/>
      <c r="H846" s="5"/>
      <c r="I846" s="5"/>
      <c r="J846" s="5"/>
      <c r="K846" s="50"/>
      <c r="L846" s="50"/>
      <c r="M846" s="50"/>
      <c r="N846" s="50"/>
      <c r="O846" s="50"/>
      <c r="P846" s="50"/>
      <c r="Q846" s="50"/>
      <c r="R846" s="50"/>
      <c r="S846" s="50"/>
      <c r="T846" s="50"/>
      <c r="U846" s="50"/>
      <c r="V846" s="50"/>
      <c r="W846" s="50"/>
      <c r="X846" s="50"/>
      <c r="Y846" s="50"/>
      <c r="Z846" s="50"/>
      <c r="AA846" s="50"/>
      <c r="AB846" s="50"/>
    </row>
    <row r="847" customFormat="false" ht="15.75" hidden="false" customHeight="false" outlineLevel="0" collapsed="false">
      <c r="A847" s="50"/>
      <c r="B847" s="50"/>
      <c r="C847" s="5"/>
      <c r="D847" s="48"/>
      <c r="E847" s="50"/>
      <c r="F847" s="5"/>
      <c r="G847" s="5"/>
      <c r="H847" s="5"/>
      <c r="I847" s="5"/>
      <c r="J847" s="5"/>
      <c r="K847" s="50"/>
      <c r="L847" s="50"/>
      <c r="M847" s="50"/>
      <c r="N847" s="50"/>
      <c r="O847" s="50"/>
      <c r="P847" s="50"/>
      <c r="Q847" s="50"/>
      <c r="R847" s="50"/>
      <c r="S847" s="50"/>
      <c r="T847" s="50"/>
      <c r="U847" s="50"/>
      <c r="V847" s="50"/>
      <c r="W847" s="50"/>
      <c r="X847" s="50"/>
      <c r="Y847" s="50"/>
      <c r="Z847" s="50"/>
      <c r="AA847" s="50"/>
      <c r="AB847" s="50"/>
    </row>
    <row r="848" customFormat="false" ht="15.75" hidden="false" customHeight="false" outlineLevel="0" collapsed="false">
      <c r="A848" s="50"/>
      <c r="B848" s="50"/>
      <c r="C848" s="5"/>
      <c r="D848" s="48"/>
      <c r="E848" s="50"/>
      <c r="F848" s="5"/>
      <c r="G848" s="5"/>
      <c r="H848" s="5"/>
      <c r="I848" s="5"/>
      <c r="J848" s="5"/>
      <c r="K848" s="50"/>
      <c r="L848" s="50"/>
      <c r="M848" s="50"/>
      <c r="N848" s="50"/>
      <c r="O848" s="50"/>
      <c r="P848" s="50"/>
      <c r="Q848" s="50"/>
      <c r="R848" s="50"/>
      <c r="S848" s="50"/>
      <c r="T848" s="50"/>
      <c r="U848" s="50"/>
      <c r="V848" s="50"/>
      <c r="W848" s="50"/>
      <c r="X848" s="50"/>
      <c r="Y848" s="50"/>
      <c r="Z848" s="50"/>
      <c r="AA848" s="50"/>
      <c r="AB848" s="50"/>
    </row>
    <row r="849" customFormat="false" ht="15.75" hidden="false" customHeight="false" outlineLevel="0" collapsed="false">
      <c r="A849" s="50"/>
      <c r="B849" s="50"/>
      <c r="C849" s="5"/>
      <c r="D849" s="48"/>
      <c r="E849" s="50"/>
      <c r="F849" s="5"/>
      <c r="G849" s="5"/>
      <c r="H849" s="5"/>
      <c r="I849" s="5"/>
      <c r="J849" s="5"/>
      <c r="K849" s="50"/>
      <c r="L849" s="50"/>
      <c r="M849" s="50"/>
      <c r="N849" s="50"/>
      <c r="O849" s="50"/>
      <c r="P849" s="50"/>
      <c r="Q849" s="50"/>
      <c r="R849" s="50"/>
      <c r="S849" s="50"/>
      <c r="T849" s="50"/>
      <c r="U849" s="50"/>
      <c r="V849" s="50"/>
      <c r="W849" s="50"/>
      <c r="X849" s="50"/>
      <c r="Y849" s="50"/>
      <c r="Z849" s="50"/>
      <c r="AA849" s="50"/>
      <c r="AB849" s="50"/>
    </row>
    <row r="850" customFormat="false" ht="15.75" hidden="false" customHeight="false" outlineLevel="0" collapsed="false">
      <c r="A850" s="50"/>
      <c r="B850" s="50"/>
      <c r="C850" s="5"/>
      <c r="D850" s="48"/>
      <c r="E850" s="50"/>
      <c r="F850" s="5"/>
      <c r="G850" s="5"/>
      <c r="H850" s="5"/>
      <c r="I850" s="5"/>
      <c r="J850" s="5"/>
      <c r="K850" s="50"/>
      <c r="L850" s="50"/>
      <c r="M850" s="50"/>
      <c r="N850" s="50"/>
      <c r="O850" s="50"/>
      <c r="P850" s="50"/>
      <c r="Q850" s="50"/>
      <c r="R850" s="50"/>
      <c r="S850" s="50"/>
      <c r="T850" s="50"/>
      <c r="U850" s="50"/>
      <c r="V850" s="50"/>
      <c r="W850" s="50"/>
      <c r="X850" s="50"/>
      <c r="Y850" s="50"/>
      <c r="Z850" s="50"/>
      <c r="AA850" s="50"/>
      <c r="AB850" s="50"/>
    </row>
    <row r="851" customFormat="false" ht="15.75" hidden="false" customHeight="false" outlineLevel="0" collapsed="false">
      <c r="A851" s="50"/>
      <c r="B851" s="50"/>
      <c r="C851" s="5"/>
      <c r="D851" s="48"/>
      <c r="E851" s="50"/>
      <c r="F851" s="5"/>
      <c r="G851" s="5"/>
      <c r="H851" s="5"/>
      <c r="I851" s="5"/>
      <c r="J851" s="5"/>
      <c r="K851" s="50"/>
      <c r="L851" s="50"/>
      <c r="M851" s="50"/>
      <c r="N851" s="50"/>
      <c r="O851" s="50"/>
      <c r="P851" s="50"/>
      <c r="Q851" s="50"/>
      <c r="R851" s="50"/>
      <c r="S851" s="50"/>
      <c r="T851" s="50"/>
      <c r="U851" s="50"/>
      <c r="V851" s="50"/>
      <c r="W851" s="50"/>
      <c r="X851" s="50"/>
      <c r="Y851" s="50"/>
      <c r="Z851" s="50"/>
      <c r="AA851" s="50"/>
      <c r="AB851" s="50"/>
    </row>
    <row r="852" customFormat="false" ht="15.75" hidden="false" customHeight="false" outlineLevel="0" collapsed="false">
      <c r="A852" s="50"/>
      <c r="B852" s="50"/>
      <c r="C852" s="5"/>
      <c r="D852" s="48"/>
      <c r="E852" s="50"/>
      <c r="F852" s="5"/>
      <c r="G852" s="5"/>
      <c r="H852" s="5"/>
      <c r="I852" s="5"/>
      <c r="J852" s="5"/>
      <c r="K852" s="50"/>
      <c r="L852" s="50"/>
      <c r="M852" s="50"/>
      <c r="N852" s="50"/>
      <c r="O852" s="50"/>
      <c r="P852" s="50"/>
      <c r="Q852" s="50"/>
      <c r="R852" s="50"/>
      <c r="S852" s="50"/>
      <c r="T852" s="50"/>
      <c r="U852" s="50"/>
      <c r="V852" s="50"/>
      <c r="W852" s="50"/>
      <c r="X852" s="50"/>
      <c r="Y852" s="50"/>
      <c r="Z852" s="50"/>
      <c r="AA852" s="50"/>
      <c r="AB852" s="50"/>
    </row>
    <row r="853" customFormat="false" ht="15.75" hidden="false" customHeight="false" outlineLevel="0" collapsed="false">
      <c r="A853" s="50"/>
      <c r="B853" s="50"/>
      <c r="C853" s="5"/>
      <c r="D853" s="48"/>
      <c r="E853" s="50"/>
      <c r="F853" s="5"/>
      <c r="G853" s="5"/>
      <c r="H853" s="5"/>
      <c r="I853" s="5"/>
      <c r="J853" s="5"/>
      <c r="K853" s="50"/>
      <c r="L853" s="50"/>
      <c r="M853" s="50"/>
      <c r="N853" s="50"/>
      <c r="O853" s="50"/>
      <c r="P853" s="50"/>
      <c r="Q853" s="50"/>
      <c r="R853" s="50"/>
      <c r="S853" s="50"/>
      <c r="T853" s="50"/>
      <c r="U853" s="50"/>
      <c r="V853" s="50"/>
      <c r="W853" s="50"/>
      <c r="X853" s="50"/>
      <c r="Y853" s="50"/>
      <c r="Z853" s="50"/>
      <c r="AA853" s="50"/>
      <c r="AB853" s="50"/>
    </row>
    <row r="854" customFormat="false" ht="15.75" hidden="false" customHeight="false" outlineLevel="0" collapsed="false">
      <c r="A854" s="50"/>
      <c r="B854" s="50"/>
      <c r="C854" s="5"/>
      <c r="D854" s="48"/>
      <c r="E854" s="50"/>
      <c r="F854" s="5"/>
      <c r="G854" s="5"/>
      <c r="H854" s="5"/>
      <c r="I854" s="5"/>
      <c r="J854" s="5"/>
      <c r="K854" s="50"/>
      <c r="L854" s="50"/>
      <c r="M854" s="50"/>
      <c r="N854" s="50"/>
      <c r="O854" s="50"/>
      <c r="P854" s="50"/>
      <c r="Q854" s="50"/>
      <c r="R854" s="50"/>
      <c r="S854" s="50"/>
      <c r="T854" s="50"/>
      <c r="U854" s="50"/>
      <c r="V854" s="50"/>
      <c r="W854" s="50"/>
      <c r="X854" s="50"/>
      <c r="Y854" s="50"/>
      <c r="Z854" s="50"/>
      <c r="AA854" s="50"/>
      <c r="AB854" s="50"/>
    </row>
    <row r="855" customFormat="false" ht="15.75" hidden="false" customHeight="false" outlineLevel="0" collapsed="false">
      <c r="A855" s="50"/>
      <c r="B855" s="50"/>
      <c r="C855" s="5"/>
      <c r="D855" s="48"/>
      <c r="E855" s="50"/>
      <c r="F855" s="5"/>
      <c r="G855" s="5"/>
      <c r="H855" s="5"/>
      <c r="I855" s="5"/>
      <c r="J855" s="5"/>
      <c r="K855" s="50"/>
      <c r="L855" s="50"/>
      <c r="M855" s="50"/>
      <c r="N855" s="50"/>
      <c r="O855" s="50"/>
      <c r="P855" s="50"/>
      <c r="Q855" s="50"/>
      <c r="R855" s="50"/>
      <c r="S855" s="50"/>
      <c r="T855" s="50"/>
      <c r="U855" s="50"/>
      <c r="V855" s="50"/>
      <c r="W855" s="50"/>
      <c r="X855" s="50"/>
      <c r="Y855" s="50"/>
      <c r="Z855" s="50"/>
      <c r="AA855" s="50"/>
      <c r="AB855" s="50"/>
    </row>
    <row r="856" customFormat="false" ht="15.75" hidden="false" customHeight="false" outlineLevel="0" collapsed="false">
      <c r="A856" s="50"/>
      <c r="B856" s="50"/>
      <c r="C856" s="5"/>
      <c r="D856" s="48"/>
      <c r="E856" s="50"/>
      <c r="F856" s="5"/>
      <c r="G856" s="5"/>
      <c r="H856" s="5"/>
      <c r="I856" s="5"/>
      <c r="J856" s="5"/>
      <c r="K856" s="50"/>
      <c r="L856" s="50"/>
      <c r="M856" s="50"/>
      <c r="N856" s="50"/>
      <c r="O856" s="50"/>
      <c r="P856" s="50"/>
      <c r="Q856" s="50"/>
      <c r="R856" s="50"/>
      <c r="S856" s="50"/>
      <c r="T856" s="50"/>
      <c r="U856" s="50"/>
      <c r="V856" s="50"/>
      <c r="W856" s="50"/>
      <c r="X856" s="50"/>
      <c r="Y856" s="50"/>
      <c r="Z856" s="50"/>
      <c r="AA856" s="50"/>
      <c r="AB856" s="50"/>
    </row>
    <row r="857" customFormat="false" ht="15.75" hidden="false" customHeight="false" outlineLevel="0" collapsed="false">
      <c r="A857" s="50"/>
      <c r="B857" s="50"/>
      <c r="C857" s="5"/>
      <c r="D857" s="48"/>
      <c r="E857" s="50"/>
      <c r="F857" s="5"/>
      <c r="G857" s="5"/>
      <c r="H857" s="5"/>
      <c r="I857" s="5"/>
      <c r="J857" s="5"/>
      <c r="K857" s="50"/>
      <c r="L857" s="50"/>
      <c r="M857" s="50"/>
      <c r="N857" s="50"/>
      <c r="O857" s="50"/>
      <c r="P857" s="50"/>
      <c r="Q857" s="50"/>
      <c r="R857" s="50"/>
      <c r="S857" s="50"/>
      <c r="T857" s="50"/>
      <c r="U857" s="50"/>
      <c r="V857" s="50"/>
      <c r="W857" s="50"/>
      <c r="X857" s="50"/>
      <c r="Y857" s="50"/>
      <c r="Z857" s="50"/>
      <c r="AA857" s="50"/>
      <c r="AB857" s="50"/>
    </row>
    <row r="858" customFormat="false" ht="15.75" hidden="false" customHeight="false" outlineLevel="0" collapsed="false">
      <c r="A858" s="50"/>
      <c r="B858" s="50"/>
      <c r="C858" s="5"/>
      <c r="D858" s="48"/>
      <c r="E858" s="50"/>
      <c r="F858" s="5"/>
      <c r="G858" s="5"/>
      <c r="H858" s="5"/>
      <c r="I858" s="5"/>
      <c r="J858" s="5"/>
      <c r="K858" s="50"/>
      <c r="L858" s="50"/>
      <c r="M858" s="50"/>
      <c r="N858" s="50"/>
      <c r="O858" s="50"/>
      <c r="P858" s="50"/>
      <c r="Q858" s="50"/>
      <c r="R858" s="50"/>
      <c r="S858" s="50"/>
      <c r="T858" s="50"/>
      <c r="U858" s="50"/>
      <c r="V858" s="50"/>
      <c r="W858" s="50"/>
      <c r="X858" s="50"/>
      <c r="Y858" s="50"/>
      <c r="Z858" s="50"/>
      <c r="AA858" s="50"/>
      <c r="AB858" s="50"/>
    </row>
    <row r="859" customFormat="false" ht="15.75" hidden="false" customHeight="false" outlineLevel="0" collapsed="false">
      <c r="A859" s="50"/>
      <c r="B859" s="50"/>
      <c r="C859" s="5"/>
      <c r="D859" s="48"/>
      <c r="E859" s="50"/>
      <c r="F859" s="5"/>
      <c r="G859" s="5"/>
      <c r="H859" s="5"/>
      <c r="I859" s="5"/>
      <c r="J859" s="5"/>
      <c r="K859" s="50"/>
      <c r="L859" s="50"/>
      <c r="M859" s="50"/>
      <c r="N859" s="50"/>
      <c r="O859" s="50"/>
      <c r="P859" s="50"/>
      <c r="Q859" s="50"/>
      <c r="R859" s="50"/>
      <c r="S859" s="50"/>
      <c r="T859" s="50"/>
      <c r="U859" s="50"/>
      <c r="V859" s="50"/>
      <c r="W859" s="50"/>
      <c r="X859" s="50"/>
      <c r="Y859" s="50"/>
      <c r="Z859" s="50"/>
      <c r="AA859" s="50"/>
      <c r="AB859" s="50"/>
    </row>
    <row r="860" customFormat="false" ht="15.75" hidden="false" customHeight="false" outlineLevel="0" collapsed="false">
      <c r="A860" s="50"/>
      <c r="B860" s="50"/>
      <c r="C860" s="5"/>
      <c r="D860" s="48"/>
      <c r="E860" s="50"/>
      <c r="F860" s="5"/>
      <c r="G860" s="5"/>
      <c r="H860" s="5"/>
      <c r="I860" s="5"/>
      <c r="J860" s="5"/>
      <c r="K860" s="50"/>
      <c r="L860" s="50"/>
      <c r="M860" s="50"/>
      <c r="N860" s="50"/>
      <c r="O860" s="50"/>
      <c r="P860" s="50"/>
      <c r="Q860" s="50"/>
      <c r="R860" s="50"/>
      <c r="S860" s="50"/>
      <c r="T860" s="50"/>
      <c r="U860" s="50"/>
      <c r="V860" s="50"/>
      <c r="W860" s="50"/>
      <c r="X860" s="50"/>
      <c r="Y860" s="50"/>
      <c r="Z860" s="50"/>
      <c r="AA860" s="50"/>
      <c r="AB860" s="50"/>
    </row>
    <row r="861" customFormat="false" ht="15.75" hidden="false" customHeight="false" outlineLevel="0" collapsed="false">
      <c r="A861" s="50"/>
      <c r="B861" s="50"/>
      <c r="C861" s="5"/>
      <c r="D861" s="48"/>
      <c r="E861" s="50"/>
      <c r="F861" s="5"/>
      <c r="G861" s="5"/>
      <c r="H861" s="5"/>
      <c r="I861" s="5"/>
      <c r="J861" s="5"/>
      <c r="K861" s="50"/>
      <c r="L861" s="50"/>
      <c r="M861" s="50"/>
      <c r="N861" s="50"/>
      <c r="O861" s="50"/>
      <c r="P861" s="50"/>
      <c r="Q861" s="50"/>
      <c r="R861" s="50"/>
      <c r="S861" s="50"/>
      <c r="T861" s="50"/>
      <c r="U861" s="50"/>
      <c r="V861" s="50"/>
      <c r="W861" s="50"/>
      <c r="X861" s="50"/>
      <c r="Y861" s="50"/>
      <c r="Z861" s="50"/>
      <c r="AA861" s="50"/>
      <c r="AB861" s="50"/>
    </row>
    <row r="862" customFormat="false" ht="15.75" hidden="false" customHeight="false" outlineLevel="0" collapsed="false">
      <c r="A862" s="50"/>
      <c r="B862" s="50"/>
      <c r="C862" s="5"/>
      <c r="D862" s="48"/>
      <c r="E862" s="50"/>
      <c r="F862" s="5"/>
      <c r="G862" s="5"/>
      <c r="H862" s="5"/>
      <c r="I862" s="5"/>
      <c r="J862" s="5"/>
      <c r="K862" s="50"/>
      <c r="L862" s="50"/>
      <c r="M862" s="50"/>
      <c r="N862" s="50"/>
      <c r="O862" s="50"/>
      <c r="P862" s="50"/>
      <c r="Q862" s="50"/>
      <c r="R862" s="50"/>
      <c r="S862" s="50"/>
      <c r="T862" s="50"/>
      <c r="U862" s="50"/>
      <c r="V862" s="50"/>
      <c r="W862" s="50"/>
      <c r="X862" s="50"/>
      <c r="Y862" s="50"/>
      <c r="Z862" s="50"/>
      <c r="AA862" s="50"/>
      <c r="AB862" s="50"/>
    </row>
    <row r="863" customFormat="false" ht="15.75" hidden="false" customHeight="false" outlineLevel="0" collapsed="false">
      <c r="A863" s="50"/>
      <c r="B863" s="50"/>
      <c r="C863" s="5"/>
      <c r="D863" s="48"/>
      <c r="E863" s="50"/>
      <c r="F863" s="5"/>
      <c r="G863" s="5"/>
      <c r="H863" s="5"/>
      <c r="I863" s="5"/>
      <c r="J863" s="5"/>
      <c r="K863" s="50"/>
      <c r="L863" s="50"/>
      <c r="M863" s="50"/>
      <c r="N863" s="50"/>
      <c r="O863" s="50"/>
      <c r="P863" s="50"/>
      <c r="Q863" s="50"/>
      <c r="R863" s="50"/>
      <c r="S863" s="50"/>
      <c r="T863" s="50"/>
      <c r="U863" s="50"/>
      <c r="V863" s="50"/>
      <c r="W863" s="50"/>
      <c r="X863" s="50"/>
      <c r="Y863" s="50"/>
      <c r="Z863" s="50"/>
      <c r="AA863" s="50"/>
      <c r="AB863" s="50"/>
    </row>
    <row r="864" customFormat="false" ht="15.75" hidden="false" customHeight="false" outlineLevel="0" collapsed="false">
      <c r="A864" s="50"/>
      <c r="B864" s="50"/>
      <c r="C864" s="5"/>
      <c r="D864" s="48"/>
      <c r="E864" s="50"/>
      <c r="F864" s="5"/>
      <c r="G864" s="5"/>
      <c r="H864" s="5"/>
      <c r="I864" s="5"/>
      <c r="J864" s="5"/>
      <c r="K864" s="50"/>
      <c r="L864" s="50"/>
      <c r="M864" s="50"/>
      <c r="N864" s="50"/>
      <c r="O864" s="50"/>
      <c r="P864" s="50"/>
      <c r="Q864" s="50"/>
      <c r="R864" s="50"/>
      <c r="S864" s="50"/>
      <c r="T864" s="50"/>
      <c r="U864" s="50"/>
      <c r="V864" s="50"/>
      <c r="W864" s="50"/>
      <c r="X864" s="50"/>
      <c r="Y864" s="50"/>
      <c r="Z864" s="50"/>
      <c r="AA864" s="50"/>
      <c r="AB864" s="50"/>
    </row>
    <row r="865" customFormat="false" ht="15.75" hidden="false" customHeight="false" outlineLevel="0" collapsed="false">
      <c r="A865" s="50"/>
      <c r="B865" s="50"/>
      <c r="C865" s="5"/>
      <c r="D865" s="48"/>
      <c r="E865" s="50"/>
      <c r="F865" s="5"/>
      <c r="G865" s="5"/>
      <c r="H865" s="5"/>
      <c r="I865" s="5"/>
      <c r="J865" s="5"/>
      <c r="K865" s="50"/>
      <c r="L865" s="50"/>
      <c r="M865" s="50"/>
      <c r="N865" s="50"/>
      <c r="O865" s="50"/>
      <c r="P865" s="50"/>
      <c r="Q865" s="50"/>
      <c r="R865" s="50"/>
      <c r="S865" s="50"/>
      <c r="T865" s="50"/>
      <c r="U865" s="50"/>
      <c r="V865" s="50"/>
      <c r="W865" s="50"/>
      <c r="X865" s="50"/>
      <c r="Y865" s="50"/>
      <c r="Z865" s="50"/>
      <c r="AA865" s="50"/>
      <c r="AB865" s="50"/>
    </row>
    <row r="866" customFormat="false" ht="15.75" hidden="false" customHeight="false" outlineLevel="0" collapsed="false">
      <c r="A866" s="50"/>
      <c r="B866" s="50"/>
      <c r="C866" s="5"/>
      <c r="D866" s="48"/>
      <c r="E866" s="50"/>
      <c r="F866" s="5"/>
      <c r="G866" s="5"/>
      <c r="H866" s="5"/>
      <c r="I866" s="5"/>
      <c r="J866" s="5"/>
      <c r="K866" s="50"/>
      <c r="L866" s="50"/>
      <c r="M866" s="50"/>
      <c r="N866" s="50"/>
      <c r="O866" s="50"/>
      <c r="P866" s="50"/>
      <c r="Q866" s="50"/>
      <c r="R866" s="50"/>
      <c r="S866" s="50"/>
      <c r="T866" s="50"/>
      <c r="U866" s="50"/>
      <c r="V866" s="50"/>
      <c r="W866" s="50"/>
      <c r="X866" s="50"/>
      <c r="Y866" s="50"/>
      <c r="Z866" s="50"/>
      <c r="AA866" s="50"/>
      <c r="AB866" s="50"/>
    </row>
    <row r="867" customFormat="false" ht="15.75" hidden="false" customHeight="false" outlineLevel="0" collapsed="false">
      <c r="A867" s="50"/>
      <c r="B867" s="50"/>
      <c r="C867" s="5"/>
      <c r="D867" s="48"/>
      <c r="E867" s="50"/>
      <c r="F867" s="5"/>
      <c r="G867" s="5"/>
      <c r="H867" s="5"/>
      <c r="I867" s="5"/>
      <c r="J867" s="5"/>
      <c r="K867" s="50"/>
      <c r="L867" s="50"/>
      <c r="M867" s="50"/>
      <c r="N867" s="50"/>
      <c r="O867" s="50"/>
      <c r="P867" s="50"/>
      <c r="Q867" s="50"/>
      <c r="R867" s="50"/>
      <c r="S867" s="50"/>
      <c r="T867" s="50"/>
      <c r="U867" s="50"/>
      <c r="V867" s="50"/>
      <c r="W867" s="50"/>
      <c r="X867" s="50"/>
      <c r="Y867" s="50"/>
      <c r="Z867" s="50"/>
      <c r="AA867" s="50"/>
      <c r="AB867" s="50"/>
    </row>
    <row r="868" customFormat="false" ht="15.75" hidden="false" customHeight="false" outlineLevel="0" collapsed="false">
      <c r="A868" s="50"/>
      <c r="B868" s="50"/>
      <c r="C868" s="5"/>
      <c r="D868" s="48"/>
      <c r="E868" s="50"/>
      <c r="F868" s="5"/>
      <c r="G868" s="5"/>
      <c r="H868" s="5"/>
      <c r="I868" s="5"/>
      <c r="J868" s="5"/>
      <c r="K868" s="50"/>
      <c r="L868" s="50"/>
      <c r="M868" s="50"/>
      <c r="N868" s="50"/>
      <c r="O868" s="50"/>
      <c r="P868" s="50"/>
      <c r="Q868" s="50"/>
      <c r="R868" s="50"/>
      <c r="S868" s="50"/>
      <c r="T868" s="50"/>
      <c r="U868" s="50"/>
      <c r="V868" s="50"/>
      <c r="W868" s="50"/>
      <c r="X868" s="50"/>
      <c r="Y868" s="50"/>
      <c r="Z868" s="50"/>
      <c r="AA868" s="50"/>
      <c r="AB868" s="50"/>
    </row>
    <row r="869" customFormat="false" ht="15.75" hidden="false" customHeight="false" outlineLevel="0" collapsed="false">
      <c r="A869" s="50"/>
      <c r="B869" s="50"/>
      <c r="C869" s="5"/>
      <c r="D869" s="48"/>
      <c r="E869" s="50"/>
      <c r="F869" s="5"/>
      <c r="G869" s="5"/>
      <c r="H869" s="5"/>
      <c r="I869" s="5"/>
      <c r="J869" s="5"/>
      <c r="K869" s="50"/>
      <c r="L869" s="50"/>
      <c r="M869" s="50"/>
      <c r="N869" s="50"/>
      <c r="O869" s="50"/>
      <c r="P869" s="50"/>
      <c r="Q869" s="50"/>
      <c r="R869" s="50"/>
      <c r="S869" s="50"/>
      <c r="T869" s="50"/>
      <c r="U869" s="50"/>
      <c r="V869" s="50"/>
      <c r="W869" s="50"/>
      <c r="X869" s="50"/>
      <c r="Y869" s="50"/>
      <c r="Z869" s="50"/>
      <c r="AA869" s="50"/>
      <c r="AB869" s="50"/>
    </row>
    <row r="870" customFormat="false" ht="15.75" hidden="false" customHeight="false" outlineLevel="0" collapsed="false">
      <c r="A870" s="50"/>
      <c r="B870" s="50"/>
      <c r="C870" s="5"/>
      <c r="D870" s="48"/>
      <c r="E870" s="50"/>
      <c r="F870" s="5"/>
      <c r="G870" s="5"/>
      <c r="H870" s="5"/>
      <c r="I870" s="5"/>
      <c r="J870" s="5"/>
      <c r="K870" s="50"/>
      <c r="L870" s="50"/>
      <c r="M870" s="50"/>
      <c r="N870" s="50"/>
      <c r="O870" s="50"/>
      <c r="P870" s="50"/>
      <c r="Q870" s="50"/>
      <c r="R870" s="50"/>
      <c r="S870" s="50"/>
      <c r="T870" s="50"/>
      <c r="U870" s="50"/>
      <c r="V870" s="50"/>
      <c r="W870" s="50"/>
      <c r="X870" s="50"/>
      <c r="Y870" s="50"/>
      <c r="Z870" s="50"/>
      <c r="AA870" s="50"/>
      <c r="AB870" s="50"/>
    </row>
    <row r="871" customFormat="false" ht="15.75" hidden="false" customHeight="false" outlineLevel="0" collapsed="false">
      <c r="A871" s="50"/>
      <c r="B871" s="50"/>
      <c r="C871" s="5"/>
      <c r="D871" s="48"/>
      <c r="E871" s="50"/>
      <c r="F871" s="5"/>
      <c r="G871" s="5"/>
      <c r="H871" s="5"/>
      <c r="I871" s="5"/>
      <c r="J871" s="5"/>
      <c r="K871" s="50"/>
      <c r="L871" s="50"/>
      <c r="M871" s="50"/>
      <c r="N871" s="50"/>
      <c r="O871" s="50"/>
      <c r="P871" s="50"/>
      <c r="Q871" s="50"/>
      <c r="R871" s="50"/>
      <c r="S871" s="50"/>
      <c r="T871" s="50"/>
      <c r="U871" s="50"/>
      <c r="V871" s="50"/>
      <c r="W871" s="50"/>
      <c r="X871" s="50"/>
      <c r="Y871" s="50"/>
      <c r="Z871" s="50"/>
      <c r="AA871" s="50"/>
      <c r="AB871" s="50"/>
    </row>
    <row r="872" customFormat="false" ht="15.75" hidden="false" customHeight="false" outlineLevel="0" collapsed="false">
      <c r="A872" s="50"/>
      <c r="B872" s="50"/>
      <c r="C872" s="5"/>
      <c r="D872" s="48"/>
      <c r="E872" s="50"/>
      <c r="F872" s="5"/>
      <c r="G872" s="5"/>
      <c r="H872" s="5"/>
      <c r="I872" s="5"/>
      <c r="J872" s="5"/>
      <c r="K872" s="50"/>
      <c r="L872" s="50"/>
      <c r="M872" s="50"/>
      <c r="N872" s="50"/>
      <c r="O872" s="50"/>
      <c r="P872" s="50"/>
      <c r="Q872" s="50"/>
      <c r="R872" s="50"/>
      <c r="S872" s="50"/>
      <c r="T872" s="50"/>
      <c r="U872" s="50"/>
      <c r="V872" s="50"/>
      <c r="W872" s="50"/>
      <c r="X872" s="50"/>
      <c r="Y872" s="50"/>
      <c r="Z872" s="50"/>
      <c r="AA872" s="50"/>
      <c r="AB872" s="50"/>
    </row>
    <row r="873" customFormat="false" ht="15.75" hidden="false" customHeight="false" outlineLevel="0" collapsed="false">
      <c r="A873" s="50"/>
      <c r="B873" s="50"/>
      <c r="C873" s="5"/>
      <c r="D873" s="48"/>
      <c r="E873" s="50"/>
      <c r="F873" s="5"/>
      <c r="G873" s="5"/>
      <c r="H873" s="5"/>
      <c r="I873" s="5"/>
      <c r="J873" s="5"/>
      <c r="K873" s="50"/>
      <c r="L873" s="50"/>
      <c r="M873" s="50"/>
      <c r="N873" s="50"/>
      <c r="O873" s="50"/>
      <c r="P873" s="50"/>
      <c r="Q873" s="50"/>
      <c r="R873" s="50"/>
      <c r="S873" s="50"/>
      <c r="T873" s="50"/>
      <c r="U873" s="50"/>
      <c r="V873" s="50"/>
      <c r="W873" s="50"/>
      <c r="X873" s="50"/>
      <c r="Y873" s="50"/>
      <c r="Z873" s="50"/>
      <c r="AA873" s="50"/>
      <c r="AB873" s="50"/>
    </row>
    <row r="874" customFormat="false" ht="15.75" hidden="false" customHeight="false" outlineLevel="0" collapsed="false">
      <c r="A874" s="50"/>
      <c r="B874" s="50"/>
      <c r="C874" s="5"/>
      <c r="D874" s="48"/>
      <c r="E874" s="50"/>
      <c r="F874" s="5"/>
      <c r="G874" s="5"/>
      <c r="H874" s="5"/>
      <c r="I874" s="5"/>
      <c r="J874" s="5"/>
      <c r="K874" s="50"/>
      <c r="L874" s="50"/>
      <c r="M874" s="50"/>
      <c r="N874" s="50"/>
      <c r="O874" s="50"/>
      <c r="P874" s="50"/>
      <c r="Q874" s="50"/>
      <c r="R874" s="50"/>
      <c r="S874" s="50"/>
      <c r="T874" s="50"/>
      <c r="U874" s="50"/>
      <c r="V874" s="50"/>
      <c r="W874" s="50"/>
      <c r="X874" s="50"/>
      <c r="Y874" s="50"/>
      <c r="Z874" s="50"/>
      <c r="AA874" s="50"/>
      <c r="AB874" s="50"/>
    </row>
    <row r="875" customFormat="false" ht="15.75" hidden="false" customHeight="false" outlineLevel="0" collapsed="false">
      <c r="A875" s="50"/>
      <c r="B875" s="50"/>
      <c r="C875" s="5"/>
      <c r="D875" s="48"/>
      <c r="E875" s="50"/>
      <c r="F875" s="5"/>
      <c r="G875" s="5"/>
      <c r="H875" s="5"/>
      <c r="I875" s="5"/>
      <c r="J875" s="5"/>
      <c r="K875" s="50"/>
      <c r="L875" s="50"/>
      <c r="M875" s="50"/>
      <c r="N875" s="50"/>
      <c r="O875" s="50"/>
      <c r="P875" s="50"/>
      <c r="Q875" s="50"/>
      <c r="R875" s="50"/>
      <c r="S875" s="50"/>
      <c r="T875" s="50"/>
      <c r="U875" s="50"/>
      <c r="V875" s="50"/>
      <c r="W875" s="50"/>
      <c r="X875" s="50"/>
      <c r="Y875" s="50"/>
      <c r="Z875" s="50"/>
      <c r="AA875" s="50"/>
      <c r="AB875" s="50"/>
    </row>
    <row r="876" customFormat="false" ht="15.75" hidden="false" customHeight="false" outlineLevel="0" collapsed="false">
      <c r="A876" s="50"/>
      <c r="B876" s="50"/>
      <c r="C876" s="5"/>
      <c r="D876" s="48"/>
      <c r="E876" s="50"/>
      <c r="F876" s="5"/>
      <c r="G876" s="5"/>
      <c r="H876" s="5"/>
      <c r="I876" s="5"/>
      <c r="J876" s="5"/>
      <c r="K876" s="50"/>
      <c r="L876" s="50"/>
      <c r="M876" s="50"/>
      <c r="N876" s="50"/>
      <c r="O876" s="50"/>
      <c r="P876" s="50"/>
      <c r="Q876" s="50"/>
      <c r="R876" s="50"/>
      <c r="S876" s="50"/>
      <c r="T876" s="50"/>
      <c r="U876" s="50"/>
      <c r="V876" s="50"/>
      <c r="W876" s="50"/>
      <c r="X876" s="50"/>
      <c r="Y876" s="50"/>
      <c r="Z876" s="50"/>
      <c r="AA876" s="50"/>
      <c r="AB876" s="50"/>
    </row>
    <row r="877" customFormat="false" ht="15.75" hidden="false" customHeight="false" outlineLevel="0" collapsed="false">
      <c r="A877" s="50"/>
      <c r="B877" s="50"/>
      <c r="C877" s="5"/>
      <c r="D877" s="48"/>
      <c r="E877" s="50"/>
      <c r="F877" s="5"/>
      <c r="G877" s="5"/>
      <c r="H877" s="5"/>
      <c r="I877" s="5"/>
      <c r="J877" s="5"/>
      <c r="K877" s="50"/>
      <c r="L877" s="50"/>
      <c r="M877" s="50"/>
      <c r="N877" s="50"/>
      <c r="O877" s="50"/>
      <c r="P877" s="50"/>
      <c r="Q877" s="50"/>
      <c r="R877" s="50"/>
      <c r="S877" s="50"/>
      <c r="T877" s="50"/>
      <c r="U877" s="50"/>
      <c r="V877" s="50"/>
      <c r="W877" s="50"/>
      <c r="X877" s="50"/>
      <c r="Y877" s="50"/>
      <c r="Z877" s="50"/>
      <c r="AA877" s="50"/>
      <c r="AB877" s="50"/>
    </row>
    <row r="878" customFormat="false" ht="15.75" hidden="false" customHeight="false" outlineLevel="0" collapsed="false">
      <c r="A878" s="50"/>
      <c r="B878" s="50"/>
      <c r="C878" s="5"/>
      <c r="D878" s="48"/>
      <c r="E878" s="50"/>
      <c r="F878" s="5"/>
      <c r="G878" s="5"/>
      <c r="H878" s="5"/>
      <c r="I878" s="5"/>
      <c r="J878" s="5"/>
      <c r="K878" s="50"/>
      <c r="L878" s="50"/>
      <c r="M878" s="50"/>
      <c r="N878" s="50"/>
      <c r="O878" s="50"/>
      <c r="P878" s="50"/>
      <c r="Q878" s="50"/>
      <c r="R878" s="50"/>
      <c r="S878" s="50"/>
      <c r="T878" s="50"/>
      <c r="U878" s="50"/>
      <c r="V878" s="50"/>
      <c r="W878" s="50"/>
      <c r="X878" s="50"/>
      <c r="Y878" s="50"/>
      <c r="Z878" s="50"/>
      <c r="AA878" s="50"/>
      <c r="AB878" s="50"/>
    </row>
    <row r="879" customFormat="false" ht="15.75" hidden="false" customHeight="false" outlineLevel="0" collapsed="false">
      <c r="A879" s="50"/>
      <c r="B879" s="50"/>
      <c r="C879" s="5"/>
      <c r="D879" s="48"/>
      <c r="E879" s="50"/>
      <c r="F879" s="5"/>
      <c r="G879" s="5"/>
      <c r="H879" s="5"/>
      <c r="I879" s="5"/>
      <c r="J879" s="5"/>
      <c r="K879" s="50"/>
      <c r="L879" s="50"/>
      <c r="M879" s="50"/>
      <c r="N879" s="50"/>
      <c r="O879" s="50"/>
      <c r="P879" s="50"/>
      <c r="Q879" s="50"/>
      <c r="R879" s="50"/>
      <c r="S879" s="50"/>
      <c r="T879" s="50"/>
      <c r="U879" s="50"/>
      <c r="V879" s="50"/>
      <c r="W879" s="50"/>
      <c r="X879" s="50"/>
      <c r="Y879" s="50"/>
      <c r="Z879" s="50"/>
      <c r="AA879" s="50"/>
      <c r="AB879" s="50"/>
    </row>
    <row r="880" customFormat="false" ht="15.75" hidden="false" customHeight="false" outlineLevel="0" collapsed="false">
      <c r="A880" s="50"/>
      <c r="B880" s="50"/>
      <c r="C880" s="5"/>
      <c r="D880" s="48"/>
      <c r="E880" s="50"/>
      <c r="F880" s="5"/>
      <c r="G880" s="5"/>
      <c r="H880" s="5"/>
      <c r="I880" s="5"/>
      <c r="J880" s="5"/>
      <c r="K880" s="50"/>
      <c r="L880" s="50"/>
      <c r="M880" s="50"/>
      <c r="N880" s="50"/>
      <c r="O880" s="50"/>
      <c r="P880" s="50"/>
      <c r="Q880" s="50"/>
      <c r="R880" s="50"/>
      <c r="S880" s="50"/>
      <c r="T880" s="50"/>
      <c r="U880" s="50"/>
      <c r="V880" s="50"/>
      <c r="W880" s="50"/>
      <c r="X880" s="50"/>
      <c r="Y880" s="50"/>
      <c r="Z880" s="50"/>
      <c r="AA880" s="50"/>
      <c r="AB880" s="50"/>
    </row>
    <row r="881" customFormat="false" ht="15.75" hidden="false" customHeight="false" outlineLevel="0" collapsed="false">
      <c r="A881" s="50"/>
      <c r="B881" s="50"/>
      <c r="C881" s="5"/>
      <c r="D881" s="48"/>
      <c r="E881" s="50"/>
      <c r="F881" s="5"/>
      <c r="G881" s="5"/>
      <c r="H881" s="5"/>
      <c r="I881" s="5"/>
      <c r="J881" s="5"/>
      <c r="K881" s="50"/>
      <c r="L881" s="50"/>
      <c r="M881" s="50"/>
      <c r="N881" s="50"/>
      <c r="O881" s="50"/>
      <c r="P881" s="50"/>
      <c r="Q881" s="50"/>
      <c r="R881" s="50"/>
      <c r="S881" s="50"/>
      <c r="T881" s="50"/>
      <c r="U881" s="50"/>
      <c r="V881" s="50"/>
      <c r="W881" s="50"/>
      <c r="X881" s="50"/>
      <c r="Y881" s="50"/>
      <c r="Z881" s="50"/>
      <c r="AA881" s="50"/>
      <c r="AB881" s="50"/>
    </row>
    <row r="882" customFormat="false" ht="15.75" hidden="false" customHeight="false" outlineLevel="0" collapsed="false">
      <c r="A882" s="50"/>
      <c r="B882" s="50"/>
      <c r="C882" s="5"/>
      <c r="D882" s="48"/>
      <c r="E882" s="50"/>
      <c r="F882" s="5"/>
      <c r="G882" s="5"/>
      <c r="H882" s="5"/>
      <c r="I882" s="5"/>
      <c r="J882" s="5"/>
      <c r="K882" s="50"/>
      <c r="L882" s="50"/>
      <c r="M882" s="50"/>
      <c r="N882" s="50"/>
      <c r="O882" s="50"/>
      <c r="P882" s="50"/>
      <c r="Q882" s="50"/>
      <c r="R882" s="50"/>
      <c r="S882" s="50"/>
      <c r="T882" s="50"/>
      <c r="U882" s="50"/>
      <c r="V882" s="50"/>
      <c r="W882" s="50"/>
      <c r="X882" s="50"/>
      <c r="Y882" s="50"/>
      <c r="Z882" s="50"/>
      <c r="AA882" s="50"/>
      <c r="AB882" s="50"/>
    </row>
    <row r="883" customFormat="false" ht="15.75" hidden="false" customHeight="false" outlineLevel="0" collapsed="false">
      <c r="A883" s="50"/>
      <c r="B883" s="50"/>
      <c r="C883" s="5"/>
      <c r="D883" s="48"/>
      <c r="E883" s="50"/>
      <c r="F883" s="5"/>
      <c r="G883" s="5"/>
      <c r="H883" s="5"/>
      <c r="I883" s="5"/>
      <c r="J883" s="5"/>
      <c r="K883" s="50"/>
      <c r="L883" s="50"/>
      <c r="M883" s="50"/>
      <c r="N883" s="50"/>
      <c r="O883" s="50"/>
      <c r="P883" s="50"/>
      <c r="Q883" s="50"/>
      <c r="R883" s="50"/>
      <c r="S883" s="50"/>
      <c r="T883" s="50"/>
      <c r="U883" s="50"/>
      <c r="V883" s="50"/>
      <c r="W883" s="50"/>
      <c r="X883" s="50"/>
      <c r="Y883" s="50"/>
      <c r="Z883" s="50"/>
      <c r="AA883" s="50"/>
      <c r="AB883" s="50"/>
    </row>
    <row r="884" customFormat="false" ht="15.75" hidden="false" customHeight="false" outlineLevel="0" collapsed="false">
      <c r="A884" s="50"/>
      <c r="B884" s="50"/>
      <c r="C884" s="5"/>
      <c r="D884" s="48"/>
      <c r="E884" s="50"/>
      <c r="F884" s="5"/>
      <c r="G884" s="5"/>
      <c r="H884" s="5"/>
      <c r="I884" s="5"/>
      <c r="J884" s="5"/>
      <c r="K884" s="50"/>
      <c r="L884" s="50"/>
      <c r="M884" s="50"/>
      <c r="N884" s="50"/>
      <c r="O884" s="50"/>
      <c r="P884" s="50"/>
      <c r="Q884" s="50"/>
      <c r="R884" s="50"/>
      <c r="S884" s="50"/>
      <c r="T884" s="50"/>
      <c r="U884" s="50"/>
      <c r="V884" s="50"/>
      <c r="W884" s="50"/>
      <c r="X884" s="50"/>
      <c r="Y884" s="50"/>
      <c r="Z884" s="50"/>
      <c r="AA884" s="50"/>
      <c r="AB884" s="50"/>
    </row>
    <row r="885" customFormat="false" ht="15.75" hidden="false" customHeight="false" outlineLevel="0" collapsed="false">
      <c r="A885" s="50"/>
      <c r="B885" s="50"/>
      <c r="C885" s="5"/>
      <c r="D885" s="48"/>
      <c r="E885" s="50"/>
      <c r="F885" s="5"/>
      <c r="G885" s="5"/>
      <c r="H885" s="5"/>
      <c r="I885" s="5"/>
      <c r="J885" s="5"/>
      <c r="K885" s="50"/>
      <c r="L885" s="50"/>
      <c r="M885" s="50"/>
      <c r="N885" s="50"/>
      <c r="O885" s="50"/>
      <c r="P885" s="50"/>
      <c r="Q885" s="50"/>
      <c r="R885" s="50"/>
      <c r="S885" s="50"/>
      <c r="T885" s="50"/>
      <c r="U885" s="50"/>
      <c r="V885" s="50"/>
      <c r="W885" s="50"/>
      <c r="X885" s="50"/>
      <c r="Y885" s="50"/>
      <c r="Z885" s="50"/>
      <c r="AA885" s="50"/>
      <c r="AB885" s="50"/>
    </row>
    <row r="886" customFormat="false" ht="15.75" hidden="false" customHeight="false" outlineLevel="0" collapsed="false">
      <c r="A886" s="50"/>
      <c r="B886" s="50"/>
      <c r="C886" s="5"/>
      <c r="D886" s="48"/>
      <c r="E886" s="50"/>
      <c r="F886" s="5"/>
      <c r="G886" s="5"/>
      <c r="H886" s="5"/>
      <c r="I886" s="5"/>
      <c r="J886" s="5"/>
      <c r="K886" s="50"/>
      <c r="L886" s="50"/>
      <c r="M886" s="50"/>
      <c r="N886" s="50"/>
      <c r="O886" s="50"/>
      <c r="P886" s="50"/>
      <c r="Q886" s="50"/>
      <c r="R886" s="50"/>
      <c r="S886" s="50"/>
      <c r="T886" s="50"/>
      <c r="U886" s="50"/>
      <c r="V886" s="50"/>
      <c r="W886" s="50"/>
      <c r="X886" s="50"/>
      <c r="Y886" s="50"/>
      <c r="Z886" s="50"/>
      <c r="AA886" s="50"/>
      <c r="AB886" s="50"/>
    </row>
    <row r="887" customFormat="false" ht="15.75" hidden="false" customHeight="false" outlineLevel="0" collapsed="false">
      <c r="A887" s="50"/>
      <c r="B887" s="50"/>
      <c r="C887" s="5"/>
      <c r="D887" s="48"/>
      <c r="E887" s="50"/>
      <c r="F887" s="5"/>
      <c r="G887" s="5"/>
      <c r="H887" s="5"/>
      <c r="I887" s="5"/>
      <c r="J887" s="5"/>
      <c r="K887" s="50"/>
      <c r="L887" s="50"/>
      <c r="M887" s="50"/>
      <c r="N887" s="50"/>
      <c r="O887" s="50"/>
      <c r="P887" s="50"/>
      <c r="Q887" s="50"/>
      <c r="R887" s="50"/>
      <c r="S887" s="50"/>
      <c r="T887" s="50"/>
      <c r="U887" s="50"/>
      <c r="V887" s="50"/>
      <c r="W887" s="50"/>
      <c r="X887" s="50"/>
      <c r="Y887" s="50"/>
      <c r="Z887" s="50"/>
      <c r="AA887" s="50"/>
      <c r="AB887" s="50"/>
    </row>
    <row r="888" customFormat="false" ht="15.75" hidden="false" customHeight="false" outlineLevel="0" collapsed="false">
      <c r="A888" s="50"/>
      <c r="B888" s="50"/>
      <c r="C888" s="5"/>
      <c r="D888" s="48"/>
      <c r="E888" s="50"/>
      <c r="F888" s="5"/>
      <c r="G888" s="5"/>
      <c r="H888" s="5"/>
      <c r="I888" s="5"/>
      <c r="J888" s="5"/>
      <c r="K888" s="50"/>
      <c r="L888" s="50"/>
      <c r="M888" s="50"/>
      <c r="N888" s="50"/>
      <c r="O888" s="50"/>
      <c r="P888" s="50"/>
      <c r="Q888" s="50"/>
      <c r="R888" s="50"/>
      <c r="S888" s="50"/>
      <c r="T888" s="50"/>
      <c r="U888" s="50"/>
      <c r="V888" s="50"/>
      <c r="W888" s="50"/>
      <c r="X888" s="50"/>
      <c r="Y888" s="50"/>
      <c r="Z888" s="50"/>
      <c r="AA888" s="50"/>
      <c r="AB888" s="50"/>
    </row>
    <row r="889" customFormat="false" ht="15.75" hidden="false" customHeight="false" outlineLevel="0" collapsed="false">
      <c r="A889" s="50"/>
      <c r="B889" s="50"/>
      <c r="C889" s="5"/>
      <c r="D889" s="48"/>
      <c r="E889" s="50"/>
      <c r="F889" s="5"/>
      <c r="G889" s="5"/>
      <c r="H889" s="5"/>
      <c r="I889" s="5"/>
      <c r="J889" s="5"/>
      <c r="K889" s="50"/>
      <c r="L889" s="50"/>
      <c r="M889" s="50"/>
      <c r="N889" s="50"/>
      <c r="O889" s="50"/>
      <c r="P889" s="50"/>
      <c r="Q889" s="50"/>
      <c r="R889" s="50"/>
      <c r="S889" s="50"/>
      <c r="T889" s="50"/>
      <c r="U889" s="50"/>
      <c r="V889" s="50"/>
      <c r="W889" s="50"/>
      <c r="X889" s="50"/>
      <c r="Y889" s="50"/>
      <c r="Z889" s="50"/>
      <c r="AA889" s="50"/>
      <c r="AB889" s="50"/>
    </row>
    <row r="890" customFormat="false" ht="15.75" hidden="false" customHeight="false" outlineLevel="0" collapsed="false">
      <c r="A890" s="50"/>
      <c r="B890" s="50"/>
      <c r="C890" s="5"/>
      <c r="D890" s="48"/>
      <c r="E890" s="50"/>
      <c r="F890" s="5"/>
      <c r="G890" s="5"/>
      <c r="H890" s="5"/>
      <c r="I890" s="5"/>
      <c r="J890" s="5"/>
      <c r="K890" s="50"/>
      <c r="L890" s="50"/>
      <c r="M890" s="50"/>
      <c r="N890" s="50"/>
      <c r="O890" s="50"/>
      <c r="P890" s="50"/>
      <c r="Q890" s="50"/>
      <c r="R890" s="50"/>
      <c r="S890" s="50"/>
      <c r="T890" s="50"/>
      <c r="U890" s="50"/>
      <c r="V890" s="50"/>
      <c r="W890" s="50"/>
      <c r="X890" s="50"/>
      <c r="Y890" s="50"/>
      <c r="Z890" s="50"/>
      <c r="AA890" s="50"/>
      <c r="AB890" s="50"/>
    </row>
    <row r="891" customFormat="false" ht="15.75" hidden="false" customHeight="false" outlineLevel="0" collapsed="false">
      <c r="A891" s="50"/>
      <c r="B891" s="50"/>
      <c r="C891" s="5"/>
      <c r="D891" s="48"/>
      <c r="E891" s="50"/>
      <c r="F891" s="5"/>
      <c r="G891" s="5"/>
      <c r="H891" s="5"/>
      <c r="I891" s="5"/>
      <c r="J891" s="5"/>
      <c r="K891" s="50"/>
      <c r="L891" s="50"/>
      <c r="M891" s="50"/>
      <c r="N891" s="50"/>
      <c r="O891" s="50"/>
      <c r="P891" s="50"/>
      <c r="Q891" s="50"/>
      <c r="R891" s="50"/>
      <c r="S891" s="50"/>
      <c r="T891" s="50"/>
      <c r="U891" s="50"/>
      <c r="V891" s="50"/>
      <c r="W891" s="50"/>
      <c r="X891" s="50"/>
      <c r="Y891" s="50"/>
      <c r="Z891" s="50"/>
      <c r="AA891" s="50"/>
      <c r="AB891" s="50"/>
    </row>
    <row r="892" customFormat="false" ht="15.75" hidden="false" customHeight="false" outlineLevel="0" collapsed="false">
      <c r="A892" s="50"/>
      <c r="B892" s="50"/>
      <c r="C892" s="5"/>
      <c r="D892" s="48"/>
      <c r="E892" s="50"/>
      <c r="F892" s="5"/>
      <c r="G892" s="5"/>
      <c r="H892" s="5"/>
      <c r="I892" s="5"/>
      <c r="J892" s="5"/>
      <c r="K892" s="50"/>
      <c r="L892" s="50"/>
      <c r="M892" s="50"/>
      <c r="N892" s="50"/>
      <c r="O892" s="50"/>
      <c r="P892" s="50"/>
      <c r="Q892" s="50"/>
      <c r="R892" s="50"/>
      <c r="S892" s="50"/>
      <c r="T892" s="50"/>
      <c r="U892" s="50"/>
      <c r="V892" s="50"/>
      <c r="W892" s="50"/>
      <c r="X892" s="50"/>
      <c r="Y892" s="50"/>
      <c r="Z892" s="50"/>
      <c r="AA892" s="50"/>
      <c r="AB892" s="50"/>
    </row>
    <row r="893" customFormat="false" ht="15.75" hidden="false" customHeight="false" outlineLevel="0" collapsed="false">
      <c r="A893" s="50"/>
      <c r="B893" s="50"/>
      <c r="C893" s="5"/>
      <c r="D893" s="48"/>
      <c r="E893" s="50"/>
      <c r="F893" s="5"/>
      <c r="G893" s="5"/>
      <c r="H893" s="5"/>
      <c r="I893" s="5"/>
      <c r="J893" s="5"/>
      <c r="K893" s="50"/>
      <c r="L893" s="50"/>
      <c r="M893" s="50"/>
      <c r="N893" s="50"/>
      <c r="O893" s="50"/>
      <c r="P893" s="50"/>
      <c r="Q893" s="50"/>
      <c r="R893" s="50"/>
      <c r="S893" s="50"/>
      <c r="T893" s="50"/>
      <c r="U893" s="50"/>
      <c r="V893" s="50"/>
      <c r="W893" s="50"/>
      <c r="X893" s="50"/>
      <c r="Y893" s="50"/>
      <c r="Z893" s="50"/>
      <c r="AA893" s="50"/>
      <c r="AB893" s="50"/>
    </row>
    <row r="894" customFormat="false" ht="15.75" hidden="false" customHeight="false" outlineLevel="0" collapsed="false">
      <c r="A894" s="50"/>
      <c r="B894" s="50"/>
      <c r="C894" s="5"/>
      <c r="D894" s="48"/>
      <c r="E894" s="50"/>
      <c r="F894" s="5"/>
      <c r="G894" s="5"/>
      <c r="H894" s="5"/>
      <c r="I894" s="5"/>
      <c r="J894" s="5"/>
      <c r="K894" s="50"/>
      <c r="L894" s="50"/>
      <c r="M894" s="50"/>
      <c r="N894" s="50"/>
      <c r="O894" s="50"/>
      <c r="P894" s="50"/>
      <c r="Q894" s="50"/>
      <c r="R894" s="50"/>
      <c r="S894" s="50"/>
      <c r="T894" s="50"/>
      <c r="U894" s="50"/>
      <c r="V894" s="50"/>
      <c r="W894" s="50"/>
      <c r="X894" s="50"/>
      <c r="Y894" s="50"/>
      <c r="Z894" s="50"/>
      <c r="AA894" s="50"/>
      <c r="AB894" s="50"/>
    </row>
    <row r="895" customFormat="false" ht="15.75" hidden="false" customHeight="false" outlineLevel="0" collapsed="false">
      <c r="A895" s="50"/>
      <c r="B895" s="50"/>
      <c r="C895" s="5"/>
      <c r="D895" s="48"/>
      <c r="E895" s="50"/>
      <c r="F895" s="5"/>
      <c r="G895" s="5"/>
      <c r="H895" s="5"/>
      <c r="I895" s="5"/>
      <c r="J895" s="5"/>
      <c r="K895" s="50"/>
      <c r="L895" s="50"/>
      <c r="M895" s="50"/>
      <c r="N895" s="50"/>
      <c r="O895" s="50"/>
      <c r="P895" s="50"/>
      <c r="Q895" s="50"/>
      <c r="R895" s="50"/>
      <c r="S895" s="50"/>
      <c r="T895" s="50"/>
      <c r="U895" s="50"/>
      <c r="V895" s="50"/>
      <c r="W895" s="50"/>
      <c r="X895" s="50"/>
      <c r="Y895" s="50"/>
      <c r="Z895" s="50"/>
      <c r="AA895" s="50"/>
      <c r="AB895" s="50"/>
    </row>
    <row r="896" customFormat="false" ht="15.75" hidden="false" customHeight="false" outlineLevel="0" collapsed="false">
      <c r="A896" s="50"/>
      <c r="B896" s="50"/>
      <c r="C896" s="5"/>
      <c r="D896" s="48"/>
      <c r="E896" s="50"/>
      <c r="F896" s="5"/>
      <c r="G896" s="5"/>
      <c r="H896" s="5"/>
      <c r="I896" s="5"/>
      <c r="J896" s="5"/>
      <c r="K896" s="50"/>
      <c r="L896" s="50"/>
      <c r="M896" s="50"/>
      <c r="N896" s="50"/>
      <c r="O896" s="50"/>
      <c r="P896" s="50"/>
      <c r="Q896" s="50"/>
      <c r="R896" s="50"/>
      <c r="S896" s="50"/>
      <c r="T896" s="50"/>
      <c r="U896" s="50"/>
      <c r="V896" s="50"/>
      <c r="W896" s="50"/>
      <c r="X896" s="50"/>
      <c r="Y896" s="50"/>
      <c r="Z896" s="50"/>
      <c r="AA896" s="50"/>
      <c r="AB896" s="50"/>
    </row>
    <row r="897" customFormat="false" ht="15.75" hidden="false" customHeight="false" outlineLevel="0" collapsed="false">
      <c r="A897" s="50"/>
      <c r="B897" s="50"/>
      <c r="C897" s="5"/>
      <c r="D897" s="48"/>
      <c r="E897" s="50"/>
      <c r="F897" s="5"/>
      <c r="G897" s="5"/>
      <c r="H897" s="5"/>
      <c r="I897" s="5"/>
      <c r="J897" s="5"/>
      <c r="K897" s="50"/>
      <c r="L897" s="50"/>
      <c r="M897" s="50"/>
      <c r="N897" s="50"/>
      <c r="O897" s="50"/>
      <c r="P897" s="50"/>
      <c r="Q897" s="50"/>
      <c r="R897" s="50"/>
      <c r="S897" s="50"/>
      <c r="T897" s="50"/>
      <c r="U897" s="50"/>
      <c r="V897" s="50"/>
      <c r="W897" s="50"/>
      <c r="X897" s="50"/>
      <c r="Y897" s="50"/>
      <c r="Z897" s="50"/>
      <c r="AA897" s="50"/>
      <c r="AB897" s="50"/>
    </row>
    <row r="898" customFormat="false" ht="15.75" hidden="false" customHeight="false" outlineLevel="0" collapsed="false">
      <c r="A898" s="50"/>
      <c r="B898" s="50"/>
      <c r="C898" s="5"/>
      <c r="D898" s="48"/>
      <c r="E898" s="50"/>
      <c r="F898" s="5"/>
      <c r="G898" s="5"/>
      <c r="H898" s="5"/>
      <c r="I898" s="5"/>
      <c r="J898" s="5"/>
      <c r="K898" s="50"/>
      <c r="L898" s="50"/>
      <c r="M898" s="50"/>
      <c r="N898" s="50"/>
      <c r="O898" s="50"/>
      <c r="P898" s="50"/>
      <c r="Q898" s="50"/>
      <c r="R898" s="50"/>
      <c r="S898" s="50"/>
      <c r="T898" s="50"/>
      <c r="U898" s="50"/>
      <c r="V898" s="50"/>
      <c r="W898" s="50"/>
      <c r="X898" s="50"/>
      <c r="Y898" s="50"/>
      <c r="Z898" s="50"/>
      <c r="AA898" s="50"/>
      <c r="AB898" s="50"/>
    </row>
    <row r="899" customFormat="false" ht="15.75" hidden="false" customHeight="false" outlineLevel="0" collapsed="false">
      <c r="A899" s="50"/>
      <c r="B899" s="50"/>
      <c r="C899" s="5"/>
      <c r="D899" s="48"/>
      <c r="E899" s="50"/>
      <c r="F899" s="5"/>
      <c r="G899" s="5"/>
      <c r="H899" s="5"/>
      <c r="I899" s="5"/>
      <c r="J899" s="5"/>
      <c r="K899" s="50"/>
      <c r="L899" s="50"/>
      <c r="M899" s="50"/>
      <c r="N899" s="50"/>
      <c r="O899" s="50"/>
      <c r="P899" s="50"/>
      <c r="Q899" s="50"/>
      <c r="R899" s="50"/>
      <c r="S899" s="50"/>
      <c r="T899" s="50"/>
      <c r="U899" s="50"/>
      <c r="V899" s="50"/>
      <c r="W899" s="50"/>
      <c r="X899" s="50"/>
      <c r="Y899" s="50"/>
      <c r="Z899" s="50"/>
      <c r="AA899" s="50"/>
      <c r="AB899" s="50"/>
    </row>
    <row r="900" customFormat="false" ht="15.75" hidden="false" customHeight="false" outlineLevel="0" collapsed="false">
      <c r="A900" s="50"/>
      <c r="B900" s="50"/>
      <c r="C900" s="5"/>
      <c r="D900" s="48"/>
      <c r="E900" s="50"/>
      <c r="F900" s="5"/>
      <c r="G900" s="5"/>
      <c r="H900" s="5"/>
      <c r="I900" s="5"/>
      <c r="J900" s="5"/>
      <c r="K900" s="50"/>
      <c r="L900" s="50"/>
      <c r="M900" s="50"/>
      <c r="N900" s="50"/>
      <c r="O900" s="50"/>
      <c r="P900" s="50"/>
      <c r="Q900" s="50"/>
      <c r="R900" s="50"/>
      <c r="S900" s="50"/>
      <c r="T900" s="50"/>
      <c r="U900" s="50"/>
      <c r="V900" s="50"/>
      <c r="W900" s="50"/>
      <c r="X900" s="50"/>
      <c r="Y900" s="50"/>
      <c r="Z900" s="50"/>
      <c r="AA900" s="50"/>
      <c r="AB900" s="50"/>
    </row>
    <row r="901" customFormat="false" ht="15.75" hidden="false" customHeight="false" outlineLevel="0" collapsed="false">
      <c r="A901" s="50"/>
      <c r="B901" s="50"/>
      <c r="C901" s="5"/>
      <c r="D901" s="48"/>
      <c r="E901" s="50"/>
      <c r="F901" s="5"/>
      <c r="G901" s="5"/>
      <c r="H901" s="5"/>
      <c r="I901" s="5"/>
      <c r="J901" s="5"/>
      <c r="K901" s="50"/>
      <c r="L901" s="50"/>
      <c r="M901" s="50"/>
      <c r="N901" s="50"/>
      <c r="O901" s="50"/>
      <c r="P901" s="50"/>
      <c r="Q901" s="50"/>
      <c r="R901" s="50"/>
      <c r="S901" s="50"/>
      <c r="T901" s="50"/>
      <c r="U901" s="50"/>
      <c r="V901" s="50"/>
      <c r="W901" s="50"/>
      <c r="X901" s="50"/>
      <c r="Y901" s="50"/>
      <c r="Z901" s="50"/>
      <c r="AA901" s="50"/>
      <c r="AB901" s="50"/>
    </row>
    <row r="902" customFormat="false" ht="15.75" hidden="false" customHeight="false" outlineLevel="0" collapsed="false">
      <c r="A902" s="50"/>
      <c r="B902" s="50"/>
      <c r="C902" s="5"/>
      <c r="D902" s="48"/>
      <c r="E902" s="50"/>
      <c r="F902" s="5"/>
      <c r="G902" s="5"/>
      <c r="H902" s="5"/>
      <c r="I902" s="5"/>
      <c r="J902" s="5"/>
      <c r="K902" s="50"/>
      <c r="L902" s="50"/>
      <c r="M902" s="50"/>
      <c r="N902" s="50"/>
      <c r="O902" s="50"/>
      <c r="P902" s="50"/>
      <c r="Q902" s="50"/>
      <c r="R902" s="50"/>
      <c r="S902" s="50"/>
      <c r="T902" s="50"/>
      <c r="U902" s="50"/>
      <c r="V902" s="50"/>
      <c r="W902" s="50"/>
      <c r="X902" s="50"/>
      <c r="Y902" s="50"/>
      <c r="Z902" s="50"/>
      <c r="AA902" s="50"/>
      <c r="AB902" s="50"/>
    </row>
    <row r="903" customFormat="false" ht="15.75" hidden="false" customHeight="false" outlineLevel="0" collapsed="false">
      <c r="A903" s="50"/>
      <c r="B903" s="50"/>
      <c r="C903" s="5"/>
      <c r="D903" s="48"/>
      <c r="E903" s="50"/>
      <c r="F903" s="5"/>
      <c r="G903" s="5"/>
      <c r="H903" s="5"/>
      <c r="I903" s="5"/>
      <c r="J903" s="5"/>
      <c r="K903" s="50"/>
      <c r="L903" s="50"/>
      <c r="M903" s="50"/>
      <c r="N903" s="50"/>
      <c r="O903" s="50"/>
      <c r="P903" s="50"/>
      <c r="Q903" s="50"/>
      <c r="R903" s="50"/>
      <c r="S903" s="50"/>
      <c r="T903" s="50"/>
      <c r="U903" s="50"/>
      <c r="V903" s="50"/>
      <c r="W903" s="50"/>
      <c r="X903" s="50"/>
      <c r="Y903" s="50"/>
      <c r="Z903" s="50"/>
      <c r="AA903" s="50"/>
      <c r="AB903" s="50"/>
    </row>
    <row r="904" customFormat="false" ht="15.75" hidden="false" customHeight="false" outlineLevel="0" collapsed="false">
      <c r="A904" s="50"/>
      <c r="B904" s="50"/>
      <c r="C904" s="5"/>
      <c r="D904" s="48"/>
      <c r="E904" s="50"/>
      <c r="F904" s="5"/>
      <c r="G904" s="5"/>
      <c r="H904" s="5"/>
      <c r="I904" s="5"/>
      <c r="J904" s="5"/>
      <c r="K904" s="50"/>
      <c r="L904" s="50"/>
      <c r="M904" s="50"/>
      <c r="N904" s="50"/>
      <c r="O904" s="50"/>
      <c r="P904" s="50"/>
      <c r="Q904" s="50"/>
      <c r="R904" s="50"/>
      <c r="S904" s="50"/>
      <c r="T904" s="50"/>
      <c r="U904" s="50"/>
      <c r="V904" s="50"/>
      <c r="W904" s="50"/>
      <c r="X904" s="50"/>
      <c r="Y904" s="50"/>
      <c r="Z904" s="50"/>
      <c r="AA904" s="50"/>
      <c r="AB904" s="50"/>
    </row>
    <row r="905" customFormat="false" ht="15.75" hidden="false" customHeight="false" outlineLevel="0" collapsed="false">
      <c r="A905" s="50"/>
      <c r="B905" s="50"/>
      <c r="C905" s="5"/>
      <c r="D905" s="48"/>
      <c r="E905" s="50"/>
      <c r="F905" s="5"/>
      <c r="G905" s="5"/>
      <c r="H905" s="5"/>
      <c r="I905" s="5"/>
      <c r="J905" s="5"/>
      <c r="K905" s="50"/>
      <c r="L905" s="50"/>
      <c r="M905" s="50"/>
      <c r="N905" s="50"/>
      <c r="O905" s="50"/>
      <c r="P905" s="50"/>
      <c r="Q905" s="50"/>
      <c r="R905" s="50"/>
      <c r="S905" s="50"/>
      <c r="T905" s="50"/>
      <c r="U905" s="50"/>
      <c r="V905" s="50"/>
      <c r="W905" s="50"/>
      <c r="X905" s="50"/>
      <c r="Y905" s="50"/>
      <c r="Z905" s="50"/>
      <c r="AA905" s="50"/>
      <c r="AB905" s="50"/>
    </row>
    <row r="906" customFormat="false" ht="15.75" hidden="false" customHeight="false" outlineLevel="0" collapsed="false">
      <c r="A906" s="50"/>
      <c r="B906" s="50"/>
      <c r="C906" s="5"/>
      <c r="D906" s="48"/>
      <c r="E906" s="50"/>
      <c r="F906" s="5"/>
      <c r="G906" s="5"/>
      <c r="H906" s="5"/>
      <c r="I906" s="5"/>
      <c r="J906" s="5"/>
      <c r="K906" s="50"/>
      <c r="L906" s="50"/>
      <c r="M906" s="50"/>
      <c r="N906" s="50"/>
      <c r="O906" s="50"/>
      <c r="P906" s="50"/>
      <c r="Q906" s="50"/>
      <c r="R906" s="50"/>
      <c r="S906" s="50"/>
      <c r="T906" s="50"/>
      <c r="U906" s="50"/>
      <c r="V906" s="50"/>
      <c r="W906" s="50"/>
      <c r="X906" s="50"/>
      <c r="Y906" s="50"/>
      <c r="Z906" s="50"/>
      <c r="AA906" s="50"/>
      <c r="AB906" s="50"/>
    </row>
    <row r="907" customFormat="false" ht="15.75" hidden="false" customHeight="false" outlineLevel="0" collapsed="false">
      <c r="A907" s="50"/>
      <c r="B907" s="50"/>
      <c r="C907" s="5"/>
      <c r="D907" s="48"/>
      <c r="E907" s="50"/>
      <c r="F907" s="5"/>
      <c r="G907" s="5"/>
      <c r="H907" s="5"/>
      <c r="I907" s="5"/>
      <c r="J907" s="5"/>
      <c r="K907" s="50"/>
      <c r="L907" s="50"/>
      <c r="M907" s="50"/>
      <c r="N907" s="50"/>
      <c r="O907" s="50"/>
      <c r="P907" s="50"/>
      <c r="Q907" s="50"/>
      <c r="R907" s="50"/>
      <c r="S907" s="50"/>
      <c r="T907" s="50"/>
      <c r="U907" s="50"/>
      <c r="V907" s="50"/>
      <c r="W907" s="50"/>
      <c r="X907" s="50"/>
      <c r="Y907" s="50"/>
      <c r="Z907" s="50"/>
      <c r="AA907" s="50"/>
      <c r="AB907" s="50"/>
    </row>
    <row r="908" customFormat="false" ht="15.75" hidden="false" customHeight="false" outlineLevel="0" collapsed="false">
      <c r="A908" s="50"/>
      <c r="B908" s="50"/>
      <c r="C908" s="5"/>
      <c r="D908" s="48"/>
      <c r="E908" s="50"/>
      <c r="F908" s="5"/>
      <c r="G908" s="5"/>
      <c r="H908" s="5"/>
      <c r="I908" s="5"/>
      <c r="J908" s="5"/>
      <c r="K908" s="50"/>
      <c r="L908" s="50"/>
      <c r="M908" s="50"/>
      <c r="N908" s="50"/>
      <c r="O908" s="50"/>
      <c r="P908" s="50"/>
      <c r="Q908" s="50"/>
      <c r="R908" s="50"/>
      <c r="S908" s="50"/>
      <c r="T908" s="50"/>
      <c r="U908" s="50"/>
      <c r="V908" s="50"/>
      <c r="W908" s="50"/>
      <c r="X908" s="50"/>
      <c r="Y908" s="50"/>
      <c r="Z908" s="50"/>
      <c r="AA908" s="50"/>
      <c r="AB908" s="50"/>
    </row>
    <row r="909" customFormat="false" ht="15.75" hidden="false" customHeight="false" outlineLevel="0" collapsed="false">
      <c r="A909" s="50"/>
      <c r="B909" s="50"/>
      <c r="C909" s="5"/>
      <c r="D909" s="48"/>
      <c r="E909" s="50"/>
      <c r="F909" s="5"/>
      <c r="G909" s="5"/>
      <c r="H909" s="5"/>
      <c r="I909" s="5"/>
      <c r="J909" s="5"/>
      <c r="K909" s="50"/>
      <c r="L909" s="50"/>
      <c r="M909" s="50"/>
      <c r="N909" s="50"/>
      <c r="O909" s="50"/>
      <c r="P909" s="50"/>
      <c r="Q909" s="50"/>
      <c r="R909" s="50"/>
      <c r="S909" s="50"/>
      <c r="T909" s="50"/>
      <c r="U909" s="50"/>
      <c r="V909" s="50"/>
      <c r="W909" s="50"/>
      <c r="X909" s="50"/>
      <c r="Y909" s="50"/>
      <c r="Z909" s="50"/>
      <c r="AA909" s="50"/>
      <c r="AB909" s="50"/>
    </row>
    <row r="910" customFormat="false" ht="15.75" hidden="false" customHeight="false" outlineLevel="0" collapsed="false">
      <c r="A910" s="50"/>
      <c r="B910" s="50"/>
      <c r="C910" s="5"/>
      <c r="D910" s="48"/>
      <c r="E910" s="50"/>
      <c r="F910" s="5"/>
      <c r="G910" s="5"/>
      <c r="H910" s="5"/>
      <c r="I910" s="5"/>
      <c r="J910" s="5"/>
      <c r="K910" s="50"/>
      <c r="L910" s="50"/>
      <c r="M910" s="50"/>
      <c r="N910" s="50"/>
      <c r="O910" s="50"/>
      <c r="P910" s="50"/>
      <c r="Q910" s="50"/>
      <c r="R910" s="50"/>
      <c r="S910" s="50"/>
      <c r="T910" s="50"/>
      <c r="U910" s="50"/>
      <c r="V910" s="50"/>
      <c r="W910" s="50"/>
      <c r="X910" s="50"/>
      <c r="Y910" s="50"/>
      <c r="Z910" s="50"/>
      <c r="AA910" s="50"/>
      <c r="AB910" s="50"/>
    </row>
    <row r="911" customFormat="false" ht="15.75" hidden="false" customHeight="false" outlineLevel="0" collapsed="false">
      <c r="A911" s="50"/>
      <c r="B911" s="50"/>
      <c r="C911" s="5"/>
      <c r="D911" s="48"/>
      <c r="E911" s="50"/>
      <c r="F911" s="5"/>
      <c r="G911" s="5"/>
      <c r="H911" s="5"/>
      <c r="I911" s="5"/>
      <c r="J911" s="5"/>
      <c r="K911" s="50"/>
      <c r="L911" s="50"/>
      <c r="M911" s="50"/>
      <c r="N911" s="50"/>
      <c r="O911" s="50"/>
      <c r="P911" s="50"/>
      <c r="Q911" s="50"/>
      <c r="R911" s="50"/>
      <c r="S911" s="50"/>
      <c r="T911" s="50"/>
      <c r="U911" s="50"/>
      <c r="V911" s="50"/>
      <c r="W911" s="50"/>
      <c r="X911" s="50"/>
      <c r="Y911" s="50"/>
      <c r="Z911" s="50"/>
      <c r="AA911" s="50"/>
      <c r="AB911" s="50"/>
    </row>
    <row r="912" customFormat="false" ht="15.75" hidden="false" customHeight="false" outlineLevel="0" collapsed="false">
      <c r="A912" s="50"/>
      <c r="B912" s="50"/>
      <c r="C912" s="5"/>
      <c r="D912" s="48"/>
      <c r="E912" s="50"/>
      <c r="F912" s="5"/>
      <c r="G912" s="5"/>
      <c r="H912" s="5"/>
      <c r="I912" s="5"/>
      <c r="J912" s="5"/>
      <c r="K912" s="50"/>
      <c r="L912" s="50"/>
      <c r="M912" s="50"/>
      <c r="N912" s="50"/>
      <c r="O912" s="50"/>
      <c r="P912" s="50"/>
      <c r="Q912" s="50"/>
      <c r="R912" s="50"/>
      <c r="S912" s="50"/>
      <c r="T912" s="50"/>
      <c r="U912" s="50"/>
      <c r="V912" s="50"/>
      <c r="W912" s="50"/>
      <c r="X912" s="50"/>
      <c r="Y912" s="50"/>
      <c r="Z912" s="50"/>
      <c r="AA912" s="50"/>
      <c r="AB912" s="50"/>
    </row>
    <row r="913" customFormat="false" ht="15.75" hidden="false" customHeight="false" outlineLevel="0" collapsed="false">
      <c r="A913" s="50"/>
      <c r="B913" s="50"/>
      <c r="C913" s="5"/>
      <c r="D913" s="48"/>
      <c r="E913" s="50"/>
      <c r="F913" s="5"/>
      <c r="G913" s="5"/>
      <c r="H913" s="5"/>
      <c r="I913" s="5"/>
      <c r="J913" s="5"/>
      <c r="K913" s="50"/>
      <c r="L913" s="50"/>
      <c r="M913" s="50"/>
      <c r="N913" s="50"/>
      <c r="O913" s="50"/>
      <c r="P913" s="50"/>
      <c r="Q913" s="50"/>
      <c r="R913" s="50"/>
      <c r="S913" s="50"/>
      <c r="T913" s="50"/>
      <c r="U913" s="50"/>
      <c r="V913" s="50"/>
      <c r="W913" s="50"/>
      <c r="X913" s="50"/>
      <c r="Y913" s="50"/>
      <c r="Z913" s="50"/>
      <c r="AA913" s="50"/>
      <c r="AB913" s="50"/>
    </row>
    <row r="914" customFormat="false" ht="15.75" hidden="false" customHeight="false" outlineLevel="0" collapsed="false">
      <c r="A914" s="50"/>
      <c r="B914" s="50"/>
      <c r="C914" s="5"/>
      <c r="D914" s="48"/>
      <c r="E914" s="50"/>
      <c r="F914" s="5"/>
      <c r="G914" s="5"/>
      <c r="H914" s="5"/>
      <c r="I914" s="5"/>
      <c r="J914" s="5"/>
      <c r="K914" s="50"/>
      <c r="L914" s="50"/>
      <c r="M914" s="50"/>
      <c r="N914" s="50"/>
      <c r="O914" s="50"/>
      <c r="P914" s="50"/>
      <c r="Q914" s="50"/>
      <c r="R914" s="50"/>
      <c r="S914" s="50"/>
      <c r="T914" s="50"/>
      <c r="U914" s="50"/>
      <c r="V914" s="50"/>
      <c r="W914" s="50"/>
      <c r="X914" s="50"/>
      <c r="Y914" s="50"/>
      <c r="Z914" s="50"/>
      <c r="AA914" s="50"/>
      <c r="AB914" s="50"/>
    </row>
    <row r="915" customFormat="false" ht="15.75" hidden="false" customHeight="false" outlineLevel="0" collapsed="false">
      <c r="A915" s="50"/>
      <c r="B915" s="50"/>
      <c r="C915" s="5"/>
      <c r="D915" s="48"/>
      <c r="E915" s="50"/>
      <c r="F915" s="5"/>
      <c r="G915" s="5"/>
      <c r="H915" s="5"/>
      <c r="I915" s="5"/>
      <c r="J915" s="5"/>
      <c r="K915" s="50"/>
      <c r="L915" s="50"/>
      <c r="M915" s="50"/>
      <c r="N915" s="50"/>
      <c r="O915" s="50"/>
      <c r="P915" s="50"/>
      <c r="Q915" s="50"/>
      <c r="R915" s="50"/>
      <c r="S915" s="50"/>
      <c r="T915" s="50"/>
      <c r="U915" s="50"/>
      <c r="V915" s="50"/>
      <c r="W915" s="50"/>
      <c r="X915" s="50"/>
      <c r="Y915" s="50"/>
      <c r="Z915" s="50"/>
      <c r="AA915" s="50"/>
      <c r="AB915" s="50"/>
    </row>
    <row r="916" customFormat="false" ht="15.75" hidden="false" customHeight="false" outlineLevel="0" collapsed="false">
      <c r="A916" s="50"/>
      <c r="B916" s="50"/>
      <c r="C916" s="5"/>
      <c r="D916" s="48"/>
      <c r="E916" s="50"/>
      <c r="F916" s="5"/>
      <c r="G916" s="5"/>
      <c r="H916" s="5"/>
      <c r="I916" s="5"/>
      <c r="J916" s="5"/>
      <c r="K916" s="50"/>
      <c r="L916" s="50"/>
      <c r="M916" s="50"/>
      <c r="N916" s="50"/>
      <c r="O916" s="50"/>
      <c r="P916" s="50"/>
      <c r="Q916" s="50"/>
      <c r="R916" s="50"/>
      <c r="S916" s="50"/>
      <c r="T916" s="50"/>
      <c r="U916" s="50"/>
      <c r="V916" s="50"/>
      <c r="W916" s="50"/>
      <c r="X916" s="50"/>
      <c r="Y916" s="50"/>
      <c r="Z916" s="50"/>
      <c r="AA916" s="50"/>
      <c r="AB916" s="50"/>
    </row>
    <row r="917" customFormat="false" ht="15.75" hidden="false" customHeight="false" outlineLevel="0" collapsed="false">
      <c r="A917" s="50"/>
      <c r="B917" s="50"/>
      <c r="C917" s="5"/>
      <c r="D917" s="48"/>
      <c r="E917" s="50"/>
      <c r="F917" s="5"/>
      <c r="G917" s="5"/>
      <c r="H917" s="5"/>
      <c r="I917" s="5"/>
      <c r="J917" s="5"/>
      <c r="K917" s="50"/>
      <c r="L917" s="50"/>
      <c r="M917" s="50"/>
      <c r="N917" s="50"/>
      <c r="O917" s="50"/>
      <c r="P917" s="50"/>
      <c r="Q917" s="50"/>
      <c r="R917" s="50"/>
      <c r="S917" s="50"/>
      <c r="T917" s="50"/>
      <c r="U917" s="50"/>
      <c r="V917" s="50"/>
      <c r="W917" s="50"/>
      <c r="X917" s="50"/>
      <c r="Y917" s="50"/>
      <c r="Z917" s="50"/>
      <c r="AA917" s="50"/>
      <c r="AB917" s="50"/>
    </row>
    <row r="918" customFormat="false" ht="15.75" hidden="false" customHeight="false" outlineLevel="0" collapsed="false">
      <c r="A918" s="50"/>
      <c r="B918" s="50"/>
      <c r="C918" s="5"/>
      <c r="D918" s="48"/>
      <c r="E918" s="50"/>
      <c r="F918" s="5"/>
      <c r="G918" s="5"/>
      <c r="H918" s="5"/>
      <c r="I918" s="5"/>
      <c r="J918" s="5"/>
      <c r="K918" s="50"/>
      <c r="L918" s="50"/>
      <c r="M918" s="50"/>
      <c r="N918" s="50"/>
      <c r="O918" s="50"/>
      <c r="P918" s="50"/>
      <c r="Q918" s="50"/>
      <c r="R918" s="50"/>
      <c r="S918" s="50"/>
      <c r="T918" s="50"/>
      <c r="U918" s="50"/>
      <c r="V918" s="50"/>
      <c r="W918" s="50"/>
      <c r="X918" s="50"/>
      <c r="Y918" s="50"/>
      <c r="Z918" s="50"/>
      <c r="AA918" s="50"/>
      <c r="AB918" s="50"/>
    </row>
    <row r="919" customFormat="false" ht="15.75" hidden="false" customHeight="false" outlineLevel="0" collapsed="false">
      <c r="A919" s="50"/>
      <c r="B919" s="50"/>
      <c r="C919" s="5"/>
      <c r="D919" s="48"/>
      <c r="E919" s="50"/>
      <c r="F919" s="5"/>
      <c r="G919" s="5"/>
      <c r="H919" s="5"/>
      <c r="I919" s="5"/>
      <c r="J919" s="5"/>
      <c r="K919" s="50"/>
      <c r="L919" s="50"/>
      <c r="M919" s="50"/>
      <c r="N919" s="50"/>
      <c r="O919" s="50"/>
      <c r="P919" s="50"/>
      <c r="Q919" s="50"/>
      <c r="R919" s="50"/>
      <c r="S919" s="50"/>
      <c r="T919" s="50"/>
      <c r="U919" s="50"/>
      <c r="V919" s="50"/>
      <c r="W919" s="50"/>
      <c r="X919" s="50"/>
      <c r="Y919" s="50"/>
      <c r="Z919" s="50"/>
      <c r="AA919" s="50"/>
      <c r="AB919" s="50"/>
    </row>
    <row r="920" customFormat="false" ht="15.75" hidden="false" customHeight="false" outlineLevel="0" collapsed="false">
      <c r="A920" s="50"/>
      <c r="B920" s="50"/>
      <c r="C920" s="5"/>
      <c r="D920" s="48"/>
      <c r="E920" s="50"/>
      <c r="F920" s="5"/>
      <c r="G920" s="5"/>
      <c r="H920" s="5"/>
      <c r="I920" s="5"/>
      <c r="J920" s="5"/>
      <c r="K920" s="50"/>
      <c r="L920" s="50"/>
      <c r="M920" s="50"/>
      <c r="N920" s="50"/>
      <c r="O920" s="50"/>
      <c r="P920" s="50"/>
      <c r="Q920" s="50"/>
      <c r="R920" s="50"/>
      <c r="S920" s="50"/>
      <c r="T920" s="50"/>
      <c r="U920" s="50"/>
      <c r="V920" s="50"/>
      <c r="W920" s="50"/>
      <c r="X920" s="50"/>
      <c r="Y920" s="50"/>
      <c r="Z920" s="50"/>
      <c r="AA920" s="50"/>
      <c r="AB920" s="50"/>
    </row>
    <row r="921" customFormat="false" ht="15.75" hidden="false" customHeight="false" outlineLevel="0" collapsed="false">
      <c r="A921" s="50"/>
      <c r="B921" s="50"/>
      <c r="C921" s="5"/>
      <c r="D921" s="48"/>
      <c r="E921" s="50"/>
      <c r="F921" s="5"/>
      <c r="G921" s="5"/>
      <c r="H921" s="5"/>
      <c r="I921" s="5"/>
      <c r="J921" s="5"/>
      <c r="K921" s="50"/>
      <c r="L921" s="50"/>
      <c r="M921" s="50"/>
      <c r="N921" s="50"/>
      <c r="O921" s="50"/>
      <c r="P921" s="50"/>
      <c r="Q921" s="50"/>
      <c r="R921" s="50"/>
      <c r="S921" s="50"/>
      <c r="T921" s="50"/>
      <c r="U921" s="50"/>
      <c r="V921" s="50"/>
      <c r="W921" s="50"/>
      <c r="X921" s="50"/>
      <c r="Y921" s="50"/>
      <c r="Z921" s="50"/>
      <c r="AA921" s="50"/>
      <c r="AB921" s="50"/>
    </row>
    <row r="922" customFormat="false" ht="15.75" hidden="false" customHeight="false" outlineLevel="0" collapsed="false">
      <c r="A922" s="50"/>
      <c r="B922" s="50"/>
      <c r="C922" s="5"/>
      <c r="D922" s="48"/>
      <c r="E922" s="50"/>
      <c r="F922" s="5"/>
      <c r="G922" s="5"/>
      <c r="H922" s="5"/>
      <c r="I922" s="5"/>
      <c r="J922" s="5"/>
      <c r="K922" s="50"/>
      <c r="L922" s="50"/>
      <c r="M922" s="50"/>
      <c r="N922" s="50"/>
      <c r="O922" s="50"/>
      <c r="P922" s="50"/>
      <c r="Q922" s="50"/>
      <c r="R922" s="50"/>
      <c r="S922" s="50"/>
      <c r="T922" s="50"/>
      <c r="U922" s="50"/>
      <c r="V922" s="50"/>
      <c r="W922" s="50"/>
      <c r="X922" s="50"/>
      <c r="Y922" s="50"/>
      <c r="Z922" s="50"/>
      <c r="AA922" s="50"/>
      <c r="AB922" s="50"/>
    </row>
    <row r="923" customFormat="false" ht="15.75" hidden="false" customHeight="false" outlineLevel="0" collapsed="false">
      <c r="A923" s="50"/>
      <c r="B923" s="50"/>
      <c r="C923" s="5"/>
      <c r="D923" s="48"/>
      <c r="E923" s="50"/>
      <c r="F923" s="5"/>
      <c r="G923" s="5"/>
      <c r="H923" s="5"/>
      <c r="I923" s="5"/>
      <c r="J923" s="5"/>
      <c r="K923" s="50"/>
      <c r="L923" s="50"/>
      <c r="M923" s="50"/>
      <c r="N923" s="50"/>
      <c r="O923" s="50"/>
      <c r="P923" s="50"/>
      <c r="Q923" s="50"/>
      <c r="R923" s="50"/>
      <c r="S923" s="50"/>
      <c r="T923" s="50"/>
      <c r="U923" s="50"/>
      <c r="V923" s="50"/>
      <c r="W923" s="50"/>
      <c r="X923" s="50"/>
      <c r="Y923" s="50"/>
      <c r="Z923" s="50"/>
      <c r="AA923" s="50"/>
      <c r="AB923" s="50"/>
    </row>
    <row r="924" customFormat="false" ht="15.75" hidden="false" customHeight="false" outlineLevel="0" collapsed="false">
      <c r="A924" s="50"/>
      <c r="B924" s="50"/>
      <c r="C924" s="5"/>
      <c r="D924" s="48"/>
      <c r="E924" s="50"/>
      <c r="F924" s="5"/>
      <c r="G924" s="5"/>
      <c r="H924" s="5"/>
      <c r="I924" s="5"/>
      <c r="J924" s="5"/>
      <c r="K924" s="50"/>
      <c r="L924" s="50"/>
      <c r="M924" s="50"/>
      <c r="N924" s="50"/>
      <c r="O924" s="50"/>
      <c r="P924" s="50"/>
      <c r="Q924" s="50"/>
      <c r="R924" s="50"/>
      <c r="S924" s="50"/>
      <c r="T924" s="50"/>
      <c r="U924" s="50"/>
      <c r="V924" s="50"/>
      <c r="W924" s="50"/>
      <c r="X924" s="50"/>
      <c r="Y924" s="50"/>
      <c r="Z924" s="50"/>
      <c r="AA924" s="50"/>
      <c r="AB924" s="50"/>
    </row>
    <row r="925" customFormat="false" ht="15.75" hidden="false" customHeight="false" outlineLevel="0" collapsed="false">
      <c r="A925" s="50"/>
      <c r="B925" s="50"/>
      <c r="C925" s="5"/>
      <c r="D925" s="48"/>
      <c r="E925" s="50"/>
      <c r="F925" s="5"/>
      <c r="G925" s="5"/>
      <c r="H925" s="5"/>
      <c r="I925" s="5"/>
      <c r="J925" s="5"/>
      <c r="K925" s="50"/>
      <c r="L925" s="50"/>
      <c r="M925" s="50"/>
      <c r="N925" s="50"/>
      <c r="O925" s="50"/>
      <c r="P925" s="50"/>
      <c r="Q925" s="50"/>
      <c r="R925" s="50"/>
      <c r="S925" s="50"/>
      <c r="T925" s="50"/>
      <c r="U925" s="50"/>
      <c r="V925" s="50"/>
      <c r="W925" s="50"/>
      <c r="X925" s="50"/>
      <c r="Y925" s="50"/>
      <c r="Z925" s="50"/>
      <c r="AA925" s="50"/>
      <c r="AB925" s="50"/>
    </row>
    <row r="926" customFormat="false" ht="15.75" hidden="false" customHeight="false" outlineLevel="0" collapsed="false">
      <c r="A926" s="50"/>
      <c r="B926" s="50"/>
      <c r="C926" s="5"/>
      <c r="D926" s="48"/>
      <c r="E926" s="50"/>
      <c r="F926" s="5"/>
      <c r="G926" s="5"/>
      <c r="H926" s="5"/>
      <c r="I926" s="5"/>
      <c r="J926" s="5"/>
      <c r="K926" s="50"/>
      <c r="L926" s="50"/>
      <c r="M926" s="50"/>
      <c r="N926" s="50"/>
      <c r="O926" s="50"/>
      <c r="P926" s="50"/>
      <c r="Q926" s="50"/>
      <c r="R926" s="50"/>
      <c r="S926" s="50"/>
      <c r="T926" s="50"/>
      <c r="U926" s="50"/>
      <c r="V926" s="50"/>
      <c r="W926" s="50"/>
      <c r="X926" s="50"/>
      <c r="Y926" s="50"/>
      <c r="Z926" s="50"/>
      <c r="AA926" s="50"/>
      <c r="AB926" s="50"/>
    </row>
    <row r="927" customFormat="false" ht="15.75" hidden="false" customHeight="false" outlineLevel="0" collapsed="false">
      <c r="A927" s="50"/>
      <c r="B927" s="50"/>
      <c r="C927" s="5"/>
      <c r="D927" s="48"/>
      <c r="E927" s="50"/>
      <c r="F927" s="5"/>
      <c r="G927" s="5"/>
      <c r="H927" s="5"/>
      <c r="I927" s="5"/>
      <c r="J927" s="5"/>
      <c r="K927" s="50"/>
      <c r="L927" s="50"/>
      <c r="M927" s="50"/>
      <c r="N927" s="50"/>
      <c r="O927" s="50"/>
      <c r="P927" s="50"/>
      <c r="Q927" s="50"/>
      <c r="R927" s="50"/>
      <c r="S927" s="50"/>
      <c r="T927" s="50"/>
      <c r="U927" s="50"/>
      <c r="V927" s="50"/>
      <c r="W927" s="50"/>
      <c r="X927" s="50"/>
      <c r="Y927" s="50"/>
      <c r="Z927" s="50"/>
      <c r="AA927" s="50"/>
      <c r="AB927" s="50"/>
    </row>
    <row r="928" customFormat="false" ht="15.75" hidden="false" customHeight="false" outlineLevel="0" collapsed="false">
      <c r="A928" s="50"/>
      <c r="B928" s="50"/>
      <c r="C928" s="5"/>
      <c r="D928" s="48"/>
      <c r="E928" s="50"/>
      <c r="F928" s="5"/>
      <c r="G928" s="5"/>
      <c r="H928" s="5"/>
      <c r="I928" s="5"/>
      <c r="J928" s="5"/>
      <c r="K928" s="50"/>
      <c r="L928" s="50"/>
      <c r="M928" s="50"/>
      <c r="N928" s="50"/>
      <c r="O928" s="50"/>
      <c r="P928" s="50"/>
      <c r="Q928" s="50"/>
      <c r="R928" s="50"/>
      <c r="S928" s="50"/>
      <c r="T928" s="50"/>
      <c r="U928" s="50"/>
      <c r="V928" s="50"/>
      <c r="W928" s="50"/>
      <c r="X928" s="50"/>
      <c r="Y928" s="50"/>
      <c r="Z928" s="50"/>
      <c r="AA928" s="50"/>
      <c r="AB928" s="50"/>
    </row>
    <row r="929" customFormat="false" ht="15.75" hidden="false" customHeight="false" outlineLevel="0" collapsed="false">
      <c r="A929" s="50"/>
      <c r="B929" s="50"/>
      <c r="C929" s="5"/>
      <c r="D929" s="48"/>
      <c r="E929" s="50"/>
      <c r="F929" s="5"/>
      <c r="G929" s="5"/>
      <c r="H929" s="5"/>
      <c r="I929" s="5"/>
      <c r="J929" s="5"/>
      <c r="K929" s="50"/>
      <c r="L929" s="50"/>
      <c r="M929" s="50"/>
      <c r="N929" s="50"/>
      <c r="O929" s="50"/>
      <c r="P929" s="50"/>
      <c r="Q929" s="50"/>
      <c r="R929" s="50"/>
      <c r="S929" s="50"/>
      <c r="T929" s="50"/>
      <c r="U929" s="50"/>
      <c r="V929" s="50"/>
      <c r="W929" s="50"/>
      <c r="X929" s="50"/>
      <c r="Y929" s="50"/>
      <c r="Z929" s="50"/>
      <c r="AA929" s="50"/>
      <c r="AB929" s="50"/>
    </row>
    <row r="930" customFormat="false" ht="15.75" hidden="false" customHeight="false" outlineLevel="0" collapsed="false">
      <c r="A930" s="50"/>
      <c r="B930" s="50"/>
      <c r="C930" s="5"/>
      <c r="D930" s="48"/>
      <c r="E930" s="50"/>
      <c r="F930" s="5"/>
      <c r="G930" s="5"/>
      <c r="H930" s="5"/>
      <c r="I930" s="5"/>
      <c r="J930" s="5"/>
      <c r="K930" s="50"/>
      <c r="L930" s="50"/>
      <c r="M930" s="50"/>
      <c r="N930" s="50"/>
      <c r="O930" s="50"/>
      <c r="P930" s="50"/>
      <c r="Q930" s="50"/>
      <c r="R930" s="50"/>
      <c r="S930" s="50"/>
      <c r="T930" s="50"/>
      <c r="U930" s="50"/>
      <c r="V930" s="50"/>
      <c r="W930" s="50"/>
      <c r="X930" s="50"/>
      <c r="Y930" s="50"/>
      <c r="Z930" s="50"/>
      <c r="AA930" s="50"/>
      <c r="AB930" s="50"/>
    </row>
    <row r="931" customFormat="false" ht="15.75" hidden="false" customHeight="false" outlineLevel="0" collapsed="false">
      <c r="A931" s="50"/>
      <c r="B931" s="50"/>
      <c r="C931" s="5"/>
      <c r="D931" s="48"/>
      <c r="E931" s="50"/>
      <c r="F931" s="5"/>
      <c r="G931" s="5"/>
      <c r="H931" s="5"/>
      <c r="I931" s="5"/>
      <c r="J931" s="5"/>
      <c r="K931" s="50"/>
      <c r="L931" s="50"/>
      <c r="M931" s="50"/>
      <c r="N931" s="50"/>
      <c r="O931" s="50"/>
      <c r="P931" s="50"/>
      <c r="Q931" s="50"/>
      <c r="R931" s="50"/>
      <c r="S931" s="50"/>
      <c r="T931" s="50"/>
      <c r="U931" s="50"/>
      <c r="V931" s="50"/>
      <c r="W931" s="50"/>
      <c r="X931" s="50"/>
      <c r="Y931" s="50"/>
      <c r="Z931" s="50"/>
      <c r="AA931" s="50"/>
      <c r="AB931" s="50"/>
    </row>
    <row r="932" customFormat="false" ht="15.75" hidden="false" customHeight="false" outlineLevel="0" collapsed="false">
      <c r="A932" s="50"/>
      <c r="B932" s="50"/>
      <c r="C932" s="5"/>
      <c r="D932" s="48"/>
      <c r="E932" s="50"/>
      <c r="F932" s="5"/>
      <c r="G932" s="5"/>
      <c r="H932" s="5"/>
      <c r="I932" s="5"/>
      <c r="J932" s="5"/>
      <c r="K932" s="50"/>
      <c r="L932" s="50"/>
      <c r="M932" s="50"/>
      <c r="N932" s="50"/>
      <c r="O932" s="50"/>
      <c r="P932" s="50"/>
      <c r="Q932" s="50"/>
      <c r="R932" s="50"/>
      <c r="S932" s="50"/>
      <c r="T932" s="50"/>
      <c r="U932" s="50"/>
      <c r="V932" s="50"/>
      <c r="W932" s="50"/>
      <c r="X932" s="50"/>
      <c r="Y932" s="50"/>
      <c r="Z932" s="50"/>
      <c r="AA932" s="50"/>
      <c r="AB932" s="50"/>
    </row>
    <row r="933" customFormat="false" ht="15.75" hidden="false" customHeight="false" outlineLevel="0" collapsed="false">
      <c r="A933" s="50"/>
      <c r="B933" s="50"/>
      <c r="C933" s="5"/>
      <c r="D933" s="48"/>
      <c r="E933" s="50"/>
      <c r="F933" s="5"/>
      <c r="G933" s="5"/>
      <c r="H933" s="5"/>
      <c r="I933" s="5"/>
      <c r="J933" s="5"/>
      <c r="K933" s="50"/>
      <c r="L933" s="50"/>
      <c r="M933" s="50"/>
      <c r="N933" s="50"/>
      <c r="O933" s="50"/>
      <c r="P933" s="50"/>
      <c r="Q933" s="50"/>
      <c r="R933" s="50"/>
      <c r="S933" s="50"/>
      <c r="T933" s="50"/>
      <c r="U933" s="50"/>
      <c r="V933" s="50"/>
      <c r="W933" s="50"/>
      <c r="X933" s="50"/>
      <c r="Y933" s="50"/>
      <c r="Z933" s="50"/>
      <c r="AA933" s="50"/>
      <c r="AB933" s="50"/>
    </row>
    <row r="934" customFormat="false" ht="15.75" hidden="false" customHeight="false" outlineLevel="0" collapsed="false">
      <c r="A934" s="50"/>
      <c r="B934" s="50"/>
      <c r="C934" s="5"/>
      <c r="D934" s="48"/>
      <c r="E934" s="50"/>
      <c r="F934" s="5"/>
      <c r="G934" s="5"/>
      <c r="H934" s="5"/>
      <c r="I934" s="5"/>
      <c r="J934" s="5"/>
      <c r="K934" s="50"/>
      <c r="L934" s="50"/>
      <c r="M934" s="50"/>
      <c r="N934" s="50"/>
      <c r="O934" s="50"/>
      <c r="P934" s="50"/>
      <c r="Q934" s="50"/>
      <c r="R934" s="50"/>
      <c r="S934" s="50"/>
      <c r="T934" s="50"/>
      <c r="U934" s="50"/>
      <c r="V934" s="50"/>
      <c r="W934" s="50"/>
      <c r="X934" s="50"/>
      <c r="Y934" s="50"/>
      <c r="Z934" s="50"/>
      <c r="AA934" s="50"/>
      <c r="AB934" s="50"/>
    </row>
    <row r="935" customFormat="false" ht="15.75" hidden="false" customHeight="false" outlineLevel="0" collapsed="false">
      <c r="A935" s="50"/>
      <c r="B935" s="50"/>
      <c r="C935" s="5"/>
      <c r="D935" s="48"/>
      <c r="E935" s="50"/>
      <c r="F935" s="5"/>
      <c r="G935" s="5"/>
      <c r="H935" s="5"/>
      <c r="I935" s="5"/>
      <c r="J935" s="5"/>
      <c r="K935" s="50"/>
      <c r="L935" s="50"/>
      <c r="M935" s="50"/>
      <c r="N935" s="50"/>
      <c r="O935" s="50"/>
      <c r="P935" s="50"/>
      <c r="Q935" s="50"/>
      <c r="R935" s="50"/>
      <c r="S935" s="50"/>
      <c r="T935" s="50"/>
      <c r="U935" s="50"/>
      <c r="V935" s="50"/>
      <c r="W935" s="50"/>
      <c r="X935" s="50"/>
      <c r="Y935" s="50"/>
      <c r="Z935" s="50"/>
      <c r="AA935" s="50"/>
      <c r="AB935" s="50"/>
    </row>
    <row r="936" customFormat="false" ht="15.75" hidden="false" customHeight="false" outlineLevel="0" collapsed="false">
      <c r="A936" s="50"/>
      <c r="B936" s="50"/>
      <c r="C936" s="5"/>
      <c r="D936" s="48"/>
      <c r="E936" s="50"/>
      <c r="F936" s="5"/>
      <c r="G936" s="5"/>
      <c r="H936" s="5"/>
      <c r="I936" s="5"/>
      <c r="J936" s="5"/>
      <c r="K936" s="50"/>
      <c r="L936" s="50"/>
      <c r="M936" s="50"/>
      <c r="N936" s="50"/>
      <c r="O936" s="50"/>
      <c r="P936" s="50"/>
      <c r="Q936" s="50"/>
      <c r="R936" s="50"/>
      <c r="S936" s="50"/>
      <c r="T936" s="50"/>
      <c r="U936" s="50"/>
      <c r="V936" s="50"/>
      <c r="W936" s="50"/>
      <c r="X936" s="50"/>
      <c r="Y936" s="50"/>
      <c r="Z936" s="50"/>
      <c r="AA936" s="50"/>
      <c r="AB936" s="50"/>
    </row>
    <row r="937" customFormat="false" ht="15.75" hidden="false" customHeight="false" outlineLevel="0" collapsed="false">
      <c r="A937" s="50"/>
      <c r="B937" s="50"/>
      <c r="C937" s="5"/>
      <c r="D937" s="48"/>
      <c r="E937" s="50"/>
      <c r="F937" s="5"/>
      <c r="G937" s="5"/>
      <c r="H937" s="5"/>
      <c r="I937" s="5"/>
      <c r="J937" s="5"/>
      <c r="K937" s="50"/>
      <c r="L937" s="50"/>
      <c r="M937" s="50"/>
      <c r="N937" s="50"/>
      <c r="O937" s="50"/>
      <c r="P937" s="50"/>
      <c r="Q937" s="50"/>
      <c r="R937" s="50"/>
      <c r="S937" s="50"/>
      <c r="T937" s="50"/>
      <c r="U937" s="50"/>
      <c r="V937" s="50"/>
      <c r="W937" s="50"/>
      <c r="X937" s="50"/>
      <c r="Y937" s="50"/>
      <c r="Z937" s="50"/>
      <c r="AA937" s="50"/>
      <c r="AB937" s="50"/>
    </row>
    <row r="938" customFormat="false" ht="15.75" hidden="false" customHeight="false" outlineLevel="0" collapsed="false">
      <c r="A938" s="50"/>
      <c r="B938" s="50"/>
      <c r="C938" s="5"/>
      <c r="D938" s="48"/>
      <c r="E938" s="50"/>
      <c r="F938" s="5"/>
      <c r="G938" s="5"/>
      <c r="H938" s="5"/>
      <c r="I938" s="5"/>
      <c r="J938" s="5"/>
      <c r="K938" s="50"/>
      <c r="L938" s="50"/>
      <c r="M938" s="50"/>
      <c r="N938" s="50"/>
      <c r="O938" s="50"/>
      <c r="P938" s="50"/>
      <c r="Q938" s="50"/>
      <c r="R938" s="50"/>
      <c r="S938" s="50"/>
      <c r="T938" s="50"/>
      <c r="U938" s="50"/>
      <c r="V938" s="50"/>
      <c r="W938" s="50"/>
      <c r="X938" s="50"/>
      <c r="Y938" s="50"/>
      <c r="Z938" s="50"/>
      <c r="AA938" s="50"/>
      <c r="AB938" s="50"/>
    </row>
    <row r="939" customFormat="false" ht="15.75" hidden="false" customHeight="false" outlineLevel="0" collapsed="false">
      <c r="A939" s="50"/>
      <c r="B939" s="50"/>
      <c r="C939" s="5"/>
      <c r="D939" s="48"/>
      <c r="E939" s="50"/>
      <c r="F939" s="5"/>
      <c r="G939" s="5"/>
      <c r="H939" s="5"/>
      <c r="I939" s="5"/>
      <c r="J939" s="5"/>
      <c r="K939" s="50"/>
      <c r="L939" s="50"/>
      <c r="M939" s="50"/>
      <c r="N939" s="50"/>
      <c r="O939" s="50"/>
      <c r="P939" s="50"/>
      <c r="Q939" s="50"/>
      <c r="R939" s="50"/>
      <c r="S939" s="50"/>
      <c r="T939" s="50"/>
      <c r="U939" s="50"/>
      <c r="V939" s="50"/>
      <c r="W939" s="50"/>
      <c r="X939" s="50"/>
      <c r="Y939" s="50"/>
      <c r="Z939" s="50"/>
      <c r="AA939" s="50"/>
      <c r="AB939" s="50"/>
    </row>
    <row r="940" customFormat="false" ht="15.75" hidden="false" customHeight="false" outlineLevel="0" collapsed="false">
      <c r="A940" s="50"/>
      <c r="B940" s="50"/>
      <c r="C940" s="5"/>
      <c r="D940" s="48"/>
      <c r="E940" s="50"/>
      <c r="F940" s="5"/>
      <c r="G940" s="5"/>
      <c r="H940" s="5"/>
      <c r="I940" s="5"/>
      <c r="J940" s="5"/>
      <c r="K940" s="50"/>
      <c r="L940" s="50"/>
      <c r="M940" s="50"/>
      <c r="N940" s="50"/>
      <c r="O940" s="50"/>
      <c r="P940" s="50"/>
      <c r="Q940" s="50"/>
      <c r="R940" s="50"/>
      <c r="S940" s="50"/>
      <c r="T940" s="50"/>
      <c r="U940" s="50"/>
      <c r="V940" s="50"/>
      <c r="W940" s="50"/>
      <c r="X940" s="50"/>
      <c r="Y940" s="50"/>
      <c r="Z940" s="50"/>
      <c r="AA940" s="50"/>
      <c r="AB940" s="50"/>
    </row>
    <row r="941" customFormat="false" ht="15.75" hidden="false" customHeight="false" outlineLevel="0" collapsed="false">
      <c r="A941" s="50"/>
      <c r="B941" s="50"/>
      <c r="C941" s="5"/>
      <c r="D941" s="48"/>
      <c r="E941" s="50"/>
      <c r="F941" s="5"/>
      <c r="G941" s="5"/>
      <c r="H941" s="5"/>
      <c r="I941" s="5"/>
      <c r="J941" s="5"/>
      <c r="K941" s="50"/>
      <c r="L941" s="50"/>
      <c r="M941" s="50"/>
      <c r="N941" s="50"/>
      <c r="O941" s="50"/>
      <c r="P941" s="50"/>
      <c r="Q941" s="50"/>
      <c r="R941" s="50"/>
      <c r="S941" s="50"/>
      <c r="T941" s="50"/>
      <c r="U941" s="50"/>
      <c r="V941" s="50"/>
      <c r="W941" s="50"/>
      <c r="X941" s="50"/>
      <c r="Y941" s="50"/>
      <c r="Z941" s="50"/>
      <c r="AA941" s="50"/>
      <c r="AB941" s="50"/>
    </row>
    <row r="942" customFormat="false" ht="15.75" hidden="false" customHeight="false" outlineLevel="0" collapsed="false">
      <c r="A942" s="50"/>
      <c r="B942" s="50"/>
      <c r="C942" s="5"/>
      <c r="D942" s="48"/>
      <c r="E942" s="50"/>
      <c r="F942" s="5"/>
      <c r="G942" s="5"/>
      <c r="H942" s="5"/>
      <c r="I942" s="5"/>
      <c r="J942" s="5"/>
      <c r="K942" s="50"/>
      <c r="L942" s="50"/>
      <c r="M942" s="50"/>
      <c r="N942" s="50"/>
      <c r="O942" s="50"/>
      <c r="P942" s="50"/>
      <c r="Q942" s="50"/>
      <c r="R942" s="50"/>
      <c r="S942" s="50"/>
      <c r="T942" s="50"/>
      <c r="U942" s="50"/>
      <c r="V942" s="50"/>
      <c r="W942" s="50"/>
      <c r="X942" s="50"/>
      <c r="Y942" s="50"/>
      <c r="Z942" s="50"/>
      <c r="AA942" s="50"/>
      <c r="AB942" s="50"/>
    </row>
    <row r="943" customFormat="false" ht="15.75" hidden="false" customHeight="false" outlineLevel="0" collapsed="false">
      <c r="A943" s="50"/>
      <c r="B943" s="50"/>
      <c r="C943" s="5"/>
      <c r="D943" s="48"/>
      <c r="E943" s="50"/>
      <c r="F943" s="5"/>
      <c r="G943" s="5"/>
      <c r="H943" s="5"/>
      <c r="I943" s="5"/>
      <c r="J943" s="5"/>
      <c r="K943" s="50"/>
      <c r="L943" s="50"/>
      <c r="M943" s="50"/>
      <c r="N943" s="50"/>
      <c r="O943" s="50"/>
      <c r="P943" s="50"/>
      <c r="Q943" s="50"/>
      <c r="R943" s="50"/>
      <c r="S943" s="50"/>
      <c r="T943" s="50"/>
      <c r="U943" s="50"/>
      <c r="V943" s="50"/>
      <c r="W943" s="50"/>
      <c r="X943" s="50"/>
      <c r="Y943" s="50"/>
      <c r="Z943" s="50"/>
      <c r="AA943" s="50"/>
      <c r="AB943" s="50"/>
    </row>
    <row r="944" customFormat="false" ht="15.75" hidden="false" customHeight="false" outlineLevel="0" collapsed="false">
      <c r="A944" s="50"/>
      <c r="B944" s="50"/>
      <c r="C944" s="5"/>
      <c r="D944" s="48"/>
      <c r="E944" s="50"/>
      <c r="F944" s="5"/>
      <c r="G944" s="5"/>
      <c r="H944" s="5"/>
      <c r="I944" s="5"/>
      <c r="J944" s="5"/>
      <c r="K944" s="50"/>
      <c r="L944" s="50"/>
      <c r="M944" s="50"/>
      <c r="N944" s="50"/>
      <c r="O944" s="50"/>
      <c r="P944" s="50"/>
      <c r="Q944" s="50"/>
      <c r="R944" s="50"/>
      <c r="S944" s="50"/>
      <c r="T944" s="50"/>
      <c r="U944" s="50"/>
      <c r="V944" s="50"/>
      <c r="W944" s="50"/>
      <c r="X944" s="50"/>
      <c r="Y944" s="50"/>
      <c r="Z944" s="50"/>
      <c r="AA944" s="50"/>
      <c r="AB944" s="50"/>
    </row>
    <row r="945" customFormat="false" ht="15.75" hidden="false" customHeight="false" outlineLevel="0" collapsed="false">
      <c r="A945" s="50"/>
      <c r="B945" s="50"/>
      <c r="C945" s="5"/>
      <c r="D945" s="48"/>
      <c r="E945" s="50"/>
      <c r="F945" s="5"/>
      <c r="G945" s="5"/>
      <c r="H945" s="5"/>
      <c r="I945" s="5"/>
      <c r="J945" s="5"/>
      <c r="K945" s="50"/>
      <c r="L945" s="50"/>
      <c r="M945" s="50"/>
      <c r="N945" s="50"/>
      <c r="O945" s="50"/>
      <c r="P945" s="50"/>
      <c r="Q945" s="50"/>
      <c r="R945" s="50"/>
      <c r="S945" s="50"/>
      <c r="T945" s="50"/>
      <c r="U945" s="50"/>
      <c r="V945" s="50"/>
      <c r="W945" s="50"/>
      <c r="X945" s="50"/>
      <c r="Y945" s="50"/>
      <c r="Z945" s="50"/>
      <c r="AA945" s="50"/>
      <c r="AB945" s="50"/>
    </row>
    <row r="946" customFormat="false" ht="15.75" hidden="false" customHeight="false" outlineLevel="0" collapsed="false">
      <c r="A946" s="50"/>
      <c r="B946" s="50"/>
      <c r="C946" s="5"/>
      <c r="D946" s="48"/>
      <c r="E946" s="50"/>
      <c r="F946" s="5"/>
      <c r="G946" s="5"/>
      <c r="H946" s="5"/>
      <c r="I946" s="5"/>
      <c r="J946" s="5"/>
      <c r="K946" s="50"/>
      <c r="L946" s="50"/>
      <c r="M946" s="50"/>
      <c r="N946" s="50"/>
      <c r="O946" s="50"/>
      <c r="P946" s="50"/>
      <c r="Q946" s="50"/>
      <c r="R946" s="50"/>
      <c r="S946" s="50"/>
      <c r="T946" s="50"/>
      <c r="U946" s="50"/>
      <c r="V946" s="50"/>
      <c r="W946" s="50"/>
      <c r="X946" s="50"/>
      <c r="Y946" s="50"/>
      <c r="Z946" s="50"/>
      <c r="AA946" s="50"/>
      <c r="AB946" s="50"/>
    </row>
    <row r="947" customFormat="false" ht="15.75" hidden="false" customHeight="false" outlineLevel="0" collapsed="false">
      <c r="A947" s="50"/>
      <c r="B947" s="50"/>
      <c r="C947" s="5"/>
      <c r="D947" s="48"/>
      <c r="E947" s="50"/>
      <c r="F947" s="5"/>
      <c r="G947" s="5"/>
      <c r="H947" s="5"/>
      <c r="I947" s="5"/>
      <c r="J947" s="5"/>
      <c r="K947" s="50"/>
      <c r="L947" s="50"/>
      <c r="M947" s="50"/>
      <c r="N947" s="50"/>
      <c r="O947" s="50"/>
      <c r="P947" s="50"/>
      <c r="Q947" s="50"/>
      <c r="R947" s="50"/>
      <c r="S947" s="50"/>
      <c r="T947" s="50"/>
      <c r="U947" s="50"/>
      <c r="V947" s="50"/>
      <c r="W947" s="50"/>
      <c r="X947" s="50"/>
      <c r="Y947" s="50"/>
      <c r="Z947" s="50"/>
      <c r="AA947" s="50"/>
      <c r="AB947" s="50"/>
    </row>
    <row r="948" customFormat="false" ht="15.75" hidden="false" customHeight="false" outlineLevel="0" collapsed="false">
      <c r="A948" s="50"/>
      <c r="B948" s="50"/>
      <c r="C948" s="5"/>
      <c r="D948" s="48"/>
      <c r="E948" s="50"/>
      <c r="F948" s="5"/>
      <c r="G948" s="5"/>
      <c r="H948" s="5"/>
      <c r="I948" s="5"/>
      <c r="J948" s="5"/>
      <c r="K948" s="50"/>
      <c r="L948" s="50"/>
      <c r="M948" s="50"/>
      <c r="N948" s="50"/>
      <c r="O948" s="50"/>
      <c r="P948" s="50"/>
      <c r="Q948" s="50"/>
      <c r="R948" s="50"/>
      <c r="S948" s="50"/>
      <c r="T948" s="50"/>
      <c r="U948" s="50"/>
      <c r="V948" s="50"/>
      <c r="W948" s="50"/>
      <c r="X948" s="50"/>
      <c r="Y948" s="50"/>
      <c r="Z948" s="50"/>
      <c r="AA948" s="50"/>
      <c r="AB948" s="50"/>
    </row>
    <row r="949" customFormat="false" ht="15.75" hidden="false" customHeight="false" outlineLevel="0" collapsed="false">
      <c r="A949" s="50"/>
      <c r="B949" s="50"/>
      <c r="C949" s="5"/>
      <c r="D949" s="48"/>
      <c r="E949" s="50"/>
      <c r="F949" s="5"/>
      <c r="G949" s="5"/>
      <c r="H949" s="5"/>
      <c r="I949" s="5"/>
      <c r="J949" s="5"/>
      <c r="K949" s="50"/>
      <c r="L949" s="50"/>
      <c r="M949" s="50"/>
      <c r="N949" s="50"/>
      <c r="O949" s="50"/>
      <c r="P949" s="50"/>
      <c r="Q949" s="50"/>
      <c r="R949" s="50"/>
      <c r="S949" s="50"/>
      <c r="T949" s="50"/>
      <c r="U949" s="50"/>
      <c r="V949" s="50"/>
      <c r="W949" s="50"/>
      <c r="X949" s="50"/>
      <c r="Y949" s="50"/>
      <c r="Z949" s="50"/>
      <c r="AA949" s="50"/>
      <c r="AB949" s="50"/>
    </row>
    <row r="950" customFormat="false" ht="15.75" hidden="false" customHeight="false" outlineLevel="0" collapsed="false">
      <c r="A950" s="50"/>
      <c r="B950" s="50"/>
      <c r="C950" s="5"/>
      <c r="D950" s="48"/>
      <c r="E950" s="50"/>
      <c r="F950" s="5"/>
      <c r="G950" s="5"/>
      <c r="H950" s="5"/>
      <c r="I950" s="5"/>
      <c r="J950" s="5"/>
      <c r="K950" s="50"/>
      <c r="L950" s="50"/>
      <c r="M950" s="50"/>
      <c r="N950" s="50"/>
      <c r="O950" s="50"/>
      <c r="P950" s="50"/>
      <c r="Q950" s="50"/>
      <c r="R950" s="50"/>
      <c r="S950" s="50"/>
      <c r="T950" s="50"/>
      <c r="U950" s="50"/>
      <c r="V950" s="50"/>
      <c r="W950" s="50"/>
      <c r="X950" s="50"/>
      <c r="Y950" s="50"/>
      <c r="Z950" s="50"/>
      <c r="AA950" s="50"/>
      <c r="AB950" s="50"/>
    </row>
    <row r="951" customFormat="false" ht="15.75" hidden="false" customHeight="false" outlineLevel="0" collapsed="false">
      <c r="A951" s="50"/>
      <c r="B951" s="50"/>
      <c r="C951" s="5"/>
      <c r="D951" s="48"/>
      <c r="E951" s="50"/>
      <c r="F951" s="5"/>
      <c r="G951" s="5"/>
      <c r="H951" s="5"/>
      <c r="I951" s="5"/>
      <c r="J951" s="5"/>
      <c r="K951" s="50"/>
      <c r="L951" s="50"/>
      <c r="M951" s="50"/>
      <c r="N951" s="50"/>
      <c r="O951" s="50"/>
      <c r="P951" s="50"/>
      <c r="Q951" s="50"/>
      <c r="R951" s="50"/>
      <c r="S951" s="50"/>
      <c r="T951" s="50"/>
      <c r="U951" s="50"/>
      <c r="V951" s="50"/>
      <c r="W951" s="50"/>
      <c r="X951" s="50"/>
      <c r="Y951" s="50"/>
      <c r="Z951" s="50"/>
      <c r="AA951" s="50"/>
      <c r="AB951" s="50"/>
    </row>
    <row r="952" customFormat="false" ht="15.75" hidden="false" customHeight="false" outlineLevel="0" collapsed="false">
      <c r="A952" s="50"/>
      <c r="B952" s="50"/>
      <c r="C952" s="5"/>
      <c r="D952" s="48"/>
      <c r="E952" s="50"/>
      <c r="F952" s="5"/>
      <c r="G952" s="5"/>
      <c r="H952" s="5"/>
      <c r="I952" s="5"/>
      <c r="J952" s="5"/>
      <c r="K952" s="50"/>
      <c r="L952" s="50"/>
      <c r="M952" s="50"/>
      <c r="N952" s="50"/>
      <c r="O952" s="50"/>
      <c r="P952" s="50"/>
      <c r="Q952" s="50"/>
      <c r="R952" s="50"/>
      <c r="S952" s="50"/>
      <c r="T952" s="50"/>
      <c r="U952" s="50"/>
      <c r="V952" s="50"/>
      <c r="W952" s="50"/>
      <c r="X952" s="50"/>
      <c r="Y952" s="50"/>
      <c r="Z952" s="50"/>
      <c r="AA952" s="50"/>
      <c r="AB952" s="50"/>
    </row>
    <row r="953" customFormat="false" ht="15.75" hidden="false" customHeight="false" outlineLevel="0" collapsed="false">
      <c r="A953" s="50"/>
      <c r="B953" s="50"/>
      <c r="C953" s="5"/>
      <c r="D953" s="48"/>
      <c r="E953" s="50"/>
      <c r="F953" s="5"/>
      <c r="G953" s="5"/>
      <c r="H953" s="5"/>
      <c r="I953" s="5"/>
      <c r="J953" s="5"/>
      <c r="K953" s="50"/>
      <c r="L953" s="50"/>
      <c r="M953" s="50"/>
      <c r="N953" s="50"/>
      <c r="O953" s="50"/>
      <c r="P953" s="50"/>
      <c r="Q953" s="50"/>
      <c r="R953" s="50"/>
      <c r="S953" s="50"/>
      <c r="T953" s="50"/>
      <c r="U953" s="50"/>
      <c r="V953" s="50"/>
      <c r="W953" s="50"/>
      <c r="X953" s="50"/>
      <c r="Y953" s="50"/>
      <c r="Z953" s="50"/>
      <c r="AA953" s="50"/>
      <c r="AB953" s="50"/>
    </row>
    <row r="954" customFormat="false" ht="15.75" hidden="false" customHeight="false" outlineLevel="0" collapsed="false">
      <c r="A954" s="50"/>
      <c r="B954" s="50"/>
      <c r="C954" s="5"/>
      <c r="D954" s="48"/>
      <c r="E954" s="50"/>
      <c r="F954" s="5"/>
      <c r="G954" s="5"/>
      <c r="H954" s="5"/>
      <c r="I954" s="5"/>
      <c r="J954" s="5"/>
      <c r="K954" s="50"/>
      <c r="L954" s="50"/>
      <c r="M954" s="50"/>
      <c r="N954" s="50"/>
      <c r="O954" s="50"/>
      <c r="P954" s="50"/>
      <c r="Q954" s="50"/>
      <c r="R954" s="50"/>
      <c r="S954" s="50"/>
      <c r="T954" s="50"/>
      <c r="U954" s="50"/>
      <c r="V954" s="50"/>
      <c r="W954" s="50"/>
      <c r="X954" s="50"/>
      <c r="Y954" s="50"/>
      <c r="Z954" s="50"/>
      <c r="AA954" s="50"/>
      <c r="AB954" s="50"/>
    </row>
    <row r="955" customFormat="false" ht="15.75" hidden="false" customHeight="false" outlineLevel="0" collapsed="false">
      <c r="A955" s="50"/>
      <c r="B955" s="50"/>
      <c r="C955" s="5"/>
      <c r="D955" s="48"/>
      <c r="E955" s="50"/>
      <c r="F955" s="5"/>
      <c r="G955" s="5"/>
      <c r="H955" s="5"/>
      <c r="I955" s="5"/>
      <c r="J955" s="5"/>
      <c r="K955" s="50"/>
      <c r="L955" s="50"/>
      <c r="M955" s="50"/>
      <c r="N955" s="50"/>
      <c r="O955" s="50"/>
      <c r="P955" s="50"/>
      <c r="Q955" s="50"/>
      <c r="R955" s="50"/>
      <c r="S955" s="50"/>
      <c r="T955" s="50"/>
      <c r="U955" s="50"/>
      <c r="V955" s="50"/>
      <c r="W955" s="50"/>
      <c r="X955" s="50"/>
      <c r="Y955" s="50"/>
      <c r="Z955" s="50"/>
      <c r="AA955" s="50"/>
      <c r="AB955" s="50"/>
    </row>
    <row r="956" customFormat="false" ht="15.75" hidden="false" customHeight="false" outlineLevel="0" collapsed="false">
      <c r="A956" s="50"/>
      <c r="B956" s="50"/>
      <c r="C956" s="5"/>
      <c r="D956" s="48"/>
      <c r="E956" s="50"/>
      <c r="F956" s="5"/>
      <c r="G956" s="5"/>
      <c r="H956" s="5"/>
      <c r="I956" s="5"/>
      <c r="J956" s="5"/>
      <c r="K956" s="50"/>
      <c r="L956" s="50"/>
      <c r="M956" s="50"/>
      <c r="N956" s="50"/>
      <c r="O956" s="50"/>
      <c r="P956" s="50"/>
      <c r="Q956" s="50"/>
      <c r="R956" s="50"/>
      <c r="S956" s="50"/>
      <c r="T956" s="50"/>
      <c r="U956" s="50"/>
      <c r="V956" s="50"/>
      <c r="W956" s="50"/>
      <c r="X956" s="50"/>
      <c r="Y956" s="50"/>
      <c r="Z956" s="50"/>
      <c r="AA956" s="50"/>
      <c r="AB956" s="50"/>
    </row>
    <row r="957" customFormat="false" ht="15.75" hidden="false" customHeight="false" outlineLevel="0" collapsed="false">
      <c r="A957" s="50"/>
      <c r="B957" s="50"/>
      <c r="C957" s="5"/>
      <c r="D957" s="48"/>
      <c r="E957" s="50"/>
      <c r="F957" s="5"/>
      <c r="G957" s="5"/>
      <c r="H957" s="5"/>
      <c r="I957" s="5"/>
      <c r="J957" s="5"/>
      <c r="K957" s="50"/>
      <c r="L957" s="50"/>
      <c r="M957" s="50"/>
      <c r="N957" s="50"/>
      <c r="O957" s="50"/>
      <c r="P957" s="50"/>
      <c r="Q957" s="50"/>
      <c r="R957" s="50"/>
      <c r="S957" s="50"/>
      <c r="T957" s="50"/>
      <c r="U957" s="50"/>
      <c r="V957" s="50"/>
      <c r="W957" s="50"/>
      <c r="X957" s="50"/>
      <c r="Y957" s="50"/>
      <c r="Z957" s="50"/>
      <c r="AA957" s="50"/>
      <c r="AB957" s="50"/>
    </row>
    <row r="958" customFormat="false" ht="15.75" hidden="false" customHeight="false" outlineLevel="0" collapsed="false">
      <c r="A958" s="50"/>
      <c r="B958" s="50"/>
      <c r="C958" s="5"/>
      <c r="D958" s="48"/>
      <c r="E958" s="50"/>
      <c r="F958" s="5"/>
      <c r="G958" s="5"/>
      <c r="H958" s="5"/>
      <c r="I958" s="5"/>
      <c r="J958" s="5"/>
      <c r="K958" s="50"/>
      <c r="L958" s="50"/>
      <c r="M958" s="50"/>
      <c r="N958" s="50"/>
      <c r="O958" s="50"/>
      <c r="P958" s="50"/>
      <c r="Q958" s="50"/>
      <c r="R958" s="50"/>
      <c r="S958" s="50"/>
      <c r="T958" s="50"/>
      <c r="U958" s="50"/>
      <c r="V958" s="50"/>
      <c r="W958" s="50"/>
      <c r="X958" s="50"/>
      <c r="Y958" s="50"/>
      <c r="Z958" s="50"/>
      <c r="AA958" s="50"/>
      <c r="AB958" s="50"/>
    </row>
    <row r="959" customFormat="false" ht="15.75" hidden="false" customHeight="false" outlineLevel="0" collapsed="false">
      <c r="A959" s="50"/>
      <c r="B959" s="50"/>
      <c r="C959" s="5"/>
      <c r="D959" s="48"/>
      <c r="E959" s="50"/>
      <c r="F959" s="5"/>
      <c r="G959" s="5"/>
      <c r="H959" s="5"/>
      <c r="I959" s="5"/>
      <c r="J959" s="5"/>
      <c r="K959" s="50"/>
      <c r="L959" s="50"/>
      <c r="M959" s="50"/>
      <c r="N959" s="50"/>
      <c r="O959" s="50"/>
      <c r="P959" s="50"/>
      <c r="Q959" s="50"/>
      <c r="R959" s="50"/>
      <c r="S959" s="50"/>
      <c r="T959" s="50"/>
      <c r="U959" s="50"/>
      <c r="V959" s="50"/>
      <c r="W959" s="50"/>
      <c r="X959" s="50"/>
      <c r="Y959" s="50"/>
      <c r="Z959" s="50"/>
      <c r="AA959" s="50"/>
      <c r="AB959" s="50"/>
    </row>
    <row r="960" customFormat="false" ht="15.75" hidden="false" customHeight="false" outlineLevel="0" collapsed="false">
      <c r="A960" s="50"/>
      <c r="B960" s="50"/>
      <c r="C960" s="5"/>
      <c r="D960" s="48"/>
      <c r="E960" s="50"/>
      <c r="F960" s="5"/>
      <c r="G960" s="5"/>
      <c r="H960" s="5"/>
      <c r="I960" s="5"/>
      <c r="J960" s="5"/>
      <c r="K960" s="50"/>
      <c r="L960" s="50"/>
      <c r="M960" s="50"/>
      <c r="N960" s="50"/>
      <c r="O960" s="50"/>
      <c r="P960" s="50"/>
      <c r="Q960" s="50"/>
      <c r="R960" s="50"/>
      <c r="S960" s="50"/>
      <c r="T960" s="50"/>
      <c r="U960" s="50"/>
      <c r="V960" s="50"/>
      <c r="W960" s="50"/>
      <c r="X960" s="50"/>
      <c r="Y960" s="50"/>
      <c r="Z960" s="50"/>
      <c r="AA960" s="50"/>
      <c r="AB960" s="50"/>
    </row>
    <row r="961" customFormat="false" ht="15.75" hidden="false" customHeight="false" outlineLevel="0" collapsed="false">
      <c r="A961" s="50"/>
      <c r="B961" s="50"/>
      <c r="C961" s="5"/>
      <c r="D961" s="48"/>
      <c r="E961" s="50"/>
      <c r="F961" s="5"/>
      <c r="G961" s="5"/>
      <c r="H961" s="5"/>
      <c r="I961" s="5"/>
      <c r="J961" s="5"/>
      <c r="K961" s="50"/>
      <c r="L961" s="50"/>
      <c r="M961" s="50"/>
      <c r="N961" s="50"/>
      <c r="O961" s="50"/>
      <c r="P961" s="50"/>
      <c r="Q961" s="50"/>
      <c r="R961" s="50"/>
      <c r="S961" s="50"/>
      <c r="T961" s="50"/>
      <c r="U961" s="50"/>
      <c r="V961" s="50"/>
      <c r="W961" s="50"/>
      <c r="X961" s="50"/>
      <c r="Y961" s="50"/>
      <c r="Z961" s="50"/>
      <c r="AA961" s="50"/>
      <c r="AB961" s="50"/>
    </row>
    <row r="962" customFormat="false" ht="15.75" hidden="false" customHeight="false" outlineLevel="0" collapsed="false">
      <c r="A962" s="50"/>
      <c r="B962" s="50"/>
      <c r="C962" s="5"/>
      <c r="D962" s="48"/>
      <c r="E962" s="50"/>
      <c r="F962" s="5"/>
      <c r="G962" s="5"/>
      <c r="H962" s="5"/>
      <c r="I962" s="5"/>
      <c r="J962" s="5"/>
      <c r="K962" s="50"/>
      <c r="L962" s="50"/>
      <c r="M962" s="50"/>
      <c r="N962" s="50"/>
      <c r="O962" s="50"/>
      <c r="P962" s="50"/>
      <c r="Q962" s="50"/>
      <c r="R962" s="50"/>
      <c r="S962" s="50"/>
      <c r="T962" s="50"/>
      <c r="U962" s="50"/>
      <c r="V962" s="50"/>
      <c r="W962" s="50"/>
      <c r="X962" s="50"/>
      <c r="Y962" s="50"/>
      <c r="Z962" s="50"/>
      <c r="AA962" s="50"/>
      <c r="AB962" s="50"/>
    </row>
    <row r="963" customFormat="false" ht="15.75" hidden="false" customHeight="false" outlineLevel="0" collapsed="false">
      <c r="A963" s="50"/>
      <c r="B963" s="50"/>
      <c r="C963" s="5"/>
      <c r="D963" s="48"/>
      <c r="E963" s="50"/>
      <c r="F963" s="5"/>
      <c r="G963" s="5"/>
      <c r="H963" s="5"/>
      <c r="I963" s="5"/>
      <c r="J963" s="5"/>
      <c r="K963" s="50"/>
      <c r="L963" s="50"/>
      <c r="M963" s="50"/>
      <c r="N963" s="50"/>
      <c r="O963" s="50"/>
      <c r="P963" s="50"/>
      <c r="Q963" s="50"/>
      <c r="R963" s="50"/>
      <c r="S963" s="50"/>
      <c r="T963" s="50"/>
      <c r="U963" s="50"/>
      <c r="V963" s="50"/>
      <c r="W963" s="50"/>
      <c r="X963" s="50"/>
      <c r="Y963" s="50"/>
      <c r="Z963" s="50"/>
      <c r="AA963" s="50"/>
      <c r="AB963" s="50"/>
    </row>
    <row r="964" customFormat="false" ht="15.75" hidden="false" customHeight="false" outlineLevel="0" collapsed="false">
      <c r="A964" s="50"/>
      <c r="B964" s="50"/>
      <c r="C964" s="5"/>
      <c r="D964" s="48"/>
      <c r="E964" s="50"/>
      <c r="F964" s="5"/>
      <c r="G964" s="5"/>
      <c r="H964" s="5"/>
      <c r="I964" s="5"/>
      <c r="J964" s="5"/>
      <c r="K964" s="50"/>
      <c r="L964" s="50"/>
      <c r="M964" s="50"/>
      <c r="N964" s="50"/>
      <c r="O964" s="50"/>
      <c r="P964" s="50"/>
      <c r="Q964" s="50"/>
      <c r="R964" s="50"/>
      <c r="S964" s="50"/>
      <c r="T964" s="50"/>
      <c r="U964" s="50"/>
      <c r="V964" s="50"/>
      <c r="W964" s="50"/>
      <c r="X964" s="50"/>
      <c r="Y964" s="50"/>
      <c r="Z964" s="50"/>
      <c r="AA964" s="50"/>
      <c r="AB964" s="50"/>
    </row>
    <row r="965" customFormat="false" ht="15.75" hidden="false" customHeight="false" outlineLevel="0" collapsed="false">
      <c r="A965" s="50"/>
      <c r="B965" s="50"/>
      <c r="C965" s="5"/>
      <c r="D965" s="48"/>
      <c r="E965" s="50"/>
      <c r="F965" s="5"/>
      <c r="G965" s="5"/>
      <c r="H965" s="5"/>
      <c r="I965" s="5"/>
      <c r="J965" s="5"/>
      <c r="K965" s="50"/>
      <c r="L965" s="50"/>
      <c r="M965" s="50"/>
      <c r="N965" s="50"/>
      <c r="O965" s="50"/>
      <c r="P965" s="50"/>
      <c r="Q965" s="50"/>
      <c r="R965" s="50"/>
      <c r="S965" s="50"/>
      <c r="T965" s="50"/>
      <c r="U965" s="50"/>
      <c r="V965" s="50"/>
      <c r="W965" s="50"/>
      <c r="X965" s="50"/>
      <c r="Y965" s="50"/>
      <c r="Z965" s="50"/>
      <c r="AA965" s="50"/>
      <c r="AB965" s="50"/>
    </row>
    <row r="966" customFormat="false" ht="15.75" hidden="false" customHeight="false" outlineLevel="0" collapsed="false">
      <c r="A966" s="50"/>
      <c r="B966" s="50"/>
      <c r="C966" s="5"/>
      <c r="D966" s="48"/>
      <c r="E966" s="50"/>
      <c r="F966" s="5"/>
      <c r="G966" s="5"/>
      <c r="H966" s="5"/>
      <c r="I966" s="5"/>
      <c r="J966" s="5"/>
      <c r="K966" s="50"/>
      <c r="L966" s="50"/>
      <c r="M966" s="50"/>
      <c r="N966" s="50"/>
      <c r="O966" s="50"/>
      <c r="P966" s="50"/>
      <c r="Q966" s="50"/>
      <c r="R966" s="50"/>
      <c r="S966" s="50"/>
      <c r="T966" s="50"/>
      <c r="U966" s="50"/>
      <c r="V966" s="50"/>
      <c r="W966" s="50"/>
      <c r="X966" s="50"/>
      <c r="Y966" s="50"/>
      <c r="Z966" s="50"/>
      <c r="AA966" s="50"/>
      <c r="AB966" s="50"/>
    </row>
    <row r="967" customFormat="false" ht="15.75" hidden="false" customHeight="false" outlineLevel="0" collapsed="false">
      <c r="A967" s="50"/>
      <c r="B967" s="50"/>
      <c r="C967" s="5"/>
      <c r="D967" s="48"/>
      <c r="E967" s="50"/>
      <c r="F967" s="5"/>
      <c r="G967" s="5"/>
      <c r="H967" s="5"/>
      <c r="I967" s="5"/>
      <c r="J967" s="5"/>
      <c r="K967" s="50"/>
      <c r="L967" s="50"/>
      <c r="M967" s="50"/>
      <c r="N967" s="50"/>
      <c r="O967" s="50"/>
      <c r="P967" s="50"/>
      <c r="Q967" s="50"/>
      <c r="R967" s="50"/>
      <c r="S967" s="50"/>
      <c r="T967" s="50"/>
      <c r="U967" s="50"/>
      <c r="V967" s="50"/>
      <c r="W967" s="50"/>
      <c r="X967" s="50"/>
      <c r="Y967" s="50"/>
      <c r="Z967" s="50"/>
      <c r="AA967" s="50"/>
      <c r="AB967" s="50"/>
    </row>
    <row r="968" customFormat="false" ht="15.75" hidden="false" customHeight="false" outlineLevel="0" collapsed="false">
      <c r="A968" s="50"/>
      <c r="B968" s="50"/>
      <c r="C968" s="5"/>
      <c r="D968" s="48"/>
      <c r="E968" s="50"/>
      <c r="F968" s="5"/>
      <c r="G968" s="5"/>
      <c r="H968" s="5"/>
      <c r="I968" s="5"/>
      <c r="J968" s="5"/>
      <c r="K968" s="50"/>
      <c r="L968" s="50"/>
      <c r="M968" s="50"/>
      <c r="N968" s="50"/>
      <c r="O968" s="50"/>
      <c r="P968" s="50"/>
      <c r="Q968" s="50"/>
      <c r="R968" s="50"/>
      <c r="S968" s="50"/>
      <c r="T968" s="50"/>
      <c r="U968" s="50"/>
      <c r="V968" s="50"/>
      <c r="W968" s="50"/>
      <c r="X968" s="50"/>
      <c r="Y968" s="50"/>
      <c r="Z968" s="50"/>
      <c r="AA968" s="50"/>
      <c r="AB968" s="50"/>
    </row>
    <row r="969" customFormat="false" ht="15.75" hidden="false" customHeight="false" outlineLevel="0" collapsed="false">
      <c r="A969" s="50"/>
      <c r="B969" s="50"/>
      <c r="C969" s="5"/>
      <c r="D969" s="48"/>
      <c r="E969" s="50"/>
      <c r="F969" s="5"/>
      <c r="G969" s="5"/>
      <c r="H969" s="5"/>
      <c r="I969" s="5"/>
      <c r="J969" s="5"/>
      <c r="K969" s="50"/>
      <c r="L969" s="50"/>
      <c r="M969" s="50"/>
      <c r="N969" s="50"/>
      <c r="O969" s="50"/>
      <c r="P969" s="50"/>
      <c r="Q969" s="50"/>
      <c r="R969" s="50"/>
      <c r="S969" s="50"/>
      <c r="T969" s="50"/>
      <c r="U969" s="50"/>
      <c r="V969" s="50"/>
      <c r="W969" s="50"/>
      <c r="X969" s="50"/>
      <c r="Y969" s="50"/>
      <c r="Z969" s="50"/>
      <c r="AA969" s="50"/>
      <c r="AB969" s="50"/>
    </row>
    <row r="970" customFormat="false" ht="15.75" hidden="false" customHeight="false" outlineLevel="0" collapsed="false">
      <c r="A970" s="50"/>
      <c r="B970" s="50"/>
      <c r="C970" s="5"/>
      <c r="D970" s="48"/>
      <c r="E970" s="50"/>
      <c r="F970" s="5"/>
      <c r="G970" s="5"/>
      <c r="H970" s="5"/>
      <c r="I970" s="5"/>
      <c r="J970" s="5"/>
      <c r="K970" s="50"/>
      <c r="L970" s="50"/>
      <c r="M970" s="50"/>
      <c r="N970" s="50"/>
      <c r="O970" s="50"/>
      <c r="P970" s="50"/>
      <c r="Q970" s="50"/>
      <c r="R970" s="50"/>
      <c r="S970" s="50"/>
      <c r="T970" s="50"/>
      <c r="U970" s="50"/>
      <c r="V970" s="50"/>
      <c r="W970" s="50"/>
      <c r="X970" s="50"/>
      <c r="Y970" s="50"/>
      <c r="Z970" s="50"/>
      <c r="AA970" s="50"/>
      <c r="AB970" s="50"/>
    </row>
    <row r="971" customFormat="false" ht="15.75" hidden="false" customHeight="false" outlineLevel="0" collapsed="false">
      <c r="A971" s="50"/>
      <c r="B971" s="50"/>
      <c r="C971" s="5"/>
      <c r="D971" s="48"/>
      <c r="E971" s="50"/>
      <c r="F971" s="5"/>
      <c r="G971" s="5"/>
      <c r="H971" s="5"/>
      <c r="I971" s="5"/>
      <c r="J971" s="5"/>
      <c r="K971" s="50"/>
      <c r="L971" s="50"/>
      <c r="M971" s="50"/>
      <c r="N971" s="50"/>
      <c r="O971" s="50"/>
      <c r="P971" s="50"/>
      <c r="Q971" s="50"/>
      <c r="R971" s="50"/>
      <c r="S971" s="50"/>
      <c r="T971" s="50"/>
      <c r="U971" s="50"/>
      <c r="V971" s="50"/>
      <c r="W971" s="50"/>
      <c r="X971" s="50"/>
      <c r="Y971" s="50"/>
      <c r="Z971" s="50"/>
      <c r="AA971" s="50"/>
      <c r="AB971" s="50"/>
    </row>
    <row r="972" customFormat="false" ht="15.75" hidden="false" customHeight="false" outlineLevel="0" collapsed="false">
      <c r="A972" s="50"/>
      <c r="B972" s="50"/>
      <c r="C972" s="5"/>
      <c r="D972" s="48"/>
      <c r="E972" s="50"/>
      <c r="F972" s="5"/>
      <c r="G972" s="5"/>
      <c r="H972" s="5"/>
      <c r="I972" s="5"/>
      <c r="J972" s="5"/>
      <c r="K972" s="50"/>
      <c r="L972" s="50"/>
      <c r="M972" s="50"/>
      <c r="N972" s="50"/>
      <c r="O972" s="50"/>
      <c r="P972" s="50"/>
      <c r="Q972" s="50"/>
      <c r="R972" s="50"/>
      <c r="S972" s="50"/>
      <c r="T972" s="50"/>
      <c r="U972" s="50"/>
      <c r="V972" s="50"/>
      <c r="W972" s="50"/>
      <c r="X972" s="50"/>
      <c r="Y972" s="50"/>
      <c r="Z972" s="50"/>
      <c r="AA972" s="50"/>
      <c r="AB972" s="50"/>
    </row>
    <row r="973" customFormat="false" ht="15.75" hidden="false" customHeight="false" outlineLevel="0" collapsed="false">
      <c r="A973" s="50"/>
      <c r="B973" s="50"/>
      <c r="C973" s="5"/>
      <c r="D973" s="48"/>
      <c r="E973" s="50"/>
      <c r="F973" s="5"/>
      <c r="G973" s="5"/>
      <c r="H973" s="5"/>
      <c r="I973" s="5"/>
      <c r="J973" s="5"/>
      <c r="K973" s="50"/>
      <c r="L973" s="50"/>
      <c r="M973" s="50"/>
      <c r="N973" s="50"/>
      <c r="O973" s="50"/>
      <c r="P973" s="50"/>
      <c r="Q973" s="50"/>
      <c r="R973" s="50"/>
      <c r="S973" s="50"/>
      <c r="T973" s="50"/>
      <c r="U973" s="50"/>
      <c r="V973" s="50"/>
      <c r="W973" s="50"/>
      <c r="X973" s="50"/>
      <c r="Y973" s="50"/>
      <c r="Z973" s="50"/>
      <c r="AA973" s="50"/>
      <c r="AB973" s="50"/>
    </row>
    <row r="974" customFormat="false" ht="15.75" hidden="false" customHeight="false" outlineLevel="0" collapsed="false">
      <c r="A974" s="50"/>
      <c r="B974" s="50"/>
      <c r="C974" s="5"/>
      <c r="D974" s="48"/>
      <c r="E974" s="50"/>
      <c r="F974" s="5"/>
      <c r="G974" s="5"/>
      <c r="H974" s="5"/>
      <c r="I974" s="5"/>
      <c r="J974" s="5"/>
      <c r="K974" s="50"/>
      <c r="L974" s="50"/>
      <c r="M974" s="50"/>
      <c r="N974" s="50"/>
      <c r="O974" s="50"/>
      <c r="P974" s="50"/>
      <c r="Q974" s="50"/>
      <c r="R974" s="50"/>
      <c r="S974" s="50"/>
      <c r="T974" s="50"/>
      <c r="U974" s="50"/>
      <c r="V974" s="50"/>
      <c r="W974" s="50"/>
      <c r="X974" s="50"/>
      <c r="Y974" s="50"/>
      <c r="Z974" s="50"/>
      <c r="AA974" s="50"/>
      <c r="AB974" s="50"/>
    </row>
    <row r="975" customFormat="false" ht="15.75" hidden="false" customHeight="false" outlineLevel="0" collapsed="false">
      <c r="A975" s="50"/>
      <c r="B975" s="50"/>
      <c r="C975" s="5"/>
      <c r="D975" s="48"/>
      <c r="E975" s="50"/>
      <c r="F975" s="5"/>
      <c r="G975" s="5"/>
      <c r="H975" s="5"/>
      <c r="I975" s="5"/>
      <c r="J975" s="5"/>
      <c r="K975" s="50"/>
      <c r="L975" s="50"/>
      <c r="M975" s="50"/>
      <c r="N975" s="50"/>
      <c r="O975" s="50"/>
      <c r="P975" s="50"/>
      <c r="Q975" s="50"/>
      <c r="R975" s="50"/>
      <c r="S975" s="50"/>
      <c r="T975" s="50"/>
      <c r="U975" s="50"/>
      <c r="V975" s="50"/>
      <c r="W975" s="50"/>
      <c r="X975" s="50"/>
      <c r="Y975" s="50"/>
      <c r="Z975" s="50"/>
      <c r="AA975" s="50"/>
      <c r="AB975" s="50"/>
    </row>
    <row r="976" customFormat="false" ht="15.75" hidden="false" customHeight="false" outlineLevel="0" collapsed="false">
      <c r="A976" s="50"/>
      <c r="B976" s="50"/>
      <c r="C976" s="5"/>
      <c r="D976" s="48"/>
      <c r="E976" s="50"/>
      <c r="F976" s="5"/>
      <c r="G976" s="5"/>
      <c r="H976" s="5"/>
      <c r="I976" s="5"/>
      <c r="J976" s="5"/>
      <c r="K976" s="50"/>
      <c r="L976" s="50"/>
      <c r="M976" s="50"/>
      <c r="N976" s="50"/>
      <c r="O976" s="50"/>
      <c r="P976" s="50"/>
      <c r="Q976" s="50"/>
      <c r="R976" s="50"/>
      <c r="S976" s="50"/>
      <c r="T976" s="50"/>
      <c r="U976" s="50"/>
      <c r="V976" s="50"/>
      <c r="W976" s="50"/>
      <c r="X976" s="50"/>
      <c r="Y976" s="50"/>
      <c r="Z976" s="50"/>
      <c r="AA976" s="50"/>
      <c r="AB976" s="50"/>
    </row>
    <row r="977" customFormat="false" ht="15.75" hidden="false" customHeight="false" outlineLevel="0" collapsed="false">
      <c r="A977" s="50"/>
      <c r="B977" s="50"/>
      <c r="C977" s="5"/>
      <c r="D977" s="48"/>
      <c r="E977" s="50"/>
      <c r="F977" s="5"/>
      <c r="G977" s="5"/>
      <c r="H977" s="5"/>
      <c r="I977" s="5"/>
      <c r="J977" s="5"/>
      <c r="K977" s="50"/>
      <c r="L977" s="50"/>
      <c r="M977" s="50"/>
      <c r="N977" s="50"/>
      <c r="O977" s="50"/>
      <c r="P977" s="50"/>
      <c r="Q977" s="50"/>
      <c r="R977" s="50"/>
      <c r="S977" s="50"/>
      <c r="T977" s="50"/>
      <c r="U977" s="50"/>
      <c r="V977" s="50"/>
      <c r="W977" s="50"/>
      <c r="X977" s="50"/>
      <c r="Y977" s="50"/>
      <c r="Z977" s="50"/>
      <c r="AA977" s="50"/>
      <c r="AB977" s="50"/>
    </row>
    <row r="978" customFormat="false" ht="15.75" hidden="false" customHeight="false" outlineLevel="0" collapsed="false">
      <c r="A978" s="50"/>
      <c r="B978" s="50"/>
      <c r="C978" s="5"/>
      <c r="D978" s="48"/>
      <c r="E978" s="50"/>
      <c r="F978" s="5"/>
      <c r="G978" s="5"/>
      <c r="H978" s="5"/>
      <c r="I978" s="5"/>
      <c r="J978" s="5"/>
      <c r="K978" s="50"/>
      <c r="L978" s="50"/>
      <c r="M978" s="50"/>
      <c r="N978" s="50"/>
      <c r="O978" s="50"/>
      <c r="P978" s="50"/>
      <c r="Q978" s="50"/>
      <c r="R978" s="50"/>
      <c r="S978" s="50"/>
      <c r="T978" s="50"/>
      <c r="U978" s="50"/>
      <c r="V978" s="50"/>
      <c r="W978" s="50"/>
      <c r="X978" s="50"/>
      <c r="Y978" s="50"/>
      <c r="Z978" s="50"/>
      <c r="AA978" s="50"/>
      <c r="AB978" s="50"/>
    </row>
    <row r="979" customFormat="false" ht="15.75" hidden="false" customHeight="false" outlineLevel="0" collapsed="false">
      <c r="A979" s="50"/>
      <c r="B979" s="50"/>
      <c r="C979" s="5"/>
      <c r="D979" s="48"/>
      <c r="E979" s="50"/>
      <c r="F979" s="5"/>
      <c r="G979" s="5"/>
      <c r="H979" s="5"/>
      <c r="I979" s="5"/>
      <c r="J979" s="5"/>
      <c r="K979" s="50"/>
      <c r="L979" s="50"/>
      <c r="M979" s="50"/>
      <c r="N979" s="50"/>
      <c r="O979" s="50"/>
      <c r="P979" s="50"/>
      <c r="Q979" s="50"/>
      <c r="R979" s="50"/>
      <c r="S979" s="50"/>
      <c r="T979" s="50"/>
      <c r="U979" s="50"/>
      <c r="V979" s="50"/>
      <c r="W979" s="50"/>
      <c r="X979" s="50"/>
      <c r="Y979" s="50"/>
      <c r="Z979" s="50"/>
      <c r="AA979" s="50"/>
      <c r="AB979" s="50"/>
    </row>
    <row r="980" customFormat="false" ht="15.75" hidden="false" customHeight="false" outlineLevel="0" collapsed="false">
      <c r="A980" s="50"/>
      <c r="B980" s="50"/>
      <c r="C980" s="5"/>
      <c r="D980" s="48"/>
      <c r="E980" s="50"/>
      <c r="F980" s="5"/>
      <c r="G980" s="5"/>
      <c r="H980" s="5"/>
      <c r="I980" s="5"/>
      <c r="J980" s="5"/>
      <c r="K980" s="50"/>
      <c r="L980" s="50"/>
      <c r="M980" s="50"/>
      <c r="N980" s="50"/>
      <c r="O980" s="50"/>
      <c r="P980" s="50"/>
      <c r="Q980" s="50"/>
      <c r="R980" s="50"/>
      <c r="S980" s="50"/>
      <c r="T980" s="50"/>
      <c r="U980" s="50"/>
      <c r="V980" s="50"/>
      <c r="W980" s="50"/>
      <c r="X980" s="50"/>
      <c r="Y980" s="50"/>
      <c r="Z980" s="50"/>
      <c r="AA980" s="50"/>
      <c r="AB980" s="50"/>
    </row>
    <row r="981" customFormat="false" ht="15.75" hidden="false" customHeight="false" outlineLevel="0" collapsed="false">
      <c r="A981" s="50"/>
      <c r="B981" s="50"/>
      <c r="C981" s="5"/>
      <c r="D981" s="48"/>
      <c r="E981" s="50"/>
      <c r="F981" s="5"/>
      <c r="G981" s="5"/>
      <c r="H981" s="5"/>
      <c r="I981" s="5"/>
      <c r="J981" s="5"/>
      <c r="K981" s="50"/>
      <c r="L981" s="50"/>
      <c r="M981" s="50"/>
      <c r="N981" s="50"/>
      <c r="O981" s="50"/>
      <c r="P981" s="50"/>
      <c r="Q981" s="50"/>
      <c r="R981" s="50"/>
      <c r="S981" s="50"/>
      <c r="T981" s="50"/>
      <c r="U981" s="50"/>
      <c r="V981" s="50"/>
      <c r="W981" s="50"/>
      <c r="X981" s="50"/>
      <c r="Y981" s="50"/>
      <c r="Z981" s="50"/>
      <c r="AA981" s="50"/>
      <c r="AB981" s="50"/>
    </row>
    <row r="982" customFormat="false" ht="15.75" hidden="false" customHeight="false" outlineLevel="0" collapsed="false">
      <c r="A982" s="50"/>
      <c r="B982" s="50"/>
      <c r="C982" s="5"/>
      <c r="D982" s="48"/>
      <c r="E982" s="50"/>
      <c r="F982" s="5"/>
      <c r="G982" s="5"/>
      <c r="H982" s="5"/>
      <c r="I982" s="5"/>
      <c r="J982" s="5"/>
      <c r="K982" s="50"/>
      <c r="L982" s="50"/>
      <c r="M982" s="50"/>
      <c r="N982" s="50"/>
      <c r="O982" s="50"/>
      <c r="P982" s="50"/>
      <c r="Q982" s="50"/>
      <c r="R982" s="50"/>
      <c r="S982" s="50"/>
      <c r="T982" s="50"/>
      <c r="U982" s="50"/>
      <c r="V982" s="50"/>
      <c r="W982" s="50"/>
      <c r="X982" s="50"/>
      <c r="Y982" s="50"/>
      <c r="Z982" s="50"/>
      <c r="AA982" s="50"/>
      <c r="AB982" s="50"/>
    </row>
    <row r="983" customFormat="false" ht="15.75" hidden="false" customHeight="false" outlineLevel="0" collapsed="false">
      <c r="A983" s="50"/>
      <c r="B983" s="50"/>
      <c r="C983" s="5"/>
      <c r="D983" s="48"/>
      <c r="E983" s="50"/>
      <c r="F983" s="5"/>
      <c r="G983" s="5"/>
      <c r="H983" s="5"/>
      <c r="I983" s="5"/>
      <c r="J983" s="5"/>
      <c r="K983" s="50"/>
      <c r="L983" s="50"/>
      <c r="M983" s="50"/>
      <c r="N983" s="50"/>
      <c r="O983" s="50"/>
      <c r="P983" s="50"/>
      <c r="Q983" s="50"/>
      <c r="R983" s="50"/>
      <c r="S983" s="50"/>
      <c r="T983" s="50"/>
      <c r="U983" s="50"/>
      <c r="V983" s="50"/>
      <c r="W983" s="50"/>
      <c r="X983" s="50"/>
      <c r="Y983" s="50"/>
      <c r="Z983" s="50"/>
      <c r="AA983" s="50"/>
      <c r="AB983" s="50"/>
    </row>
    <row r="984" customFormat="false" ht="15.75" hidden="false" customHeight="false" outlineLevel="0" collapsed="false">
      <c r="A984" s="50"/>
      <c r="B984" s="50"/>
      <c r="C984" s="5"/>
      <c r="D984" s="48"/>
      <c r="E984" s="50"/>
      <c r="F984" s="5"/>
      <c r="G984" s="5"/>
      <c r="H984" s="5"/>
      <c r="I984" s="5"/>
      <c r="J984" s="5"/>
      <c r="K984" s="50"/>
      <c r="L984" s="50"/>
      <c r="M984" s="50"/>
      <c r="N984" s="50"/>
      <c r="O984" s="50"/>
      <c r="P984" s="50"/>
      <c r="Q984" s="50"/>
      <c r="R984" s="50"/>
      <c r="S984" s="50"/>
      <c r="T984" s="50"/>
      <c r="U984" s="50"/>
      <c r="V984" s="50"/>
      <c r="W984" s="50"/>
      <c r="X984" s="50"/>
      <c r="Y984" s="50"/>
      <c r="Z984" s="50"/>
      <c r="AA984" s="50"/>
      <c r="AB984" s="50"/>
    </row>
    <row r="985" customFormat="false" ht="15.75" hidden="false" customHeight="false" outlineLevel="0" collapsed="false">
      <c r="A985" s="50"/>
      <c r="B985" s="50"/>
      <c r="C985" s="5"/>
      <c r="D985" s="48"/>
      <c r="E985" s="50"/>
      <c r="F985" s="5"/>
      <c r="G985" s="5"/>
      <c r="H985" s="5"/>
      <c r="I985" s="5"/>
      <c r="J985" s="5"/>
      <c r="K985" s="50"/>
      <c r="L985" s="50"/>
      <c r="M985" s="50"/>
      <c r="N985" s="50"/>
      <c r="O985" s="50"/>
      <c r="P985" s="50"/>
      <c r="Q985" s="50"/>
      <c r="R985" s="50"/>
      <c r="S985" s="50"/>
      <c r="T985" s="50"/>
      <c r="U985" s="50"/>
      <c r="V985" s="50"/>
      <c r="W985" s="50"/>
      <c r="X985" s="50"/>
      <c r="Y985" s="50"/>
      <c r="Z985" s="50"/>
      <c r="AA985" s="50"/>
      <c r="AB985" s="50"/>
    </row>
    <row r="986" customFormat="false" ht="15.75" hidden="false" customHeight="false" outlineLevel="0" collapsed="false">
      <c r="A986" s="50"/>
      <c r="B986" s="50"/>
      <c r="C986" s="5"/>
      <c r="D986" s="48"/>
      <c r="E986" s="50"/>
      <c r="F986" s="5"/>
      <c r="G986" s="5"/>
      <c r="H986" s="5"/>
      <c r="I986" s="5"/>
      <c r="J986" s="5"/>
      <c r="K986" s="50"/>
      <c r="L986" s="50"/>
      <c r="M986" s="50"/>
      <c r="N986" s="50"/>
      <c r="O986" s="50"/>
      <c r="P986" s="50"/>
      <c r="Q986" s="50"/>
      <c r="R986" s="50"/>
      <c r="S986" s="50"/>
      <c r="T986" s="50"/>
      <c r="U986" s="50"/>
      <c r="V986" s="50"/>
      <c r="W986" s="50"/>
      <c r="X986" s="50"/>
      <c r="Y986" s="50"/>
      <c r="Z986" s="50"/>
      <c r="AA986" s="50"/>
      <c r="AB986" s="50"/>
    </row>
    <row r="987" customFormat="false" ht="15.75" hidden="false" customHeight="false" outlineLevel="0" collapsed="false">
      <c r="A987" s="50"/>
      <c r="B987" s="50"/>
      <c r="C987" s="5"/>
      <c r="D987" s="48"/>
      <c r="E987" s="50"/>
      <c r="F987" s="5"/>
      <c r="G987" s="5"/>
      <c r="H987" s="5"/>
      <c r="I987" s="5"/>
      <c r="J987" s="5"/>
      <c r="K987" s="50"/>
      <c r="L987" s="50"/>
      <c r="M987" s="50"/>
      <c r="N987" s="50"/>
      <c r="O987" s="50"/>
      <c r="P987" s="50"/>
      <c r="Q987" s="50"/>
      <c r="R987" s="50"/>
      <c r="S987" s="50"/>
      <c r="T987" s="50"/>
      <c r="U987" s="50"/>
      <c r="V987" s="50"/>
      <c r="W987" s="50"/>
      <c r="X987" s="50"/>
      <c r="Y987" s="50"/>
      <c r="Z987" s="50"/>
      <c r="AA987" s="50"/>
      <c r="AB987" s="50"/>
    </row>
    <row r="988" customFormat="false" ht="15.75" hidden="false" customHeight="false" outlineLevel="0" collapsed="false">
      <c r="A988" s="50"/>
      <c r="B988" s="50"/>
      <c r="C988" s="5"/>
      <c r="D988" s="48"/>
      <c r="E988" s="50"/>
      <c r="F988" s="5"/>
      <c r="G988" s="5"/>
      <c r="H988" s="5"/>
      <c r="I988" s="5"/>
      <c r="J988" s="5"/>
      <c r="K988" s="50"/>
      <c r="L988" s="50"/>
      <c r="M988" s="50"/>
      <c r="N988" s="50"/>
      <c r="O988" s="50"/>
      <c r="P988" s="50"/>
      <c r="Q988" s="50"/>
      <c r="R988" s="50"/>
      <c r="S988" s="50"/>
      <c r="T988" s="50"/>
      <c r="U988" s="50"/>
      <c r="V988" s="50"/>
      <c r="W988" s="50"/>
      <c r="X988" s="50"/>
      <c r="Y988" s="50"/>
      <c r="Z988" s="50"/>
      <c r="AA988" s="50"/>
      <c r="AB988" s="50"/>
    </row>
    <row r="989" customFormat="false" ht="15.75" hidden="false" customHeight="false" outlineLevel="0" collapsed="false">
      <c r="A989" s="50"/>
      <c r="B989" s="50"/>
      <c r="C989" s="5"/>
      <c r="D989" s="48"/>
      <c r="E989" s="50"/>
      <c r="F989" s="5"/>
      <c r="G989" s="5"/>
      <c r="H989" s="5"/>
      <c r="I989" s="5"/>
      <c r="J989" s="5"/>
      <c r="K989" s="50"/>
      <c r="L989" s="50"/>
      <c r="M989" s="50"/>
      <c r="N989" s="50"/>
      <c r="O989" s="50"/>
      <c r="P989" s="50"/>
      <c r="Q989" s="50"/>
      <c r="R989" s="50"/>
      <c r="S989" s="50"/>
      <c r="T989" s="50"/>
      <c r="U989" s="50"/>
      <c r="V989" s="50"/>
      <c r="W989" s="50"/>
      <c r="X989" s="50"/>
      <c r="Y989" s="50"/>
      <c r="Z989" s="50"/>
      <c r="AA989" s="50"/>
      <c r="AB989" s="50"/>
    </row>
    <row r="990" customFormat="false" ht="15.75" hidden="false" customHeight="false" outlineLevel="0" collapsed="false">
      <c r="A990" s="50"/>
      <c r="B990" s="50"/>
      <c r="C990" s="5"/>
      <c r="D990" s="48"/>
      <c r="E990" s="50"/>
      <c r="F990" s="5"/>
      <c r="G990" s="5"/>
      <c r="H990" s="5"/>
      <c r="I990" s="5"/>
      <c r="J990" s="5"/>
      <c r="K990" s="50"/>
      <c r="L990" s="50"/>
      <c r="M990" s="50"/>
      <c r="N990" s="50"/>
      <c r="O990" s="50"/>
      <c r="P990" s="50"/>
      <c r="Q990" s="50"/>
      <c r="R990" s="50"/>
      <c r="S990" s="50"/>
      <c r="T990" s="50"/>
      <c r="U990" s="50"/>
      <c r="V990" s="50"/>
      <c r="W990" s="50"/>
      <c r="X990" s="50"/>
      <c r="Y990" s="50"/>
      <c r="Z990" s="50"/>
      <c r="AA990" s="50"/>
      <c r="AB990" s="50"/>
    </row>
    <row r="991" customFormat="false" ht="15.75" hidden="false" customHeight="false" outlineLevel="0" collapsed="false">
      <c r="A991" s="50"/>
      <c r="B991" s="50"/>
      <c r="C991" s="5"/>
      <c r="D991" s="48"/>
      <c r="E991" s="50"/>
      <c r="F991" s="5"/>
      <c r="G991" s="5"/>
      <c r="H991" s="5"/>
      <c r="I991" s="5"/>
      <c r="J991" s="5"/>
      <c r="K991" s="50"/>
      <c r="L991" s="50"/>
      <c r="M991" s="50"/>
      <c r="N991" s="50"/>
      <c r="O991" s="50"/>
      <c r="P991" s="50"/>
      <c r="Q991" s="50"/>
      <c r="R991" s="50"/>
      <c r="S991" s="50"/>
      <c r="T991" s="50"/>
      <c r="U991" s="50"/>
      <c r="V991" s="50"/>
      <c r="W991" s="50"/>
      <c r="X991" s="50"/>
      <c r="Y991" s="50"/>
      <c r="Z991" s="50"/>
      <c r="AA991" s="50"/>
      <c r="AB991" s="50"/>
    </row>
    <row r="992" customFormat="false" ht="15.75" hidden="false" customHeight="false" outlineLevel="0" collapsed="false">
      <c r="A992" s="50"/>
      <c r="B992" s="50"/>
      <c r="C992" s="5"/>
      <c r="D992" s="48"/>
      <c r="E992" s="50"/>
      <c r="F992" s="5"/>
      <c r="G992" s="5"/>
      <c r="H992" s="5"/>
      <c r="I992" s="5"/>
      <c r="J992" s="5"/>
      <c r="K992" s="50"/>
      <c r="L992" s="50"/>
      <c r="M992" s="50"/>
      <c r="N992" s="50"/>
      <c r="O992" s="50"/>
      <c r="P992" s="50"/>
      <c r="Q992" s="50"/>
      <c r="R992" s="50"/>
      <c r="S992" s="50"/>
      <c r="T992" s="50"/>
      <c r="U992" s="50"/>
      <c r="V992" s="50"/>
      <c r="W992" s="50"/>
      <c r="X992" s="50"/>
      <c r="Y992" s="50"/>
      <c r="Z992" s="50"/>
      <c r="AA992" s="50"/>
      <c r="AB992" s="50"/>
    </row>
    <row r="993" customFormat="false" ht="15.75" hidden="false" customHeight="false" outlineLevel="0" collapsed="false">
      <c r="A993" s="50"/>
      <c r="B993" s="50"/>
      <c r="C993" s="5"/>
      <c r="D993" s="48"/>
      <c r="E993" s="50"/>
      <c r="F993" s="5"/>
      <c r="G993" s="5"/>
      <c r="H993" s="5"/>
      <c r="I993" s="5"/>
      <c r="J993" s="5"/>
      <c r="K993" s="50"/>
      <c r="L993" s="50"/>
      <c r="M993" s="50"/>
      <c r="N993" s="50"/>
      <c r="O993" s="50"/>
      <c r="P993" s="50"/>
      <c r="Q993" s="50"/>
      <c r="R993" s="50"/>
      <c r="S993" s="50"/>
      <c r="T993" s="50"/>
      <c r="U993" s="50"/>
      <c r="V993" s="50"/>
      <c r="W993" s="50"/>
      <c r="X993" s="50"/>
      <c r="Y993" s="50"/>
      <c r="Z993" s="50"/>
      <c r="AA993" s="50"/>
      <c r="AB993" s="50"/>
    </row>
    <row r="994" customFormat="false" ht="15.75" hidden="false" customHeight="false" outlineLevel="0" collapsed="false">
      <c r="A994" s="50"/>
      <c r="B994" s="50"/>
      <c r="C994" s="5"/>
      <c r="D994" s="48"/>
      <c r="E994" s="50"/>
      <c r="F994" s="5"/>
      <c r="G994" s="5"/>
      <c r="H994" s="5"/>
      <c r="I994" s="5"/>
      <c r="J994" s="5"/>
      <c r="K994" s="50"/>
      <c r="L994" s="50"/>
      <c r="M994" s="50"/>
      <c r="N994" s="50"/>
      <c r="O994" s="50"/>
      <c r="P994" s="50"/>
      <c r="Q994" s="50"/>
      <c r="R994" s="50"/>
      <c r="S994" s="50"/>
      <c r="T994" s="50"/>
      <c r="U994" s="50"/>
      <c r="V994" s="50"/>
      <c r="W994" s="50"/>
      <c r="X994" s="50"/>
      <c r="Y994" s="50"/>
      <c r="Z994" s="50"/>
      <c r="AA994" s="50"/>
      <c r="AB994" s="50"/>
    </row>
    <row r="995" customFormat="false" ht="15.75" hidden="false" customHeight="false" outlineLevel="0" collapsed="false">
      <c r="A995" s="50"/>
      <c r="B995" s="50"/>
      <c r="C995" s="5"/>
      <c r="D995" s="48"/>
      <c r="E995" s="50"/>
      <c r="F995" s="5"/>
      <c r="G995" s="5"/>
      <c r="H995" s="5"/>
      <c r="I995" s="5"/>
      <c r="J995" s="5"/>
      <c r="K995" s="50"/>
      <c r="L995" s="50"/>
      <c r="M995" s="50"/>
      <c r="N995" s="50"/>
      <c r="O995" s="50"/>
      <c r="P995" s="50"/>
      <c r="Q995" s="50"/>
      <c r="R995" s="50"/>
      <c r="S995" s="50"/>
      <c r="T995" s="50"/>
      <c r="U995" s="50"/>
      <c r="V995" s="50"/>
      <c r="W995" s="50"/>
      <c r="X995" s="50"/>
      <c r="Y995" s="50"/>
      <c r="Z995" s="50"/>
      <c r="AA995" s="50"/>
      <c r="AB995" s="50"/>
    </row>
    <row r="996" customFormat="false" ht="15.75" hidden="false" customHeight="false" outlineLevel="0" collapsed="false">
      <c r="A996" s="50"/>
      <c r="B996" s="50"/>
      <c r="C996" s="5"/>
      <c r="D996" s="48"/>
      <c r="E996" s="50"/>
      <c r="F996" s="5"/>
      <c r="G996" s="5"/>
      <c r="H996" s="5"/>
      <c r="I996" s="5"/>
      <c r="J996" s="5"/>
      <c r="K996" s="50"/>
      <c r="L996" s="50"/>
      <c r="M996" s="50"/>
      <c r="N996" s="50"/>
      <c r="O996" s="50"/>
      <c r="P996" s="50"/>
      <c r="Q996" s="50"/>
      <c r="R996" s="50"/>
      <c r="S996" s="50"/>
      <c r="T996" s="50"/>
      <c r="U996" s="50"/>
      <c r="V996" s="50"/>
      <c r="W996" s="50"/>
      <c r="X996" s="50"/>
      <c r="Y996" s="50"/>
      <c r="Z996" s="50"/>
      <c r="AA996" s="50"/>
      <c r="AB996" s="50"/>
    </row>
    <row r="997" customFormat="false" ht="15.75" hidden="false" customHeight="false" outlineLevel="0" collapsed="false">
      <c r="A997" s="50"/>
      <c r="B997" s="50"/>
      <c r="C997" s="5"/>
      <c r="D997" s="48"/>
      <c r="E997" s="50"/>
      <c r="F997" s="5"/>
      <c r="G997" s="5"/>
      <c r="H997" s="5"/>
      <c r="I997" s="5"/>
      <c r="J997" s="5"/>
      <c r="K997" s="50"/>
      <c r="L997" s="50"/>
      <c r="M997" s="50"/>
      <c r="N997" s="50"/>
      <c r="O997" s="50"/>
      <c r="P997" s="50"/>
      <c r="Q997" s="50"/>
      <c r="R997" s="50"/>
      <c r="S997" s="50"/>
      <c r="T997" s="50"/>
      <c r="U997" s="50"/>
      <c r="V997" s="50"/>
      <c r="W997" s="50"/>
      <c r="X997" s="50"/>
      <c r="Y997" s="50"/>
      <c r="Z997" s="50"/>
      <c r="AA997" s="50"/>
      <c r="AB997" s="50"/>
    </row>
    <row r="998" customFormat="false" ht="15.75" hidden="false" customHeight="false" outlineLevel="0" collapsed="false">
      <c r="A998" s="50"/>
      <c r="B998" s="50"/>
      <c r="C998" s="5"/>
      <c r="D998" s="48"/>
      <c r="E998" s="50"/>
      <c r="F998" s="5"/>
      <c r="G998" s="5"/>
      <c r="H998" s="5"/>
      <c r="I998" s="5"/>
      <c r="J998" s="5"/>
      <c r="K998" s="50"/>
      <c r="L998" s="50"/>
      <c r="M998" s="50"/>
      <c r="N998" s="50"/>
      <c r="O998" s="50"/>
      <c r="P998" s="50"/>
      <c r="Q998" s="50"/>
      <c r="R998" s="50"/>
      <c r="S998" s="50"/>
      <c r="T998" s="50"/>
      <c r="U998" s="50"/>
      <c r="V998" s="50"/>
      <c r="W998" s="50"/>
      <c r="X998" s="50"/>
      <c r="Y998" s="50"/>
      <c r="Z998" s="50"/>
      <c r="AA998" s="50"/>
      <c r="AB998" s="50"/>
    </row>
    <row r="999" customFormat="false" ht="15.75" hidden="false" customHeight="false" outlineLevel="0" collapsed="false">
      <c r="A999" s="50"/>
      <c r="B999" s="50"/>
      <c r="C999" s="5"/>
      <c r="D999" s="48"/>
      <c r="E999" s="50"/>
      <c r="F999" s="5"/>
      <c r="G999" s="5"/>
      <c r="H999" s="5"/>
      <c r="I999" s="5"/>
      <c r="J999" s="5"/>
      <c r="K999" s="50"/>
      <c r="L999" s="50"/>
      <c r="M999" s="50"/>
      <c r="N999" s="50"/>
      <c r="O999" s="50"/>
      <c r="P999" s="50"/>
      <c r="Q999" s="50"/>
      <c r="R999" s="50"/>
      <c r="S999" s="50"/>
      <c r="T999" s="50"/>
      <c r="U999" s="50"/>
      <c r="V999" s="50"/>
      <c r="W999" s="50"/>
      <c r="X999" s="50"/>
      <c r="Y999" s="50"/>
      <c r="Z999" s="50"/>
      <c r="AA999" s="50"/>
      <c r="AB999" s="50"/>
    </row>
    <row r="1000" customFormat="false" ht="15.75" hidden="false" customHeight="false" outlineLevel="0" collapsed="false">
      <c r="A1000" s="50"/>
      <c r="B1000" s="50"/>
      <c r="C1000" s="5"/>
      <c r="D1000" s="48"/>
      <c r="E1000" s="50"/>
      <c r="F1000" s="5"/>
      <c r="G1000" s="5"/>
      <c r="H1000" s="5"/>
      <c r="I1000" s="5"/>
      <c r="J1000" s="5"/>
      <c r="K1000" s="50"/>
      <c r="L1000" s="50"/>
      <c r="M1000" s="50"/>
      <c r="N1000" s="50"/>
      <c r="O1000" s="50"/>
      <c r="P1000" s="50"/>
      <c r="Q1000" s="50"/>
      <c r="R1000" s="50"/>
      <c r="S1000" s="50"/>
      <c r="T1000" s="50"/>
      <c r="U1000" s="50"/>
      <c r="V1000" s="50"/>
      <c r="W1000" s="50"/>
      <c r="X1000" s="50"/>
      <c r="Y1000" s="50"/>
      <c r="Z1000" s="50"/>
      <c r="AA1000" s="50"/>
      <c r="AB1000" s="50"/>
    </row>
    <row r="1001" customFormat="false" ht="15.75" hidden="false" customHeight="false" outlineLevel="0" collapsed="false">
      <c r="A1001" s="50"/>
      <c r="B1001" s="50"/>
      <c r="C1001" s="5"/>
      <c r="D1001" s="48"/>
      <c r="E1001" s="50"/>
      <c r="F1001" s="5"/>
      <c r="G1001" s="5"/>
      <c r="H1001" s="5"/>
      <c r="I1001" s="5"/>
      <c r="J1001" s="5"/>
      <c r="K1001" s="50"/>
      <c r="L1001" s="50"/>
      <c r="M1001" s="50"/>
      <c r="N1001" s="50"/>
      <c r="O1001" s="50"/>
      <c r="P1001" s="50"/>
      <c r="Q1001" s="50"/>
      <c r="R1001" s="50"/>
      <c r="S1001" s="50"/>
      <c r="T1001" s="50"/>
      <c r="U1001" s="50"/>
      <c r="V1001" s="50"/>
      <c r="W1001" s="50"/>
      <c r="X1001" s="50"/>
      <c r="Y1001" s="50"/>
      <c r="Z1001" s="50"/>
      <c r="AA1001" s="50"/>
      <c r="AB1001" s="50"/>
    </row>
    <row r="1002" customFormat="false" ht="15.75" hidden="false" customHeight="false" outlineLevel="0" collapsed="false">
      <c r="A1002" s="50"/>
      <c r="B1002" s="50"/>
      <c r="C1002" s="5"/>
      <c r="D1002" s="48"/>
      <c r="E1002" s="50"/>
      <c r="F1002" s="5"/>
      <c r="G1002" s="5"/>
      <c r="H1002" s="5"/>
      <c r="I1002" s="5"/>
      <c r="J1002" s="5"/>
      <c r="K1002" s="50"/>
      <c r="L1002" s="50"/>
      <c r="M1002" s="50"/>
      <c r="N1002" s="50"/>
      <c r="O1002" s="50"/>
      <c r="P1002" s="50"/>
      <c r="Q1002" s="50"/>
      <c r="R1002" s="50"/>
      <c r="S1002" s="50"/>
      <c r="T1002" s="50"/>
      <c r="U1002" s="50"/>
      <c r="V1002" s="50"/>
      <c r="W1002" s="50"/>
      <c r="X1002" s="50"/>
      <c r="Y1002" s="50"/>
      <c r="Z1002" s="50"/>
      <c r="AA1002" s="50"/>
      <c r="AB1002" s="50"/>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mundua/aragonesek-lehen-lerro-politikoa-utziko-du_2125045_102.html"/>
    <hyperlink ref="A7" r:id="rId3" display="https://www.berria.eus/kirola/derbi-bikoitza_2118881_102.html"/>
    <hyperlink ref="A12" r:id="rId4" display="https://www.berria.eus/kirola/berriro-etxean-sentitzeko_2117830_102.html"/>
    <hyperlink ref="A17" r:id="rId5" display="https://www.berria.eus/komunikazioa/generacion-porno-dokumental-saioa-egin-dute-etbk-eta-tv3ek_1341518_102.html"/>
    <hyperlink ref="A22" r:id="rId6" display="https://www.berria.eus/kirola/artolak-nagusitasunez-irabazi-dio-zabaleri_2124679_102.html"/>
    <hyperlink ref="A27" r:id="rId7" display="https://www.berria.eus/mundua/gutxienez-40-hildako-eta-dozenaka-zauritu-moskun-gertatutako-tiroketa-batean_2122731_102.html"/>
    <hyperlink ref="A32" r:id="rId8" display="https://www.berria.eus/bizigiro/ohartu-behar-dugu-bizi-garen-jendartea-dominazioaren-kultura-batean-oinarritzen-dela_2121952_102.html"/>
    <hyperlink ref="A37" r:id="rId9" display="https://www.berria.eus/ekonomia/energiaren-euskal-erakundea-energia-konpainien-zergaren-aurka_234607_102.html"/>
    <hyperlink ref="A42" r:id="rId10" display="https://www.berria.eus/kultura/benat-arrutik-irabazi-du-donostia-kultura-vii-poesia-lehiaketa_2122642_102.html"/>
    <hyperlink ref="A47" r:id="rId11" display="https://www.berria.eus/mundua/aleksei-navalni-hil-da_212084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4" t="s">
        <v>29</v>
      </c>
      <c r="E1" s="45"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76" t="s">
        <v>30</v>
      </c>
      <c r="B2" s="47" t="s">
        <v>31</v>
      </c>
      <c r="C2" s="5" t="s">
        <v>18</v>
      </c>
      <c r="D2" s="48" t="s">
        <v>191</v>
      </c>
      <c r="E2" s="77" t="n">
        <f aca="false">IFERROR(__xludf.dummyfunction("COUNTA(SPLIT(D2,"" ""))/COUNTA(SPLIT($B$2,"" ""))"),0.344743276283619)</f>
        <v>0.3447432763</v>
      </c>
      <c r="F2" s="5" t="n">
        <v>4</v>
      </c>
      <c r="G2" s="5" t="n">
        <v>4</v>
      </c>
      <c r="H2" s="5" t="n">
        <v>4</v>
      </c>
      <c r="I2" s="5" t="n">
        <v>4</v>
      </c>
      <c r="J2" s="5" t="n">
        <v>5</v>
      </c>
      <c r="K2" s="50"/>
      <c r="L2" s="50"/>
      <c r="M2" s="50"/>
      <c r="N2" s="50"/>
      <c r="O2" s="50"/>
      <c r="P2" s="50"/>
      <c r="Q2" s="50"/>
      <c r="R2" s="50"/>
      <c r="S2" s="50"/>
      <c r="T2" s="50"/>
      <c r="U2" s="50"/>
      <c r="V2" s="50"/>
      <c r="W2" s="50"/>
      <c r="X2" s="50"/>
      <c r="Y2" s="50"/>
      <c r="Z2" s="50"/>
      <c r="AA2" s="50"/>
      <c r="AB2" s="50"/>
    </row>
    <row r="3" customFormat="false" ht="225" hidden="false" customHeight="true" outlineLevel="0" collapsed="false">
      <c r="A3" s="76"/>
      <c r="B3" s="76"/>
      <c r="C3" s="5" t="s">
        <v>19</v>
      </c>
      <c r="D3" s="48" t="s">
        <v>192</v>
      </c>
      <c r="E3" s="78" t="n">
        <f aca="false">IFERROR(__xludf.dummyfunction("COUNTA(SPLIT(D3,"" ""))/COUNTA(SPLIT($B$2,"" ""))"),0.180929095354523)</f>
        <v>0.1809290954</v>
      </c>
      <c r="F3" s="5" t="n">
        <v>3</v>
      </c>
      <c r="G3" s="5" t="n">
        <v>4</v>
      </c>
      <c r="H3" s="5" t="n">
        <v>4</v>
      </c>
      <c r="I3" s="5" t="n">
        <v>4</v>
      </c>
      <c r="J3" s="5" t="n">
        <v>4</v>
      </c>
      <c r="K3" s="50"/>
      <c r="L3" s="50"/>
      <c r="M3" s="50"/>
      <c r="N3" s="50"/>
      <c r="O3" s="50"/>
      <c r="P3" s="50"/>
      <c r="Q3" s="50"/>
      <c r="R3" s="50"/>
      <c r="S3" s="50"/>
      <c r="T3" s="50"/>
      <c r="U3" s="50"/>
      <c r="V3" s="50"/>
      <c r="W3" s="50"/>
      <c r="X3" s="50"/>
      <c r="Y3" s="50"/>
      <c r="Z3" s="50"/>
      <c r="AA3" s="50"/>
      <c r="AB3" s="50"/>
    </row>
    <row r="4" customFormat="false" ht="225" hidden="false" customHeight="true" outlineLevel="0" collapsed="false">
      <c r="A4" s="76"/>
      <c r="B4" s="76"/>
      <c r="C4" s="5" t="s">
        <v>8</v>
      </c>
      <c r="D4" s="48" t="s">
        <v>193</v>
      </c>
      <c r="E4" s="79" t="n">
        <f aca="false">IFERROR(__xludf.dummyfunction("COUNTA(SPLIT(D4,"" ""))/COUNTA(SPLIT($B$2,"" ""))"),0.349633251833741)</f>
        <v>0.3496332518</v>
      </c>
      <c r="F4" s="5" t="n">
        <v>3</v>
      </c>
      <c r="G4" s="5" t="n">
        <v>4</v>
      </c>
      <c r="H4" s="5" t="n">
        <v>4</v>
      </c>
      <c r="I4" s="5" t="n">
        <v>4</v>
      </c>
      <c r="J4" s="5" t="n">
        <v>5</v>
      </c>
      <c r="K4" s="50"/>
      <c r="L4" s="50"/>
      <c r="M4" s="50"/>
      <c r="N4" s="50"/>
      <c r="O4" s="50"/>
      <c r="P4" s="50"/>
      <c r="Q4" s="50"/>
      <c r="R4" s="50"/>
      <c r="S4" s="50"/>
      <c r="T4" s="50"/>
      <c r="U4" s="50"/>
      <c r="V4" s="50"/>
      <c r="W4" s="50"/>
      <c r="X4" s="50"/>
      <c r="Y4" s="50"/>
      <c r="Z4" s="50"/>
      <c r="AA4" s="50"/>
      <c r="AB4" s="50"/>
    </row>
    <row r="5" customFormat="false" ht="225" hidden="false" customHeight="true" outlineLevel="0" collapsed="false">
      <c r="A5" s="76"/>
      <c r="B5" s="76"/>
      <c r="C5" s="5" t="s">
        <v>20</v>
      </c>
      <c r="D5" s="48" t="s">
        <v>194</v>
      </c>
      <c r="E5" s="80" t="n">
        <f aca="false">IFERROR(__xludf.dummyfunction("COUNTA(SPLIT(D5,"" ""))/COUNTA(SPLIT($B$2,"" ""))"),0.111246943765281)</f>
        <v>0.1112469438</v>
      </c>
      <c r="F5" s="5" t="n">
        <v>3</v>
      </c>
      <c r="G5" s="5" t="n">
        <v>4</v>
      </c>
      <c r="H5" s="5" t="n">
        <v>5</v>
      </c>
      <c r="I5" s="5" t="n">
        <v>5</v>
      </c>
      <c r="J5" s="5" t="n">
        <v>4</v>
      </c>
      <c r="K5" s="50"/>
      <c r="L5" s="50"/>
      <c r="M5" s="50"/>
      <c r="N5" s="50"/>
      <c r="O5" s="50"/>
      <c r="P5" s="50"/>
      <c r="Q5" s="50"/>
      <c r="R5" s="50"/>
      <c r="S5" s="50"/>
      <c r="T5" s="50"/>
      <c r="U5" s="50"/>
      <c r="V5" s="50"/>
      <c r="W5" s="50"/>
      <c r="X5" s="50"/>
      <c r="Y5" s="50"/>
      <c r="Z5" s="50"/>
      <c r="AA5" s="50"/>
      <c r="AB5" s="50"/>
    </row>
    <row r="6" customFormat="false" ht="15.75" hidden="false" customHeight="false" outlineLevel="0" collapsed="false">
      <c r="A6" s="50"/>
      <c r="B6" s="50"/>
      <c r="C6" s="5"/>
      <c r="D6" s="48"/>
      <c r="E6" s="52"/>
      <c r="F6" s="5"/>
      <c r="G6" s="5"/>
      <c r="H6" s="5"/>
      <c r="I6" s="5"/>
      <c r="J6" s="5"/>
      <c r="K6" s="50"/>
      <c r="L6" s="50"/>
      <c r="M6" s="50"/>
      <c r="N6" s="50"/>
      <c r="O6" s="50"/>
      <c r="P6" s="50"/>
      <c r="Q6" s="50"/>
      <c r="R6" s="50"/>
      <c r="S6" s="50"/>
      <c r="T6" s="50"/>
      <c r="U6" s="50"/>
      <c r="V6" s="50"/>
      <c r="W6" s="50"/>
      <c r="X6" s="50"/>
      <c r="Y6" s="50"/>
      <c r="Z6" s="50"/>
      <c r="AA6" s="50"/>
      <c r="AB6" s="50"/>
    </row>
    <row r="7" customFormat="false" ht="225" hidden="false" customHeight="true" outlineLevel="0" collapsed="false">
      <c r="A7" s="53" t="s">
        <v>35</v>
      </c>
      <c r="B7" s="54" t="s">
        <v>36</v>
      </c>
      <c r="C7" s="55" t="s">
        <v>18</v>
      </c>
      <c r="D7" s="56" t="s">
        <v>195</v>
      </c>
      <c r="E7" s="81" t="n">
        <f aca="false">IFERROR(__xludf.dummyfunction("COUNTA(SPLIT(D7,"" ""))/COUNTA(SPLIT($B$7,"" ""))"),0.25)</f>
        <v>0.25</v>
      </c>
      <c r="F7" s="55" t="n">
        <v>3</v>
      </c>
      <c r="G7" s="55" t="n">
        <v>4</v>
      </c>
      <c r="H7" s="55" t="n">
        <v>4</v>
      </c>
      <c r="I7" s="55" t="n">
        <v>4</v>
      </c>
      <c r="J7" s="55" t="n">
        <v>4</v>
      </c>
      <c r="K7" s="58"/>
      <c r="L7" s="58"/>
      <c r="M7" s="58"/>
      <c r="N7" s="58"/>
      <c r="O7" s="58"/>
      <c r="P7" s="58"/>
      <c r="Q7" s="58"/>
      <c r="R7" s="58"/>
      <c r="S7" s="58"/>
      <c r="T7" s="58"/>
      <c r="U7" s="58"/>
      <c r="V7" s="58"/>
      <c r="W7" s="58"/>
      <c r="X7" s="58"/>
      <c r="Y7" s="58"/>
      <c r="Z7" s="58"/>
      <c r="AA7" s="58"/>
      <c r="AB7" s="58"/>
    </row>
    <row r="8" customFormat="false" ht="225" hidden="false" customHeight="true" outlineLevel="0" collapsed="false">
      <c r="A8" s="53"/>
      <c r="B8" s="53"/>
      <c r="C8" s="5" t="s">
        <v>19</v>
      </c>
      <c r="D8" s="48" t="s">
        <v>196</v>
      </c>
      <c r="E8" s="82" t="n">
        <f aca="false">IFERROR(__xludf.dummyfunction("COUNTA(SPLIT(D8,"" ""))/COUNTA(SPLIT($B$7,"" ""))"),0.366666666666667)</f>
        <v>0.3666666667</v>
      </c>
      <c r="F8" s="5" t="n">
        <v>3</v>
      </c>
      <c r="G8" s="5" t="n">
        <v>4</v>
      </c>
      <c r="H8" s="5" t="n">
        <v>4</v>
      </c>
      <c r="I8" s="5" t="n">
        <v>3</v>
      </c>
      <c r="J8" s="5" t="n">
        <v>4</v>
      </c>
      <c r="K8" s="50"/>
      <c r="L8" s="50"/>
      <c r="M8" s="50"/>
      <c r="N8" s="50"/>
      <c r="O8" s="50"/>
      <c r="P8" s="50"/>
      <c r="Q8" s="50"/>
      <c r="R8" s="50"/>
      <c r="S8" s="50"/>
      <c r="T8" s="50"/>
      <c r="U8" s="50"/>
      <c r="V8" s="50"/>
      <c r="W8" s="50"/>
      <c r="X8" s="50"/>
      <c r="Y8" s="50"/>
      <c r="Z8" s="50"/>
      <c r="AA8" s="50"/>
      <c r="AB8" s="50"/>
    </row>
    <row r="9" customFormat="false" ht="225" hidden="false" customHeight="true" outlineLevel="0" collapsed="false">
      <c r="A9" s="53"/>
      <c r="B9" s="53"/>
      <c r="C9" s="5" t="s">
        <v>8</v>
      </c>
      <c r="D9" s="48" t="s">
        <v>197</v>
      </c>
      <c r="E9" s="83" t="n">
        <f aca="false">IFERROR(__xludf.dummyfunction("COUNTA(SPLIT(D9,"" ""))/COUNTA(SPLIT($B$7,"" ""))"),0.429166666666667)</f>
        <v>0.4291666667</v>
      </c>
      <c r="F9" s="5" t="n">
        <v>2</v>
      </c>
      <c r="G9" s="5" t="n">
        <v>4</v>
      </c>
      <c r="H9" s="5" t="n">
        <v>4</v>
      </c>
      <c r="I9" s="5" t="n">
        <v>4</v>
      </c>
      <c r="J9" s="5" t="n">
        <v>5</v>
      </c>
      <c r="K9" s="50"/>
      <c r="L9" s="50"/>
      <c r="M9" s="50"/>
      <c r="N9" s="50"/>
      <c r="O9" s="50"/>
      <c r="P9" s="50"/>
      <c r="Q9" s="50"/>
      <c r="R9" s="50"/>
      <c r="S9" s="50"/>
      <c r="T9" s="50"/>
      <c r="U9" s="50"/>
      <c r="V9" s="50"/>
      <c r="W9" s="50"/>
      <c r="X9" s="50"/>
      <c r="Y9" s="50"/>
      <c r="Z9" s="50"/>
      <c r="AA9" s="50"/>
      <c r="AB9" s="50"/>
    </row>
    <row r="10" customFormat="false" ht="225" hidden="false" customHeight="true" outlineLevel="0" collapsed="false">
      <c r="A10" s="53"/>
      <c r="B10" s="53"/>
      <c r="C10" s="5" t="s">
        <v>20</v>
      </c>
      <c r="D10" s="48" t="s">
        <v>198</v>
      </c>
      <c r="E10" s="84" t="n">
        <f aca="false">IFERROR(__xludf.dummyfunction("COUNTA(SPLIT(D10,"" ""))/COUNTA(SPLIT($B$7,"" ""))"),0.2)</f>
        <v>0.2</v>
      </c>
      <c r="F10" s="5" t="n">
        <v>4</v>
      </c>
      <c r="G10" s="5" t="n">
        <v>3</v>
      </c>
      <c r="H10" s="5" t="n">
        <v>4</v>
      </c>
      <c r="I10" s="5" t="n">
        <v>5</v>
      </c>
      <c r="J10" s="5" t="n">
        <v>3</v>
      </c>
      <c r="K10" s="50"/>
      <c r="L10" s="50"/>
      <c r="M10" s="50"/>
      <c r="N10" s="50"/>
      <c r="O10" s="50"/>
      <c r="P10" s="50"/>
      <c r="Q10" s="50"/>
      <c r="R10" s="50"/>
      <c r="S10" s="50"/>
      <c r="T10" s="50"/>
      <c r="U10" s="50"/>
      <c r="V10" s="50"/>
      <c r="W10" s="50"/>
      <c r="X10" s="50"/>
      <c r="Y10" s="50"/>
      <c r="Z10" s="50"/>
      <c r="AA10" s="50"/>
      <c r="AB10" s="50"/>
    </row>
    <row r="11" customFormat="false" ht="15.75" hidden="false" customHeight="false" outlineLevel="0" collapsed="false">
      <c r="A11" s="50"/>
      <c r="B11" s="50"/>
      <c r="C11" s="5"/>
      <c r="D11" s="48"/>
      <c r="E11" s="52"/>
      <c r="F11" s="5"/>
      <c r="G11" s="5"/>
      <c r="H11" s="5"/>
      <c r="I11" s="5"/>
      <c r="J11" s="5"/>
      <c r="K11" s="50"/>
      <c r="L11" s="50"/>
      <c r="M11" s="50"/>
      <c r="N11" s="50"/>
      <c r="O11" s="50"/>
      <c r="P11" s="50"/>
      <c r="Q11" s="50"/>
      <c r="R11" s="50"/>
      <c r="S11" s="50"/>
      <c r="T11" s="50"/>
      <c r="U11" s="50"/>
      <c r="V11" s="50"/>
      <c r="W11" s="50"/>
      <c r="X11" s="50"/>
      <c r="Y11" s="50"/>
      <c r="Z11" s="50"/>
      <c r="AA11" s="50"/>
      <c r="AB11" s="50"/>
    </row>
    <row r="12" customFormat="false" ht="225" hidden="false" customHeight="true" outlineLevel="0" collapsed="false">
      <c r="A12" s="53" t="s">
        <v>39</v>
      </c>
      <c r="B12" s="54" t="s">
        <v>40</v>
      </c>
      <c r="C12" s="55" t="s">
        <v>18</v>
      </c>
      <c r="D12" s="56" t="s">
        <v>199</v>
      </c>
      <c r="E12" s="85" t="n">
        <f aca="false">IFERROR(__xludf.dummyfunction("COUNTA(SPLIT(D12,"" ""))/COUNTA(SPLIT($B$12,"" ""))"),0.147272727272727)</f>
        <v>0.1472727273</v>
      </c>
      <c r="F12" s="55" t="n">
        <v>4</v>
      </c>
      <c r="G12" s="55" t="n">
        <v>4</v>
      </c>
      <c r="H12" s="55" t="n">
        <v>4</v>
      </c>
      <c r="I12" s="55" t="n">
        <v>4</v>
      </c>
      <c r="J12" s="55" t="n">
        <v>4</v>
      </c>
      <c r="K12" s="58"/>
      <c r="L12" s="58"/>
      <c r="M12" s="58"/>
      <c r="N12" s="58"/>
      <c r="O12" s="58"/>
      <c r="P12" s="58"/>
      <c r="Q12" s="58"/>
      <c r="R12" s="58"/>
      <c r="S12" s="58"/>
      <c r="T12" s="58"/>
      <c r="U12" s="58"/>
      <c r="V12" s="58"/>
      <c r="W12" s="58"/>
      <c r="X12" s="58"/>
      <c r="Y12" s="58"/>
      <c r="Z12" s="58"/>
      <c r="AA12" s="58"/>
      <c r="AB12" s="58"/>
    </row>
    <row r="13" customFormat="false" ht="225" hidden="false" customHeight="true" outlineLevel="0" collapsed="false">
      <c r="A13" s="53"/>
      <c r="B13" s="53"/>
      <c r="C13" s="5" t="s">
        <v>19</v>
      </c>
      <c r="D13" s="48" t="s">
        <v>200</v>
      </c>
      <c r="E13" s="85" t="n">
        <f aca="false">IFERROR(__xludf.dummyfunction("COUNTA(SPLIT(D13,"" ""))/COUNTA(SPLIT($B$12,"" ""))"),0.190909090909091)</f>
        <v>0.1909090909</v>
      </c>
      <c r="F13" s="5" t="n">
        <v>3</v>
      </c>
      <c r="G13" s="5" t="n">
        <v>4</v>
      </c>
      <c r="H13" s="5" t="n">
        <v>4</v>
      </c>
      <c r="I13" s="5" t="n">
        <v>3</v>
      </c>
      <c r="J13" s="5" t="n">
        <v>4</v>
      </c>
      <c r="K13" s="50"/>
      <c r="L13" s="50"/>
      <c r="M13" s="50"/>
      <c r="N13" s="50"/>
      <c r="O13" s="50"/>
      <c r="P13" s="50"/>
      <c r="Q13" s="50"/>
      <c r="R13" s="50"/>
      <c r="S13" s="50"/>
      <c r="T13" s="50"/>
      <c r="U13" s="50"/>
      <c r="V13" s="50"/>
      <c r="W13" s="50"/>
      <c r="X13" s="50"/>
      <c r="Y13" s="50"/>
      <c r="Z13" s="50"/>
      <c r="AA13" s="50"/>
      <c r="AB13" s="50"/>
    </row>
    <row r="14" customFormat="false" ht="225" hidden="false" customHeight="true" outlineLevel="0" collapsed="false">
      <c r="A14" s="53"/>
      <c r="B14" s="53"/>
      <c r="C14" s="5" t="s">
        <v>8</v>
      </c>
      <c r="D14" s="48" t="s">
        <v>201</v>
      </c>
      <c r="E14" s="86" t="n">
        <f aca="false">IFERROR(__xludf.dummyfunction("COUNTA(SPLIT(D14,"" ""))/COUNTA(SPLIT($B$12,"" ""))"),0.163636363636364)</f>
        <v>0.1636363636</v>
      </c>
      <c r="F14" s="5" t="n">
        <v>3</v>
      </c>
      <c r="G14" s="5" t="n">
        <v>4</v>
      </c>
      <c r="H14" s="5" t="n">
        <v>4</v>
      </c>
      <c r="I14" s="5" t="n">
        <v>5</v>
      </c>
      <c r="J14" s="5" t="n">
        <v>5</v>
      </c>
      <c r="K14" s="50"/>
      <c r="L14" s="50"/>
      <c r="M14" s="50"/>
      <c r="N14" s="50"/>
      <c r="O14" s="50"/>
      <c r="P14" s="50"/>
      <c r="Q14" s="50"/>
      <c r="R14" s="50"/>
      <c r="S14" s="50"/>
      <c r="T14" s="50"/>
      <c r="U14" s="50"/>
      <c r="V14" s="50"/>
      <c r="W14" s="50"/>
      <c r="X14" s="50"/>
      <c r="Y14" s="50"/>
      <c r="Z14" s="50"/>
      <c r="AA14" s="50"/>
      <c r="AB14" s="50"/>
    </row>
    <row r="15" customFormat="false" ht="225" hidden="false" customHeight="true" outlineLevel="0" collapsed="false">
      <c r="A15" s="53"/>
      <c r="B15" s="53"/>
      <c r="C15" s="5" t="s">
        <v>20</v>
      </c>
      <c r="D15" s="48" t="s">
        <v>202</v>
      </c>
      <c r="E15" s="87" t="n">
        <f aca="false">IFERROR(__xludf.dummyfunction("COUNTA(SPLIT(D15,"" ""))/COUNTA(SPLIT($B$12,"" ""))"),0.12)</f>
        <v>0.12</v>
      </c>
      <c r="F15" s="5" t="n">
        <v>3</v>
      </c>
      <c r="G15" s="5" t="n">
        <v>5</v>
      </c>
      <c r="H15" s="5" t="n">
        <v>4</v>
      </c>
      <c r="I15" s="5" t="n">
        <v>4</v>
      </c>
      <c r="J15" s="5" t="n">
        <v>4</v>
      </c>
      <c r="K15" s="50"/>
      <c r="L15" s="50"/>
      <c r="M15" s="50"/>
      <c r="N15" s="50"/>
      <c r="O15" s="50"/>
      <c r="P15" s="50"/>
      <c r="Q15" s="50"/>
      <c r="R15" s="50"/>
      <c r="S15" s="50"/>
      <c r="T15" s="50"/>
      <c r="U15" s="50"/>
      <c r="V15" s="50"/>
      <c r="W15" s="50"/>
      <c r="X15" s="50"/>
      <c r="Y15" s="50"/>
      <c r="Z15" s="50"/>
      <c r="AA15" s="50"/>
      <c r="AB15" s="50"/>
    </row>
    <row r="16" customFormat="false" ht="15.75" hidden="false" customHeight="false" outlineLevel="0" collapsed="false">
      <c r="A16" s="50"/>
      <c r="B16" s="50"/>
      <c r="C16" s="5"/>
      <c r="D16" s="48"/>
      <c r="E16" s="52"/>
      <c r="F16" s="5"/>
      <c r="G16" s="5"/>
      <c r="H16" s="5"/>
      <c r="I16" s="5"/>
      <c r="J16" s="5"/>
      <c r="K16" s="50"/>
      <c r="L16" s="50"/>
      <c r="M16" s="50"/>
      <c r="N16" s="50"/>
      <c r="O16" s="50"/>
      <c r="P16" s="50"/>
      <c r="Q16" s="50"/>
      <c r="R16" s="50"/>
      <c r="S16" s="50"/>
      <c r="T16" s="50"/>
      <c r="U16" s="50"/>
      <c r="V16" s="50"/>
      <c r="W16" s="50"/>
      <c r="X16" s="50"/>
      <c r="Y16" s="50"/>
      <c r="Z16" s="50"/>
      <c r="AA16" s="50"/>
      <c r="AB16" s="50"/>
    </row>
    <row r="17" customFormat="false" ht="225" hidden="false" customHeight="true" outlineLevel="0" collapsed="false">
      <c r="A17" s="53" t="s">
        <v>43</v>
      </c>
      <c r="B17" s="54" t="s">
        <v>44</v>
      </c>
      <c r="C17" s="55" t="s">
        <v>18</v>
      </c>
      <c r="D17" s="56" t="s">
        <v>203</v>
      </c>
      <c r="E17" s="88" t="n">
        <f aca="false">IFERROR(__xludf.dummyfunction("COUNTA(SPLIT(D17,"" ""))/COUNTA(SPLIT($B$17,"" ""))"),0.30791788856305)</f>
        <v>0.3079178886</v>
      </c>
      <c r="F17" s="55" t="n">
        <v>4</v>
      </c>
      <c r="G17" s="55" t="n">
        <v>4</v>
      </c>
      <c r="H17" s="55" t="n">
        <v>4</v>
      </c>
      <c r="I17" s="55" t="n">
        <v>5</v>
      </c>
      <c r="J17" s="55" t="n">
        <v>4</v>
      </c>
      <c r="K17" s="58"/>
      <c r="L17" s="58"/>
      <c r="M17" s="58"/>
      <c r="N17" s="58"/>
      <c r="O17" s="58"/>
      <c r="P17" s="58"/>
      <c r="Q17" s="58"/>
      <c r="R17" s="58"/>
      <c r="S17" s="58"/>
      <c r="T17" s="58"/>
      <c r="U17" s="58"/>
      <c r="V17" s="58"/>
      <c r="W17" s="58"/>
      <c r="X17" s="58"/>
      <c r="Y17" s="58"/>
      <c r="Z17" s="58"/>
      <c r="AA17" s="58"/>
      <c r="AB17" s="58"/>
    </row>
    <row r="18" customFormat="false" ht="225" hidden="false" customHeight="true" outlineLevel="0" collapsed="false">
      <c r="A18" s="53"/>
      <c r="B18" s="53"/>
      <c r="C18" s="5" t="s">
        <v>19</v>
      </c>
      <c r="D18" s="48" t="s">
        <v>204</v>
      </c>
      <c r="E18" s="89" t="n">
        <f aca="false">IFERROR(__xludf.dummyfunction("COUNTA(SPLIT(D18,"" ""))/COUNTA(SPLIT($B$17,"" ""))"),0.252199413489736)</f>
        <v>0.2521994135</v>
      </c>
      <c r="F18" s="5" t="n">
        <v>4</v>
      </c>
      <c r="G18" s="5" t="n">
        <v>4</v>
      </c>
      <c r="H18" s="5" t="n">
        <v>5</v>
      </c>
      <c r="I18" s="5" t="n">
        <v>3</v>
      </c>
      <c r="J18" s="5" t="n">
        <v>3</v>
      </c>
      <c r="K18" s="50"/>
      <c r="L18" s="50"/>
      <c r="M18" s="50"/>
      <c r="N18" s="50"/>
      <c r="O18" s="50"/>
      <c r="P18" s="50"/>
      <c r="Q18" s="50"/>
      <c r="R18" s="50"/>
      <c r="S18" s="50"/>
      <c r="T18" s="50"/>
      <c r="U18" s="50"/>
      <c r="V18" s="50"/>
      <c r="W18" s="50"/>
      <c r="X18" s="50"/>
      <c r="Y18" s="50"/>
      <c r="Z18" s="50"/>
      <c r="AA18" s="50"/>
      <c r="AB18" s="50"/>
    </row>
    <row r="19" customFormat="false" ht="225" hidden="false" customHeight="true" outlineLevel="0" collapsed="false">
      <c r="A19" s="53"/>
      <c r="B19" s="53"/>
      <c r="C19" s="5" t="s">
        <v>8</v>
      </c>
      <c r="D19" s="48" t="s">
        <v>205</v>
      </c>
      <c r="E19" s="85" t="n">
        <f aca="false">IFERROR(__xludf.dummyfunction("COUNTA(SPLIT(D19,"" ""))/COUNTA(SPLIT($B$17,"" ""))"),0.304985337243402)</f>
        <v>0.3049853372</v>
      </c>
      <c r="F19" s="5" t="n">
        <v>3</v>
      </c>
      <c r="G19" s="5" t="n">
        <v>4</v>
      </c>
      <c r="H19" s="5" t="n">
        <v>5</v>
      </c>
      <c r="I19" s="5" t="n">
        <v>5</v>
      </c>
      <c r="J19" s="5" t="n">
        <v>5</v>
      </c>
      <c r="K19" s="50"/>
      <c r="L19" s="50"/>
      <c r="M19" s="50"/>
      <c r="N19" s="50"/>
      <c r="O19" s="50"/>
      <c r="P19" s="50"/>
      <c r="Q19" s="50"/>
      <c r="R19" s="50"/>
      <c r="S19" s="50"/>
      <c r="T19" s="50"/>
      <c r="U19" s="50"/>
      <c r="V19" s="50"/>
      <c r="W19" s="50"/>
      <c r="X19" s="50"/>
      <c r="Y19" s="50"/>
      <c r="Z19" s="50"/>
      <c r="AA19" s="50"/>
      <c r="AB19" s="50"/>
    </row>
    <row r="20" customFormat="false" ht="225" hidden="false" customHeight="true" outlineLevel="0" collapsed="false">
      <c r="A20" s="53"/>
      <c r="B20" s="53"/>
      <c r="C20" s="5" t="s">
        <v>20</v>
      </c>
      <c r="D20" s="48" t="s">
        <v>206</v>
      </c>
      <c r="E20" s="90" t="n">
        <f aca="false">IFERROR(__xludf.dummyfunction("COUNTA(SPLIT(D20,"" ""))/COUNTA(SPLIT($B$17,"" ""))"),0.252199413489736)</f>
        <v>0.2521994135</v>
      </c>
      <c r="F20" s="5" t="n">
        <v>3</v>
      </c>
      <c r="G20" s="5" t="n">
        <v>4</v>
      </c>
      <c r="H20" s="5" t="n">
        <v>4</v>
      </c>
      <c r="I20" s="5" t="n">
        <v>5</v>
      </c>
      <c r="J20" s="5" t="n">
        <v>3</v>
      </c>
      <c r="K20" s="50"/>
      <c r="L20" s="50"/>
      <c r="M20" s="50"/>
      <c r="N20" s="50"/>
      <c r="O20" s="50"/>
      <c r="P20" s="50"/>
      <c r="Q20" s="50"/>
      <c r="R20" s="50"/>
      <c r="S20" s="50"/>
      <c r="T20" s="50"/>
      <c r="U20" s="50"/>
      <c r="V20" s="50"/>
      <c r="W20" s="50"/>
      <c r="X20" s="50"/>
      <c r="Y20" s="50"/>
      <c r="Z20" s="50"/>
      <c r="AA20" s="50"/>
      <c r="AB20" s="50"/>
    </row>
    <row r="21" customFormat="false" ht="15.75" hidden="false" customHeight="false" outlineLevel="0" collapsed="false">
      <c r="A21" s="50"/>
      <c r="B21" s="50"/>
      <c r="C21" s="5"/>
      <c r="D21" s="48"/>
      <c r="E21" s="52"/>
      <c r="F21" s="5"/>
      <c r="G21" s="5"/>
      <c r="H21" s="5"/>
      <c r="I21" s="5"/>
      <c r="J21" s="5"/>
      <c r="K21" s="50"/>
      <c r="L21" s="50"/>
      <c r="M21" s="50"/>
      <c r="N21" s="50"/>
      <c r="O21" s="50"/>
      <c r="P21" s="50"/>
      <c r="Q21" s="50"/>
      <c r="R21" s="50"/>
      <c r="S21" s="50"/>
      <c r="T21" s="50"/>
      <c r="U21" s="50"/>
      <c r="V21" s="50"/>
      <c r="W21" s="50"/>
      <c r="X21" s="50"/>
      <c r="Y21" s="50"/>
      <c r="Z21" s="50"/>
      <c r="AA21" s="50"/>
      <c r="AB21" s="50"/>
    </row>
    <row r="22" customFormat="false" ht="225" hidden="false" customHeight="true" outlineLevel="0" collapsed="false">
      <c r="A22" s="53" t="s">
        <v>47</v>
      </c>
      <c r="B22" s="54" t="s">
        <v>48</v>
      </c>
      <c r="C22" s="55" t="s">
        <v>18</v>
      </c>
      <c r="D22" s="56" t="s">
        <v>207</v>
      </c>
      <c r="E22" s="91" t="n">
        <f aca="false">IFERROR(__xludf.dummyfunction("COUNTA(SPLIT(D22,"" ""))/COUNTA(SPLIT($B$22,"" ""))"),0.14070351758794)</f>
        <v>0.1407035176</v>
      </c>
      <c r="F22" s="55" t="n">
        <v>4</v>
      </c>
      <c r="G22" s="55" t="n">
        <v>4</v>
      </c>
      <c r="H22" s="55" t="n">
        <v>4</v>
      </c>
      <c r="I22" s="55" t="n">
        <v>5</v>
      </c>
      <c r="J22" s="55" t="n">
        <v>4</v>
      </c>
      <c r="K22" s="58"/>
      <c r="L22" s="58"/>
      <c r="M22" s="58"/>
      <c r="N22" s="58"/>
      <c r="O22" s="58"/>
      <c r="P22" s="58"/>
      <c r="Q22" s="58"/>
      <c r="R22" s="58"/>
      <c r="S22" s="58"/>
      <c r="T22" s="58"/>
      <c r="U22" s="58"/>
      <c r="V22" s="58"/>
      <c r="W22" s="58"/>
      <c r="X22" s="58"/>
      <c r="Y22" s="58"/>
      <c r="Z22" s="58"/>
      <c r="AA22" s="58"/>
      <c r="AB22" s="58"/>
    </row>
    <row r="23" customFormat="false" ht="225" hidden="false" customHeight="true" outlineLevel="0" collapsed="false">
      <c r="A23" s="53"/>
      <c r="B23" s="53"/>
      <c r="C23" s="5" t="s">
        <v>19</v>
      </c>
      <c r="D23" s="48" t="s">
        <v>208</v>
      </c>
      <c r="E23" s="92" t="n">
        <f aca="false">IFERROR(__xludf.dummyfunction("COUNTA(SPLIT(D23,"" ""))/COUNTA(SPLIT($B$22,"" ""))"),0.180904522613065)</f>
        <v>0.1809045226</v>
      </c>
      <c r="F23" s="5" t="n">
        <v>5</v>
      </c>
      <c r="G23" s="5" t="n">
        <v>5</v>
      </c>
      <c r="H23" s="5" t="n">
        <v>4</v>
      </c>
      <c r="I23" s="5" t="n">
        <v>4</v>
      </c>
      <c r="J23" s="5" t="n">
        <v>4</v>
      </c>
      <c r="K23" s="50"/>
      <c r="L23" s="50"/>
      <c r="M23" s="50"/>
      <c r="N23" s="50"/>
      <c r="O23" s="50"/>
      <c r="P23" s="50"/>
      <c r="Q23" s="50"/>
      <c r="R23" s="50"/>
      <c r="S23" s="50"/>
      <c r="T23" s="50"/>
      <c r="U23" s="50"/>
      <c r="V23" s="50"/>
      <c r="W23" s="50"/>
      <c r="X23" s="50"/>
      <c r="Y23" s="50"/>
      <c r="Z23" s="50"/>
      <c r="AA23" s="50"/>
      <c r="AB23" s="50"/>
    </row>
    <row r="24" customFormat="false" ht="225" hidden="false" customHeight="true" outlineLevel="0" collapsed="false">
      <c r="A24" s="53"/>
      <c r="B24" s="53"/>
      <c r="C24" s="5" t="s">
        <v>8</v>
      </c>
      <c r="D24" s="48" t="s">
        <v>209</v>
      </c>
      <c r="E24" s="93" t="n">
        <f aca="false">IFERROR(__xludf.dummyfunction("COUNTA(SPLIT(D24,"" ""))/COUNTA(SPLIT($B$22,"" ""))"),0.21105527638191)</f>
        <v>0.2110552764</v>
      </c>
      <c r="F24" s="5" t="n">
        <v>3</v>
      </c>
      <c r="G24" s="5" t="n">
        <v>5</v>
      </c>
      <c r="H24" s="5" t="n">
        <v>4</v>
      </c>
      <c r="I24" s="5" t="n">
        <v>4</v>
      </c>
      <c r="J24" s="5" t="n">
        <v>4</v>
      </c>
      <c r="K24" s="50"/>
      <c r="L24" s="50"/>
      <c r="M24" s="50"/>
      <c r="N24" s="50"/>
      <c r="O24" s="50"/>
      <c r="P24" s="50"/>
      <c r="Q24" s="50"/>
      <c r="R24" s="50"/>
      <c r="S24" s="50"/>
      <c r="T24" s="50"/>
      <c r="U24" s="50"/>
      <c r="V24" s="50"/>
      <c r="W24" s="50"/>
      <c r="X24" s="50"/>
      <c r="Y24" s="50"/>
      <c r="Z24" s="50"/>
      <c r="AA24" s="50"/>
      <c r="AB24" s="50"/>
    </row>
    <row r="25" customFormat="false" ht="225" hidden="false" customHeight="true" outlineLevel="0" collapsed="false">
      <c r="A25" s="53"/>
      <c r="B25" s="53"/>
      <c r="C25" s="5" t="s">
        <v>20</v>
      </c>
      <c r="D25" s="48" t="s">
        <v>210</v>
      </c>
      <c r="E25" s="69" t="n">
        <f aca="false">IFERROR(__xludf.dummyfunction("COUNTA(SPLIT(D25,"" ""))/COUNTA(SPLIT($B$22,"" ""))"),0.14070351758794)</f>
        <v>0.1407035176</v>
      </c>
      <c r="F25" s="5" t="n">
        <v>4</v>
      </c>
      <c r="G25" s="5" t="n">
        <v>4</v>
      </c>
      <c r="H25" s="5" t="n">
        <v>4</v>
      </c>
      <c r="I25" s="5" t="n">
        <v>5</v>
      </c>
      <c r="J25" s="5" t="n">
        <v>3</v>
      </c>
      <c r="K25" s="50"/>
      <c r="L25" s="50"/>
      <c r="M25" s="50"/>
      <c r="N25" s="50"/>
      <c r="O25" s="50"/>
      <c r="P25" s="50"/>
      <c r="Q25" s="50"/>
      <c r="R25" s="50"/>
      <c r="S25" s="50"/>
      <c r="T25" s="50"/>
      <c r="U25" s="50"/>
      <c r="V25" s="50"/>
      <c r="W25" s="50"/>
      <c r="X25" s="50"/>
      <c r="Y25" s="50"/>
      <c r="Z25" s="50"/>
      <c r="AA25" s="50"/>
      <c r="AB25" s="50"/>
    </row>
    <row r="26" customFormat="false" ht="15.75" hidden="false" customHeight="false" outlineLevel="0" collapsed="false">
      <c r="A26" s="50"/>
      <c r="B26" s="50"/>
      <c r="C26" s="5"/>
      <c r="D26" s="48"/>
      <c r="E26" s="52"/>
      <c r="F26" s="5"/>
      <c r="G26" s="5"/>
      <c r="H26" s="5"/>
      <c r="I26" s="5"/>
      <c r="J26" s="5"/>
      <c r="K26" s="50"/>
      <c r="L26" s="50"/>
      <c r="M26" s="50"/>
      <c r="N26" s="50"/>
      <c r="O26" s="50"/>
      <c r="P26" s="50"/>
      <c r="Q26" s="50"/>
      <c r="R26" s="50"/>
      <c r="S26" s="50"/>
      <c r="T26" s="50"/>
      <c r="U26" s="50"/>
      <c r="V26" s="50"/>
      <c r="W26" s="50"/>
      <c r="X26" s="50"/>
      <c r="Y26" s="50"/>
      <c r="Z26" s="50"/>
      <c r="AA26" s="50"/>
      <c r="AB26" s="50"/>
    </row>
    <row r="27" customFormat="false" ht="225" hidden="false" customHeight="true" outlineLevel="0" collapsed="false">
      <c r="A27" s="53" t="s">
        <v>51</v>
      </c>
      <c r="B27" s="54" t="s">
        <v>52</v>
      </c>
      <c r="C27" s="55" t="s">
        <v>18</v>
      </c>
      <c r="D27" s="56" t="s">
        <v>211</v>
      </c>
      <c r="E27" s="95" t="n">
        <f aca="false">IFERROR(__xludf.dummyfunction("COUNTA(SPLIT(D27,"" ""))/COUNTA(SPLIT($B$27,"" ""))"),0.557184750733138)</f>
        <v>0.5571847507</v>
      </c>
      <c r="F27" s="55" t="n">
        <v>4</v>
      </c>
      <c r="G27" s="55" t="n">
        <v>4</v>
      </c>
      <c r="H27" s="55" t="n">
        <v>4</v>
      </c>
      <c r="I27" s="55" t="n">
        <v>4</v>
      </c>
      <c r="J27" s="55" t="n">
        <v>5</v>
      </c>
      <c r="K27" s="58"/>
      <c r="L27" s="58"/>
      <c r="M27" s="58"/>
      <c r="N27" s="58"/>
      <c r="O27" s="58"/>
      <c r="P27" s="58"/>
      <c r="Q27" s="58"/>
      <c r="R27" s="58"/>
      <c r="S27" s="58"/>
      <c r="T27" s="58"/>
      <c r="U27" s="58"/>
      <c r="V27" s="58"/>
      <c r="W27" s="58"/>
      <c r="X27" s="58"/>
      <c r="Y27" s="58"/>
      <c r="Z27" s="58"/>
      <c r="AA27" s="58"/>
      <c r="AB27" s="58"/>
    </row>
    <row r="28" customFormat="false" ht="225" hidden="false" customHeight="true" outlineLevel="0" collapsed="false">
      <c r="A28" s="53"/>
      <c r="B28" s="53"/>
      <c r="C28" s="5" t="s">
        <v>19</v>
      </c>
      <c r="D28" s="48" t="s">
        <v>212</v>
      </c>
      <c r="E28" s="96" t="n">
        <f aca="false">IFERROR(__xludf.dummyfunction("COUNTA(SPLIT(D28,"" ""))/COUNTA(SPLIT($B$27,"" ""))"),0.281524926686217)</f>
        <v>0.2815249267</v>
      </c>
      <c r="F28" s="5" t="n">
        <v>3</v>
      </c>
      <c r="G28" s="5" t="n">
        <v>3</v>
      </c>
      <c r="H28" s="5" t="n">
        <v>4</v>
      </c>
      <c r="I28" s="5" t="n">
        <v>4</v>
      </c>
      <c r="J28" s="5" t="n">
        <v>5</v>
      </c>
      <c r="K28" s="50"/>
      <c r="L28" s="50"/>
      <c r="M28" s="50"/>
      <c r="N28" s="50"/>
      <c r="O28" s="50"/>
      <c r="P28" s="50"/>
      <c r="Q28" s="50"/>
      <c r="R28" s="50"/>
      <c r="S28" s="50"/>
      <c r="T28" s="50"/>
      <c r="U28" s="50"/>
      <c r="V28" s="50"/>
      <c r="W28" s="50"/>
      <c r="X28" s="50"/>
      <c r="Y28" s="50"/>
      <c r="Z28" s="50"/>
      <c r="AA28" s="50"/>
      <c r="AB28" s="50"/>
    </row>
    <row r="29" customFormat="false" ht="225" hidden="false" customHeight="true" outlineLevel="0" collapsed="false">
      <c r="A29" s="53"/>
      <c r="B29" s="53"/>
      <c r="C29" s="5" t="s">
        <v>8</v>
      </c>
      <c r="D29" s="48" t="s">
        <v>213</v>
      </c>
      <c r="E29" s="90" t="n">
        <f aca="false">IFERROR(__xludf.dummyfunction("COUNTA(SPLIT(D29,"" ""))/COUNTA(SPLIT($B$27,"" ""))"),0.278592375366569)</f>
        <v>0.2785923754</v>
      </c>
      <c r="F29" s="5" t="n">
        <v>2</v>
      </c>
      <c r="G29" s="5" t="n">
        <v>4</v>
      </c>
      <c r="H29" s="5" t="n">
        <v>4</v>
      </c>
      <c r="I29" s="5" t="n">
        <v>4</v>
      </c>
      <c r="J29" s="5" t="n">
        <v>4</v>
      </c>
      <c r="K29" s="50"/>
      <c r="L29" s="50"/>
      <c r="M29" s="50"/>
      <c r="N29" s="50"/>
      <c r="O29" s="50"/>
      <c r="P29" s="50"/>
      <c r="Q29" s="50"/>
      <c r="R29" s="50"/>
      <c r="S29" s="50"/>
      <c r="T29" s="50"/>
      <c r="U29" s="50"/>
      <c r="V29" s="50"/>
      <c r="W29" s="50"/>
      <c r="X29" s="50"/>
      <c r="Y29" s="50"/>
      <c r="Z29" s="50"/>
      <c r="AA29" s="50"/>
      <c r="AB29" s="50"/>
    </row>
    <row r="30" customFormat="false" ht="225" hidden="false" customHeight="true" outlineLevel="0" collapsed="false">
      <c r="A30" s="53"/>
      <c r="B30" s="53"/>
      <c r="C30" s="5" t="s">
        <v>20</v>
      </c>
      <c r="D30" s="48" t="s">
        <v>214</v>
      </c>
      <c r="E30" s="97" t="n">
        <f aca="false">IFERROR(__xludf.dummyfunction("COUNTA(SPLIT(D30,"" ""))/COUNTA(SPLIT($B$27,"" ""))"),0.243401759530792)</f>
        <v>0.2434017595</v>
      </c>
      <c r="F30" s="5" t="n">
        <v>3</v>
      </c>
      <c r="G30" s="5" t="n">
        <v>5</v>
      </c>
      <c r="H30" s="5" t="n">
        <v>4</v>
      </c>
      <c r="I30" s="5" t="n">
        <v>5</v>
      </c>
      <c r="J30" s="5" t="n">
        <v>5</v>
      </c>
      <c r="K30" s="50"/>
      <c r="L30" s="50"/>
      <c r="M30" s="50"/>
      <c r="N30" s="50"/>
      <c r="O30" s="50"/>
      <c r="P30" s="50"/>
      <c r="Q30" s="50"/>
      <c r="R30" s="50"/>
      <c r="S30" s="50"/>
      <c r="T30" s="50"/>
      <c r="U30" s="50"/>
      <c r="V30" s="50"/>
      <c r="W30" s="50"/>
      <c r="X30" s="50"/>
      <c r="Y30" s="50"/>
      <c r="Z30" s="50"/>
      <c r="AA30" s="50"/>
      <c r="AB30" s="50"/>
    </row>
    <row r="31" customFormat="false" ht="15.75" hidden="false" customHeight="false" outlineLevel="0" collapsed="false">
      <c r="A31" s="50"/>
      <c r="B31" s="50"/>
      <c r="C31" s="5"/>
      <c r="D31" s="48"/>
      <c r="E31" s="52"/>
      <c r="F31" s="5"/>
      <c r="G31" s="5"/>
      <c r="H31" s="5"/>
      <c r="I31" s="5"/>
      <c r="J31" s="5"/>
      <c r="K31" s="50"/>
      <c r="L31" s="50"/>
      <c r="M31" s="50"/>
      <c r="N31" s="50"/>
      <c r="O31" s="50"/>
      <c r="P31" s="50"/>
      <c r="Q31" s="50"/>
      <c r="R31" s="50"/>
      <c r="S31" s="50"/>
      <c r="T31" s="50"/>
      <c r="U31" s="50"/>
      <c r="V31" s="50"/>
      <c r="W31" s="50"/>
      <c r="X31" s="50"/>
      <c r="Y31" s="50"/>
      <c r="Z31" s="50"/>
      <c r="AA31" s="50"/>
      <c r="AB31" s="50"/>
    </row>
    <row r="32" customFormat="false" ht="225" hidden="false" customHeight="true" outlineLevel="0" collapsed="false">
      <c r="A32" s="53" t="s">
        <v>55</v>
      </c>
      <c r="B32" s="54" t="s">
        <v>56</v>
      </c>
      <c r="C32" s="55" t="s">
        <v>18</v>
      </c>
      <c r="D32" s="56" t="s">
        <v>215</v>
      </c>
      <c r="E32" s="68" t="n">
        <f aca="false">IFERROR(__xludf.dummyfunction("COUNTA(SPLIT(D32,"" ""))/COUNTA(SPLIT($B$32,"" ""))"),0.165529010238908)</f>
        <v>0.1655290102</v>
      </c>
      <c r="F32" s="55" t="n">
        <v>4</v>
      </c>
      <c r="G32" s="55" t="n">
        <v>4</v>
      </c>
      <c r="H32" s="55" t="n">
        <v>4</v>
      </c>
      <c r="I32" s="55" t="n">
        <v>4</v>
      </c>
      <c r="J32" s="55" t="n">
        <v>4</v>
      </c>
      <c r="K32" s="58"/>
      <c r="L32" s="58"/>
      <c r="M32" s="58"/>
      <c r="N32" s="58"/>
      <c r="O32" s="58"/>
      <c r="P32" s="58"/>
      <c r="Q32" s="58"/>
      <c r="R32" s="58"/>
      <c r="S32" s="58"/>
      <c r="T32" s="58"/>
      <c r="U32" s="58"/>
      <c r="V32" s="58"/>
      <c r="W32" s="58"/>
      <c r="X32" s="58"/>
      <c r="Y32" s="58"/>
      <c r="Z32" s="58"/>
      <c r="AA32" s="58"/>
      <c r="AB32" s="58"/>
    </row>
    <row r="33" customFormat="false" ht="225" hidden="false" customHeight="true" outlineLevel="0" collapsed="false">
      <c r="A33" s="53"/>
      <c r="B33" s="53"/>
      <c r="C33" s="5" t="s">
        <v>19</v>
      </c>
      <c r="D33" s="48" t="s">
        <v>216</v>
      </c>
      <c r="E33" s="98" t="n">
        <f aca="false">IFERROR(__xludf.dummyfunction("COUNTA(SPLIT(D33,"" ""))/COUNTA(SPLIT($B$32,"" ""))"),0.107508532423208)</f>
        <v>0.1075085324</v>
      </c>
      <c r="F33" s="5" t="n">
        <v>5</v>
      </c>
      <c r="G33" s="5" t="n">
        <v>4</v>
      </c>
      <c r="H33" s="5" t="n">
        <v>5</v>
      </c>
      <c r="I33" s="5" t="n">
        <v>4</v>
      </c>
      <c r="J33" s="5" t="n">
        <v>2</v>
      </c>
      <c r="K33" s="50"/>
      <c r="L33" s="50"/>
      <c r="M33" s="50"/>
      <c r="N33" s="50"/>
      <c r="O33" s="50"/>
      <c r="P33" s="50"/>
      <c r="Q33" s="50"/>
      <c r="R33" s="50"/>
      <c r="S33" s="50"/>
      <c r="T33" s="50"/>
      <c r="U33" s="50"/>
      <c r="V33" s="50"/>
      <c r="W33" s="50"/>
      <c r="X33" s="50"/>
      <c r="Y33" s="50"/>
      <c r="Z33" s="50"/>
      <c r="AA33" s="50"/>
      <c r="AB33" s="50"/>
    </row>
    <row r="34" customFormat="false" ht="225" hidden="false" customHeight="true" outlineLevel="0" collapsed="false">
      <c r="A34" s="53"/>
      <c r="B34" s="65"/>
      <c r="C34" s="5" t="s">
        <v>8</v>
      </c>
      <c r="D34" s="48" t="s">
        <v>217</v>
      </c>
      <c r="E34" s="99" t="n">
        <f aca="false">IFERROR(__xludf.dummyfunction("COUNTA(SPLIT(D34,"" ""))/COUNTA(SPLIT($B$32,"" ""))"),0.168941979522184)</f>
        <v>0.1689419795</v>
      </c>
      <c r="F34" s="5" t="n">
        <v>2</v>
      </c>
      <c r="G34" s="5" t="n">
        <v>3</v>
      </c>
      <c r="H34" s="5" t="n">
        <v>4</v>
      </c>
      <c r="I34" s="5" t="n">
        <v>3</v>
      </c>
      <c r="J34" s="5" t="n">
        <v>3</v>
      </c>
      <c r="K34" s="50"/>
      <c r="L34" s="50"/>
      <c r="M34" s="50"/>
      <c r="N34" s="50"/>
      <c r="O34" s="50"/>
      <c r="P34" s="50"/>
      <c r="Q34" s="50"/>
      <c r="R34" s="50"/>
      <c r="S34" s="50"/>
      <c r="T34" s="50"/>
      <c r="U34" s="50"/>
      <c r="V34" s="50"/>
      <c r="W34" s="50"/>
      <c r="X34" s="50"/>
      <c r="Y34" s="50"/>
      <c r="Z34" s="50"/>
      <c r="AA34" s="50"/>
      <c r="AB34" s="50"/>
    </row>
    <row r="35" customFormat="false" ht="225" hidden="false" customHeight="true" outlineLevel="0" collapsed="false">
      <c r="A35" s="53"/>
      <c r="B35" s="65"/>
      <c r="C35" s="5" t="s">
        <v>20</v>
      </c>
      <c r="D35" s="48" t="s">
        <v>218</v>
      </c>
      <c r="E35" s="63" t="n">
        <f aca="false">IFERROR(__xludf.dummyfunction("COUNTA(SPLIT(D35,"" ""))/COUNTA(SPLIT($B$32,"" ""))"),0.139931740614334)</f>
        <v>0.1399317406</v>
      </c>
      <c r="F35" s="5" t="n">
        <v>5</v>
      </c>
      <c r="G35" s="5" t="n">
        <v>4</v>
      </c>
      <c r="H35" s="5" t="n">
        <v>5</v>
      </c>
      <c r="I35" s="5" t="n">
        <v>4</v>
      </c>
      <c r="J35" s="5" t="n">
        <v>4</v>
      </c>
      <c r="K35" s="50"/>
      <c r="L35" s="50"/>
      <c r="M35" s="50"/>
      <c r="N35" s="50"/>
      <c r="O35" s="50"/>
      <c r="P35" s="50"/>
      <c r="Q35" s="50"/>
      <c r="R35" s="50"/>
      <c r="S35" s="50"/>
      <c r="T35" s="50"/>
      <c r="U35" s="50"/>
      <c r="V35" s="50"/>
      <c r="W35" s="50"/>
      <c r="X35" s="50"/>
      <c r="Y35" s="50"/>
      <c r="Z35" s="50"/>
      <c r="AA35" s="50"/>
      <c r="AB35" s="50"/>
    </row>
    <row r="36" customFormat="false" ht="15.75" hidden="false" customHeight="false" outlineLevel="0" collapsed="false">
      <c r="A36" s="50"/>
      <c r="B36" s="50"/>
      <c r="C36" s="5"/>
      <c r="D36" s="48"/>
      <c r="E36" s="52"/>
      <c r="F36" s="5"/>
      <c r="G36" s="5"/>
      <c r="H36" s="5"/>
      <c r="I36" s="5"/>
      <c r="J36" s="5"/>
      <c r="K36" s="50"/>
      <c r="L36" s="50"/>
      <c r="M36" s="50"/>
      <c r="N36" s="50"/>
      <c r="O36" s="50"/>
      <c r="P36" s="50"/>
      <c r="Q36" s="50"/>
      <c r="R36" s="50"/>
      <c r="S36" s="50"/>
      <c r="T36" s="50"/>
      <c r="U36" s="50"/>
      <c r="V36" s="50"/>
      <c r="W36" s="50"/>
      <c r="X36" s="50"/>
      <c r="Y36" s="50"/>
      <c r="Z36" s="50"/>
      <c r="AA36" s="50"/>
      <c r="AB36" s="50"/>
    </row>
    <row r="37" customFormat="false" ht="225" hidden="false" customHeight="true" outlineLevel="0" collapsed="false">
      <c r="A37" s="53" t="s">
        <v>59</v>
      </c>
      <c r="B37" s="54" t="s">
        <v>60</v>
      </c>
      <c r="C37" s="55" t="s">
        <v>18</v>
      </c>
      <c r="D37" s="56" t="s">
        <v>219</v>
      </c>
      <c r="E37" s="78" t="n">
        <f aca="false">IFERROR(__xludf.dummyfunction("COUNTA(SPLIT(D37,"" ""))/COUNTA(SPLIT($B$37,"" ""))"),0.388739946380697)</f>
        <v>0.3887399464</v>
      </c>
      <c r="F37" s="55" t="n">
        <v>5</v>
      </c>
      <c r="G37" s="55" t="n">
        <v>4</v>
      </c>
      <c r="H37" s="55" t="n">
        <v>4</v>
      </c>
      <c r="I37" s="55" t="n">
        <v>5</v>
      </c>
      <c r="J37" s="55" t="n">
        <v>4</v>
      </c>
      <c r="K37" s="58"/>
      <c r="L37" s="58"/>
      <c r="M37" s="58"/>
      <c r="N37" s="58"/>
      <c r="O37" s="58"/>
      <c r="P37" s="58"/>
      <c r="Q37" s="58"/>
      <c r="R37" s="58"/>
      <c r="S37" s="58"/>
      <c r="T37" s="58"/>
      <c r="U37" s="58"/>
      <c r="V37" s="58"/>
      <c r="W37" s="58"/>
      <c r="X37" s="58"/>
      <c r="Y37" s="58"/>
      <c r="Z37" s="58"/>
      <c r="AA37" s="58"/>
      <c r="AB37" s="58"/>
    </row>
    <row r="38" customFormat="false" ht="225" hidden="false" customHeight="true" outlineLevel="0" collapsed="false">
      <c r="A38" s="53"/>
      <c r="B38" s="53"/>
      <c r="C38" s="5" t="s">
        <v>19</v>
      </c>
      <c r="D38" s="48" t="s">
        <v>220</v>
      </c>
      <c r="E38" s="100" t="n">
        <f aca="false">IFERROR(__xludf.dummyfunction("COUNTA(SPLIT(D38,"" ""))/COUNTA(SPLIT($B$37,"" ""))"),0.294906166219839)</f>
        <v>0.2949061662</v>
      </c>
      <c r="F38" s="5" t="n">
        <v>4</v>
      </c>
      <c r="G38" s="5" t="n">
        <v>4</v>
      </c>
      <c r="H38" s="5" t="n">
        <v>4</v>
      </c>
      <c r="I38" s="5" t="n">
        <v>3</v>
      </c>
      <c r="J38" s="5" t="n">
        <v>4</v>
      </c>
      <c r="K38" s="50"/>
      <c r="L38" s="50"/>
      <c r="M38" s="50"/>
      <c r="N38" s="50"/>
      <c r="O38" s="50"/>
      <c r="P38" s="50"/>
      <c r="Q38" s="50"/>
      <c r="R38" s="50"/>
      <c r="S38" s="50"/>
      <c r="T38" s="50"/>
      <c r="U38" s="50"/>
      <c r="V38" s="50"/>
      <c r="W38" s="50"/>
      <c r="X38" s="50"/>
      <c r="Y38" s="50"/>
      <c r="Z38" s="50"/>
      <c r="AA38" s="50"/>
      <c r="AB38" s="50"/>
    </row>
    <row r="39" customFormat="false" ht="225" hidden="false" customHeight="true" outlineLevel="0" collapsed="false">
      <c r="A39" s="53"/>
      <c r="B39" s="53"/>
      <c r="C39" s="5" t="s">
        <v>8</v>
      </c>
      <c r="D39" s="48" t="s">
        <v>221</v>
      </c>
      <c r="E39" s="87" t="n">
        <f aca="false">IFERROR(__xludf.dummyfunction("COUNTA(SPLIT(D39,"" ""))/COUNTA(SPLIT($B$37,"" ""))"),0.329758713136729)</f>
        <v>0.3297587131</v>
      </c>
      <c r="F39" s="5" t="n">
        <v>3</v>
      </c>
      <c r="G39" s="5" t="n">
        <v>3</v>
      </c>
      <c r="H39" s="5" t="n">
        <v>4</v>
      </c>
      <c r="I39" s="5" t="n">
        <v>4</v>
      </c>
      <c r="J39" s="5" t="n">
        <v>4</v>
      </c>
      <c r="K39" s="50"/>
      <c r="L39" s="50"/>
      <c r="M39" s="50"/>
      <c r="N39" s="50"/>
      <c r="O39" s="50"/>
      <c r="P39" s="50"/>
      <c r="Q39" s="50"/>
      <c r="R39" s="50"/>
      <c r="S39" s="50"/>
      <c r="T39" s="50"/>
      <c r="U39" s="50"/>
      <c r="V39" s="50"/>
      <c r="W39" s="50"/>
      <c r="X39" s="50"/>
      <c r="Y39" s="50"/>
      <c r="Z39" s="50"/>
      <c r="AA39" s="50"/>
      <c r="AB39" s="50"/>
    </row>
    <row r="40" customFormat="false" ht="225" hidden="false" customHeight="true" outlineLevel="0" collapsed="false">
      <c r="A40" s="53"/>
      <c r="B40" s="53"/>
      <c r="C40" s="5" t="s">
        <v>20</v>
      </c>
      <c r="D40" s="48" t="s">
        <v>222</v>
      </c>
      <c r="E40" s="80" t="n">
        <f aca="false">IFERROR(__xludf.dummyfunction("COUNTA(SPLIT(D40,"" ""))/COUNTA(SPLIT($B$37,"" ""))"),0.233243967828418)</f>
        <v>0.2332439678</v>
      </c>
      <c r="F40" s="5" t="n">
        <v>5</v>
      </c>
      <c r="G40" s="5" t="n">
        <v>5</v>
      </c>
      <c r="H40" s="5" t="n">
        <v>4</v>
      </c>
      <c r="I40" s="5" t="n">
        <v>5</v>
      </c>
      <c r="J40" s="5" t="n">
        <v>4</v>
      </c>
      <c r="K40" s="50"/>
      <c r="L40" s="50"/>
      <c r="M40" s="50"/>
      <c r="N40" s="50"/>
      <c r="O40" s="50"/>
      <c r="P40" s="50"/>
      <c r="Q40" s="50"/>
      <c r="R40" s="50"/>
      <c r="S40" s="50"/>
      <c r="T40" s="50"/>
      <c r="U40" s="50"/>
      <c r="V40" s="50"/>
      <c r="W40" s="50"/>
      <c r="X40" s="50"/>
      <c r="Y40" s="50"/>
      <c r="Z40" s="50"/>
      <c r="AA40" s="50"/>
      <c r="AB40" s="50"/>
    </row>
    <row r="41" customFormat="false" ht="15.75" hidden="false" customHeight="false" outlineLevel="0" collapsed="false">
      <c r="A41" s="50"/>
      <c r="B41" s="50"/>
      <c r="C41" s="5"/>
      <c r="D41" s="48"/>
      <c r="E41" s="52"/>
      <c r="F41" s="5"/>
      <c r="G41" s="5"/>
      <c r="H41" s="5"/>
      <c r="I41" s="5"/>
      <c r="J41" s="5"/>
      <c r="K41" s="50"/>
      <c r="L41" s="50"/>
      <c r="M41" s="50"/>
      <c r="N41" s="50"/>
      <c r="O41" s="50"/>
      <c r="P41" s="50"/>
      <c r="Q41" s="50"/>
      <c r="R41" s="50"/>
      <c r="S41" s="50"/>
      <c r="T41" s="50"/>
      <c r="U41" s="50"/>
      <c r="V41" s="50"/>
      <c r="W41" s="50"/>
      <c r="X41" s="50"/>
      <c r="Y41" s="50"/>
      <c r="Z41" s="50"/>
      <c r="AA41" s="50"/>
      <c r="AB41" s="50"/>
    </row>
    <row r="42" customFormat="false" ht="225" hidden="false" customHeight="true" outlineLevel="0" collapsed="false">
      <c r="A42" s="53" t="s">
        <v>63</v>
      </c>
      <c r="B42" s="54" t="s">
        <v>64</v>
      </c>
      <c r="C42" s="55" t="s">
        <v>18</v>
      </c>
      <c r="D42" s="56" t="s">
        <v>223</v>
      </c>
      <c r="E42" s="78" t="n">
        <f aca="false">IFERROR(__xludf.dummyfunction("COUNTA(SPLIT(D42,"" ""))/COUNTA(SPLIT($B$42,"" ""))"),0.504716981132076)</f>
        <v>0.5047169811</v>
      </c>
      <c r="F42" s="55" t="n">
        <v>5</v>
      </c>
      <c r="G42" s="55" t="n">
        <v>4</v>
      </c>
      <c r="H42" s="55" t="n">
        <v>5</v>
      </c>
      <c r="I42" s="55" t="n">
        <v>4</v>
      </c>
      <c r="J42" s="55" t="n">
        <v>5</v>
      </c>
      <c r="K42" s="58"/>
      <c r="L42" s="58"/>
      <c r="M42" s="58"/>
      <c r="N42" s="58"/>
      <c r="O42" s="58"/>
      <c r="P42" s="58"/>
      <c r="Q42" s="58"/>
      <c r="R42" s="58"/>
      <c r="S42" s="58"/>
      <c r="T42" s="58"/>
      <c r="U42" s="58"/>
      <c r="V42" s="58"/>
      <c r="W42" s="58"/>
      <c r="X42" s="58"/>
      <c r="Y42" s="58"/>
      <c r="Z42" s="58"/>
      <c r="AA42" s="58"/>
      <c r="AB42" s="58"/>
    </row>
    <row r="43" customFormat="false" ht="225" hidden="false" customHeight="true" outlineLevel="0" collapsed="false">
      <c r="A43" s="53"/>
      <c r="B43" s="53"/>
      <c r="C43" s="5" t="s">
        <v>19</v>
      </c>
      <c r="D43" s="48" t="s">
        <v>224</v>
      </c>
      <c r="E43" s="78" t="n">
        <f aca="false">IFERROR(__xludf.dummyfunction("COUNTA(SPLIT(D43,"" ""))/COUNTA(SPLIT($B$42,"" ""))"),0.30188679245283)</f>
        <v>0.3018867925</v>
      </c>
      <c r="F43" s="5" t="n">
        <v>4</v>
      </c>
      <c r="G43" s="5" t="n">
        <v>5</v>
      </c>
      <c r="H43" s="5" t="n">
        <v>4</v>
      </c>
      <c r="I43" s="5" t="n">
        <v>4</v>
      </c>
      <c r="J43" s="5" t="n">
        <v>5</v>
      </c>
      <c r="K43" s="50"/>
      <c r="L43" s="50"/>
      <c r="M43" s="50"/>
      <c r="N43" s="50"/>
      <c r="O43" s="50"/>
      <c r="P43" s="50"/>
      <c r="Q43" s="50"/>
      <c r="R43" s="50"/>
      <c r="S43" s="50"/>
      <c r="T43" s="50"/>
      <c r="U43" s="50"/>
      <c r="V43" s="50"/>
      <c r="W43" s="50"/>
      <c r="X43" s="50"/>
      <c r="Y43" s="50"/>
      <c r="Z43" s="50"/>
      <c r="AA43" s="50"/>
      <c r="AB43" s="50"/>
    </row>
    <row r="44" customFormat="false" ht="225" hidden="false" customHeight="true" outlineLevel="0" collapsed="false">
      <c r="A44" s="53"/>
      <c r="B44" s="53"/>
      <c r="C44" s="5" t="s">
        <v>8</v>
      </c>
      <c r="D44" s="48" t="s">
        <v>225</v>
      </c>
      <c r="E44" s="101" t="n">
        <f aca="false">IFERROR(__xludf.dummyfunction("COUNTA(SPLIT(D44,"" ""))/COUNTA(SPLIT($B$42,"" ""))"),0.636792452830189)</f>
        <v>0.6367924528</v>
      </c>
      <c r="F44" s="5" t="n">
        <v>3</v>
      </c>
      <c r="G44" s="5" t="n">
        <v>4</v>
      </c>
      <c r="H44" s="5" t="n">
        <v>5</v>
      </c>
      <c r="I44" s="5" t="n">
        <v>4</v>
      </c>
      <c r="J44" s="5" t="n">
        <v>5</v>
      </c>
      <c r="K44" s="50"/>
      <c r="L44" s="50"/>
      <c r="M44" s="50"/>
      <c r="N44" s="50"/>
      <c r="O44" s="50"/>
      <c r="P44" s="50"/>
      <c r="Q44" s="50"/>
      <c r="R44" s="50"/>
      <c r="S44" s="50"/>
      <c r="T44" s="50"/>
      <c r="U44" s="50"/>
      <c r="V44" s="50"/>
      <c r="W44" s="50"/>
      <c r="X44" s="50"/>
      <c r="Y44" s="50"/>
      <c r="Z44" s="50"/>
      <c r="AA44" s="50"/>
      <c r="AB44" s="50"/>
    </row>
    <row r="45" customFormat="false" ht="225" hidden="false" customHeight="true" outlineLevel="0" collapsed="false">
      <c r="A45" s="53"/>
      <c r="B45" s="53"/>
      <c r="C45" s="5" t="s">
        <v>20</v>
      </c>
      <c r="D45" s="48" t="s">
        <v>226</v>
      </c>
      <c r="E45" s="97" t="n">
        <f aca="false">IFERROR(__xludf.dummyfunction("COUNTA(SPLIT(D45,"" ""))/COUNTA(SPLIT($B$42,"" ""))"),0.283018867924528)</f>
        <v>0.2830188679</v>
      </c>
      <c r="F45" s="5" t="n">
        <v>4</v>
      </c>
      <c r="G45" s="5" t="n">
        <v>5</v>
      </c>
      <c r="H45" s="5" t="n">
        <v>5</v>
      </c>
      <c r="I45" s="5" t="n">
        <v>4</v>
      </c>
      <c r="J45" s="5" t="n">
        <v>5</v>
      </c>
      <c r="K45" s="50"/>
      <c r="L45" s="50"/>
      <c r="M45" s="50"/>
      <c r="N45" s="50"/>
      <c r="O45" s="50"/>
      <c r="P45" s="50"/>
      <c r="Q45" s="50"/>
      <c r="R45" s="50"/>
      <c r="S45" s="50"/>
      <c r="T45" s="50"/>
      <c r="U45" s="50"/>
      <c r="V45" s="50"/>
      <c r="W45" s="50"/>
      <c r="X45" s="50"/>
      <c r="Y45" s="50"/>
      <c r="Z45" s="50"/>
      <c r="AA45" s="50"/>
      <c r="AB45" s="50"/>
    </row>
    <row r="46" customFormat="false" ht="15.75" hidden="false" customHeight="false" outlineLevel="0" collapsed="false">
      <c r="A46" s="50"/>
      <c r="B46" s="50"/>
      <c r="C46" s="5"/>
      <c r="D46" s="48"/>
      <c r="E46" s="52"/>
      <c r="F46" s="5"/>
      <c r="G46" s="5"/>
      <c r="H46" s="5"/>
      <c r="I46" s="5"/>
      <c r="J46" s="5"/>
      <c r="K46" s="50"/>
      <c r="L46" s="50"/>
      <c r="M46" s="50"/>
      <c r="N46" s="50"/>
      <c r="O46" s="50"/>
      <c r="P46" s="50"/>
      <c r="Q46" s="50"/>
      <c r="R46" s="50"/>
      <c r="S46" s="50"/>
      <c r="T46" s="50"/>
      <c r="U46" s="50"/>
      <c r="V46" s="50"/>
      <c r="W46" s="50"/>
      <c r="X46" s="50"/>
      <c r="Y46" s="50"/>
      <c r="Z46" s="50"/>
      <c r="AA46" s="50"/>
      <c r="AB46" s="50"/>
    </row>
    <row r="47" customFormat="false" ht="225" hidden="false" customHeight="true" outlineLevel="0" collapsed="false">
      <c r="A47" s="102" t="s">
        <v>67</v>
      </c>
      <c r="B47" s="54" t="s">
        <v>68</v>
      </c>
      <c r="C47" s="55" t="s">
        <v>18</v>
      </c>
      <c r="D47" s="56" t="s">
        <v>227</v>
      </c>
      <c r="E47" s="103" t="n">
        <f aca="false">IFERROR(__xludf.dummyfunction("COUNTA(SPLIT(D47,"" ""))/COUNTA(SPLIT($B$47,"" ""))"),0.211165048543689)</f>
        <v>0.2111650485</v>
      </c>
      <c r="F47" s="55" t="n">
        <v>4</v>
      </c>
      <c r="G47" s="55" t="n">
        <v>4</v>
      </c>
      <c r="H47" s="55" t="n">
        <v>4</v>
      </c>
      <c r="I47" s="55" t="n">
        <v>4</v>
      </c>
      <c r="J47" s="55" t="n">
        <v>4</v>
      </c>
      <c r="K47" s="58"/>
      <c r="L47" s="58"/>
      <c r="M47" s="58"/>
      <c r="N47" s="58"/>
      <c r="O47" s="58"/>
      <c r="P47" s="58"/>
      <c r="Q47" s="58"/>
      <c r="R47" s="58"/>
      <c r="S47" s="58"/>
      <c r="T47" s="58"/>
      <c r="U47" s="58"/>
      <c r="V47" s="58"/>
      <c r="W47" s="58"/>
      <c r="X47" s="58"/>
      <c r="Y47" s="58"/>
      <c r="Z47" s="58"/>
      <c r="AA47" s="58"/>
      <c r="AB47" s="58"/>
    </row>
    <row r="48" customFormat="false" ht="225" hidden="false" customHeight="true" outlineLevel="0" collapsed="false">
      <c r="A48" s="102"/>
      <c r="B48" s="102"/>
      <c r="C48" s="5" t="s">
        <v>19</v>
      </c>
      <c r="D48" s="48" t="s">
        <v>228</v>
      </c>
      <c r="E48" s="73" t="n">
        <f aca="false">IFERROR(__xludf.dummyfunction("COUNTA(SPLIT(D48,"" ""))/COUNTA(SPLIT($B$47,"" ""))"),0.228155339805825)</f>
        <v>0.2281553398</v>
      </c>
      <c r="F48" s="5" t="n">
        <v>4</v>
      </c>
      <c r="G48" s="5" t="n">
        <v>4</v>
      </c>
      <c r="H48" s="5" t="n">
        <v>4</v>
      </c>
      <c r="I48" s="5" t="n">
        <v>4</v>
      </c>
      <c r="J48" s="5" t="n">
        <v>4</v>
      </c>
      <c r="K48" s="50"/>
      <c r="L48" s="50"/>
      <c r="M48" s="50"/>
      <c r="N48" s="50"/>
      <c r="O48" s="50"/>
      <c r="P48" s="50"/>
      <c r="Q48" s="50"/>
      <c r="R48" s="50"/>
      <c r="S48" s="50"/>
      <c r="T48" s="50"/>
      <c r="U48" s="50"/>
      <c r="V48" s="50"/>
      <c r="W48" s="50"/>
      <c r="X48" s="50"/>
      <c r="Y48" s="50"/>
      <c r="Z48" s="50"/>
      <c r="AA48" s="50"/>
      <c r="AB48" s="50"/>
    </row>
    <row r="49" customFormat="false" ht="225" hidden="false" customHeight="true" outlineLevel="0" collapsed="false">
      <c r="A49" s="102"/>
      <c r="B49" s="102"/>
      <c r="C49" s="5" t="s">
        <v>8</v>
      </c>
      <c r="D49" s="48" t="s">
        <v>229</v>
      </c>
      <c r="E49" s="74" t="n">
        <f aca="false">IFERROR(__xludf.dummyfunction("COUNTA(SPLIT(D49,"" ""))/COUNTA(SPLIT($B$47,"" ""))"),0.259708737864078)</f>
        <v>0.2597087379</v>
      </c>
      <c r="F49" s="5" t="n">
        <v>3</v>
      </c>
      <c r="G49" s="5" t="n">
        <v>4</v>
      </c>
      <c r="H49" s="5" t="n">
        <v>4</v>
      </c>
      <c r="I49" s="5" t="n">
        <v>4</v>
      </c>
      <c r="J49" s="5" t="n">
        <v>5</v>
      </c>
      <c r="K49" s="50"/>
      <c r="L49" s="50"/>
      <c r="M49" s="50"/>
      <c r="N49" s="50"/>
      <c r="O49" s="50"/>
      <c r="P49" s="50"/>
      <c r="Q49" s="50"/>
      <c r="R49" s="50"/>
      <c r="S49" s="50"/>
      <c r="T49" s="50"/>
      <c r="U49" s="50"/>
      <c r="V49" s="50"/>
      <c r="W49" s="50"/>
      <c r="X49" s="50"/>
      <c r="Y49" s="50"/>
      <c r="Z49" s="50"/>
      <c r="AA49" s="50"/>
      <c r="AB49" s="50"/>
    </row>
    <row r="50" customFormat="false" ht="225" hidden="false" customHeight="true" outlineLevel="0" collapsed="false">
      <c r="A50" s="102"/>
      <c r="B50" s="102"/>
      <c r="C50" s="5" t="s">
        <v>20</v>
      </c>
      <c r="D50" s="48" t="s">
        <v>230</v>
      </c>
      <c r="E50" s="75" t="n">
        <f aca="false">IFERROR(__xludf.dummyfunction("COUNTA(SPLIT(D50,"" ""))/COUNTA(SPLIT($B$47,"" ""))"),0.177184466019417)</f>
        <v>0.177184466</v>
      </c>
      <c r="F50" s="5" t="n">
        <v>4</v>
      </c>
      <c r="G50" s="5" t="n">
        <v>4</v>
      </c>
      <c r="H50" s="5" t="n">
        <v>4</v>
      </c>
      <c r="I50" s="5" t="n">
        <v>4</v>
      </c>
      <c r="J50" s="5" t="n">
        <v>4</v>
      </c>
      <c r="K50" s="50"/>
      <c r="L50" s="50"/>
      <c r="M50" s="50"/>
      <c r="N50" s="50"/>
      <c r="O50" s="50"/>
      <c r="P50" s="50"/>
      <c r="Q50" s="50"/>
      <c r="R50" s="50"/>
      <c r="S50" s="50"/>
      <c r="T50" s="50"/>
      <c r="U50" s="50"/>
      <c r="V50" s="50"/>
      <c r="W50" s="50"/>
      <c r="X50" s="50"/>
      <c r="Y50" s="50"/>
      <c r="Z50" s="50"/>
      <c r="AA50" s="50"/>
      <c r="AB50" s="50"/>
    </row>
    <row r="51" customFormat="false" ht="15.75" hidden="false" customHeight="false" outlineLevel="0" collapsed="false">
      <c r="A51" s="50"/>
      <c r="B51" s="50"/>
      <c r="C51" s="5"/>
      <c r="D51" s="48"/>
      <c r="E51" s="50"/>
      <c r="F51" s="5"/>
      <c r="G51" s="5"/>
      <c r="H51" s="5"/>
      <c r="I51" s="5"/>
      <c r="J51" s="5"/>
      <c r="K51" s="50"/>
      <c r="L51" s="50"/>
      <c r="M51" s="50"/>
      <c r="N51" s="50"/>
      <c r="O51" s="50"/>
      <c r="P51" s="50"/>
      <c r="Q51" s="50"/>
      <c r="R51" s="50"/>
      <c r="S51" s="50"/>
      <c r="T51" s="50"/>
      <c r="U51" s="50"/>
      <c r="V51" s="50"/>
      <c r="W51" s="50"/>
      <c r="X51" s="50"/>
      <c r="Y51" s="50"/>
      <c r="Z51" s="50"/>
      <c r="AA51" s="50"/>
      <c r="AB51" s="50"/>
    </row>
    <row r="52" customFormat="false" ht="15.75" hidden="false" customHeight="false" outlineLevel="0" collapsed="false">
      <c r="A52" s="71"/>
      <c r="B52" s="54"/>
      <c r="C52" s="55" t="s">
        <v>18</v>
      </c>
      <c r="D52" s="56"/>
      <c r="E52" s="72" t="n">
        <f aca="false">IFERROR(__xludf.dummyfunction("COUNTA(SPLIT(D52,"" ""))/COUNTA(SPLIT($B$47,"" ""))"),0.00242718446601942)</f>
        <v>0.002427184466</v>
      </c>
      <c r="F52" s="55"/>
      <c r="G52" s="55"/>
      <c r="H52" s="55"/>
      <c r="I52" s="55"/>
      <c r="J52" s="55"/>
      <c r="K52" s="58"/>
      <c r="L52" s="58"/>
      <c r="M52" s="58"/>
      <c r="N52" s="58"/>
      <c r="O52" s="58"/>
      <c r="P52" s="58"/>
      <c r="Q52" s="58"/>
      <c r="R52" s="58"/>
      <c r="S52" s="58"/>
      <c r="T52" s="58"/>
      <c r="U52" s="58"/>
      <c r="V52" s="58"/>
      <c r="W52" s="58"/>
      <c r="X52" s="58"/>
      <c r="Y52" s="58"/>
      <c r="Z52" s="58"/>
      <c r="AA52" s="58"/>
      <c r="AB52" s="58"/>
    </row>
    <row r="53" customFormat="false" ht="15.75" hidden="false" customHeight="false" outlineLevel="0" collapsed="false">
      <c r="A53" s="71"/>
      <c r="B53" s="71"/>
      <c r="C53" s="5" t="s">
        <v>19</v>
      </c>
      <c r="D53" s="48"/>
      <c r="E53" s="73" t="n">
        <f aca="false">IFERROR(__xludf.dummyfunction("COUNTA(SPLIT(D53,"" ""))/COUNTA(SPLIT($B$47,"" ""))"),0.00242718446601942)</f>
        <v>0.002427184466</v>
      </c>
      <c r="F53" s="5"/>
      <c r="G53" s="5"/>
      <c r="H53" s="5"/>
      <c r="I53" s="5"/>
      <c r="J53" s="5"/>
      <c r="K53" s="50"/>
      <c r="L53" s="50"/>
      <c r="M53" s="50"/>
      <c r="N53" s="50"/>
      <c r="O53" s="50"/>
      <c r="P53" s="50"/>
      <c r="Q53" s="50"/>
      <c r="R53" s="50"/>
      <c r="S53" s="50"/>
      <c r="T53" s="50"/>
      <c r="U53" s="50"/>
      <c r="V53" s="50"/>
      <c r="W53" s="50"/>
      <c r="X53" s="50"/>
      <c r="Y53" s="50"/>
      <c r="Z53" s="50"/>
      <c r="AA53" s="50"/>
      <c r="AB53" s="50"/>
    </row>
    <row r="54" customFormat="false" ht="15.75" hidden="false" customHeight="false" outlineLevel="0" collapsed="false">
      <c r="A54" s="71"/>
      <c r="B54" s="71"/>
      <c r="C54" s="5" t="s">
        <v>8</v>
      </c>
      <c r="D54" s="48"/>
      <c r="E54" s="74" t="n">
        <f aca="false">IFERROR(__xludf.dummyfunction("COUNTA(SPLIT(D54,"" ""))/COUNTA(SPLIT($B$47,"" ""))"),0.00242718446601942)</f>
        <v>0.002427184466</v>
      </c>
      <c r="F54" s="5"/>
      <c r="G54" s="5"/>
      <c r="H54" s="5"/>
      <c r="I54" s="5"/>
      <c r="J54" s="5"/>
      <c r="K54" s="50"/>
      <c r="L54" s="50"/>
      <c r="M54" s="50"/>
      <c r="N54" s="50"/>
      <c r="O54" s="50"/>
      <c r="P54" s="50"/>
      <c r="Q54" s="50"/>
      <c r="R54" s="50"/>
      <c r="S54" s="50"/>
      <c r="T54" s="50"/>
      <c r="U54" s="50"/>
      <c r="V54" s="50"/>
      <c r="W54" s="50"/>
      <c r="X54" s="50"/>
      <c r="Y54" s="50"/>
      <c r="Z54" s="50"/>
      <c r="AA54" s="50"/>
      <c r="AB54" s="50"/>
    </row>
    <row r="55" customFormat="false" ht="15.75" hidden="false" customHeight="false" outlineLevel="0" collapsed="false">
      <c r="A55" s="71"/>
      <c r="B55" s="71"/>
      <c r="C55" s="5" t="s">
        <v>20</v>
      </c>
      <c r="D55" s="48"/>
      <c r="E55" s="75" t="n">
        <f aca="false">IFERROR(__xludf.dummyfunction("COUNTA(SPLIT(D55,"" ""))/COUNTA(SPLIT($B$47,"" ""))"),0.00242718446601942)</f>
        <v>0.002427184466</v>
      </c>
      <c r="F55" s="5"/>
      <c r="G55" s="5"/>
      <c r="H55" s="5"/>
      <c r="I55" s="5"/>
      <c r="J55" s="5"/>
      <c r="K55" s="50"/>
      <c r="L55" s="50"/>
      <c r="M55" s="50"/>
      <c r="N55" s="50"/>
      <c r="O55" s="50"/>
      <c r="P55" s="50"/>
      <c r="Q55" s="50"/>
      <c r="R55" s="50"/>
      <c r="S55" s="50"/>
      <c r="T55" s="50"/>
      <c r="U55" s="50"/>
      <c r="V55" s="50"/>
      <c r="W55" s="50"/>
      <c r="X55" s="50"/>
      <c r="Y55" s="50"/>
      <c r="Z55" s="50"/>
      <c r="AA55" s="50"/>
      <c r="AB55" s="50"/>
    </row>
    <row r="56" customFormat="false" ht="15.75" hidden="false" customHeight="false" outlineLevel="0" collapsed="false">
      <c r="A56" s="50"/>
      <c r="B56" s="50"/>
      <c r="C56" s="5"/>
      <c r="D56" s="48"/>
      <c r="E56" s="50"/>
      <c r="F56" s="5"/>
      <c r="G56" s="5"/>
      <c r="H56" s="5"/>
      <c r="I56" s="5"/>
      <c r="J56" s="5"/>
      <c r="K56" s="50"/>
      <c r="L56" s="50"/>
      <c r="M56" s="50"/>
      <c r="N56" s="50"/>
      <c r="O56" s="50"/>
      <c r="P56" s="50"/>
      <c r="Q56" s="50"/>
      <c r="R56" s="50"/>
      <c r="S56" s="50"/>
      <c r="T56" s="50"/>
      <c r="U56" s="50"/>
      <c r="V56" s="50"/>
      <c r="W56" s="50"/>
      <c r="X56" s="50"/>
      <c r="Y56" s="50"/>
      <c r="Z56" s="50"/>
      <c r="AA56" s="50"/>
      <c r="AB56" s="50"/>
    </row>
    <row r="57" customFormat="false" ht="15.75" hidden="false" customHeight="false" outlineLevel="0" collapsed="false">
      <c r="A57" s="71"/>
      <c r="B57" s="54"/>
      <c r="C57" s="55" t="s">
        <v>18</v>
      </c>
      <c r="D57" s="56"/>
      <c r="E57" s="72" t="n">
        <f aca="false">IFERROR(__xludf.dummyfunction("COUNTA(SPLIT(D57,"" ""))/COUNTA(SPLIT($B$47,"" ""))"),0.00242718446601942)</f>
        <v>0.002427184466</v>
      </c>
      <c r="F57" s="55"/>
      <c r="G57" s="55"/>
      <c r="H57" s="55"/>
      <c r="I57" s="55"/>
      <c r="J57" s="55"/>
      <c r="K57" s="58"/>
      <c r="L57" s="58"/>
      <c r="M57" s="58"/>
      <c r="N57" s="58"/>
      <c r="O57" s="58"/>
      <c r="P57" s="58"/>
      <c r="Q57" s="58"/>
      <c r="R57" s="58"/>
      <c r="S57" s="58"/>
      <c r="T57" s="58"/>
      <c r="U57" s="58"/>
      <c r="V57" s="58"/>
      <c r="W57" s="58"/>
      <c r="X57" s="58"/>
      <c r="Y57" s="58"/>
      <c r="Z57" s="58"/>
      <c r="AA57" s="58"/>
      <c r="AB57" s="58"/>
    </row>
    <row r="58" customFormat="false" ht="15.75" hidden="false" customHeight="false" outlineLevel="0" collapsed="false">
      <c r="A58" s="71"/>
      <c r="B58" s="71"/>
      <c r="C58" s="5" t="s">
        <v>19</v>
      </c>
      <c r="D58" s="48"/>
      <c r="E58" s="73" t="n">
        <f aca="false">IFERROR(__xludf.dummyfunction("COUNTA(SPLIT(D58,"" ""))/COUNTA(SPLIT($B$47,"" ""))"),0.00242718446601942)</f>
        <v>0.002427184466</v>
      </c>
      <c r="F58" s="5"/>
      <c r="G58" s="5"/>
      <c r="H58" s="5"/>
      <c r="I58" s="5"/>
      <c r="J58" s="5"/>
      <c r="K58" s="50"/>
      <c r="L58" s="50"/>
      <c r="M58" s="50"/>
      <c r="N58" s="50"/>
      <c r="O58" s="50"/>
      <c r="P58" s="50"/>
      <c r="Q58" s="50"/>
      <c r="R58" s="50"/>
      <c r="S58" s="50"/>
      <c r="T58" s="50"/>
      <c r="U58" s="50"/>
      <c r="V58" s="50"/>
      <c r="W58" s="50"/>
      <c r="X58" s="50"/>
      <c r="Y58" s="50"/>
      <c r="Z58" s="50"/>
      <c r="AA58" s="50"/>
      <c r="AB58" s="50"/>
    </row>
    <row r="59" customFormat="false" ht="15.75" hidden="false" customHeight="false" outlineLevel="0" collapsed="false">
      <c r="A59" s="71"/>
      <c r="B59" s="71"/>
      <c r="C59" s="5" t="s">
        <v>8</v>
      </c>
      <c r="D59" s="48"/>
      <c r="E59" s="74" t="n">
        <f aca="false">IFERROR(__xludf.dummyfunction("COUNTA(SPLIT(D59,"" ""))/COUNTA(SPLIT($B$47,"" ""))"),0.00242718446601942)</f>
        <v>0.002427184466</v>
      </c>
      <c r="F59" s="5"/>
      <c r="G59" s="5"/>
      <c r="H59" s="5"/>
      <c r="I59" s="5"/>
      <c r="J59" s="5"/>
      <c r="K59" s="50"/>
      <c r="L59" s="50"/>
      <c r="M59" s="50"/>
      <c r="N59" s="50"/>
      <c r="O59" s="50"/>
      <c r="P59" s="50"/>
      <c r="Q59" s="50"/>
      <c r="R59" s="50"/>
      <c r="S59" s="50"/>
      <c r="T59" s="50"/>
      <c r="U59" s="50"/>
      <c r="V59" s="50"/>
      <c r="W59" s="50"/>
      <c r="X59" s="50"/>
      <c r="Y59" s="50"/>
      <c r="Z59" s="50"/>
      <c r="AA59" s="50"/>
      <c r="AB59" s="50"/>
    </row>
    <row r="60" customFormat="false" ht="15.75" hidden="false" customHeight="false" outlineLevel="0" collapsed="false">
      <c r="A60" s="71"/>
      <c r="B60" s="71"/>
      <c r="C60" s="5" t="s">
        <v>20</v>
      </c>
      <c r="D60" s="48"/>
      <c r="E60" s="75" t="n">
        <f aca="false">IFERROR(__xludf.dummyfunction("COUNTA(SPLIT(D60,"" ""))/COUNTA(SPLIT($B$47,"" ""))"),0.00242718446601942)</f>
        <v>0.002427184466</v>
      </c>
      <c r="F60" s="5"/>
      <c r="G60" s="5"/>
      <c r="H60" s="5"/>
      <c r="I60" s="5"/>
      <c r="J60" s="5"/>
      <c r="K60" s="50"/>
      <c r="L60" s="50"/>
      <c r="M60" s="50"/>
      <c r="N60" s="50"/>
      <c r="O60" s="50"/>
      <c r="P60" s="50"/>
      <c r="Q60" s="50"/>
      <c r="R60" s="50"/>
      <c r="S60" s="50"/>
      <c r="T60" s="50"/>
      <c r="U60" s="50"/>
      <c r="V60" s="50"/>
      <c r="W60" s="50"/>
      <c r="X60" s="50"/>
      <c r="Y60" s="50"/>
      <c r="Z60" s="50"/>
      <c r="AA60" s="50"/>
      <c r="AB60" s="50"/>
    </row>
    <row r="61" customFormat="false" ht="15.75" hidden="false" customHeight="false" outlineLevel="0" collapsed="false">
      <c r="A61" s="50"/>
      <c r="B61" s="50"/>
      <c r="C61" s="5"/>
      <c r="D61" s="48"/>
      <c r="E61" s="50"/>
      <c r="F61" s="5"/>
      <c r="G61" s="5"/>
      <c r="H61" s="5"/>
      <c r="I61" s="5"/>
      <c r="J61" s="5"/>
      <c r="K61" s="50"/>
      <c r="L61" s="50"/>
      <c r="M61" s="50"/>
      <c r="N61" s="50"/>
      <c r="O61" s="50"/>
      <c r="P61" s="50"/>
      <c r="Q61" s="50"/>
      <c r="R61" s="50"/>
      <c r="S61" s="50"/>
      <c r="T61" s="50"/>
      <c r="U61" s="50"/>
      <c r="V61" s="50"/>
      <c r="W61" s="50"/>
      <c r="X61" s="50"/>
      <c r="Y61" s="50"/>
      <c r="Z61" s="50"/>
      <c r="AA61" s="50"/>
      <c r="AB61" s="50"/>
    </row>
    <row r="62" customFormat="false" ht="15.75" hidden="false" customHeight="false" outlineLevel="0" collapsed="false">
      <c r="A62" s="71"/>
      <c r="B62" s="54"/>
      <c r="C62" s="55" t="s">
        <v>18</v>
      </c>
      <c r="D62" s="56"/>
      <c r="E62" s="72" t="n">
        <f aca="false">IFERROR(__xludf.dummyfunction("COUNTA(SPLIT(D62,"" ""))/COUNTA(SPLIT($B$47,"" ""))"),0.00242718446601942)</f>
        <v>0.002427184466</v>
      </c>
      <c r="F62" s="55"/>
      <c r="G62" s="55"/>
      <c r="H62" s="55"/>
      <c r="I62" s="55"/>
      <c r="J62" s="55"/>
      <c r="K62" s="58"/>
      <c r="L62" s="58"/>
      <c r="M62" s="58"/>
      <c r="N62" s="58"/>
      <c r="O62" s="58"/>
      <c r="P62" s="58"/>
      <c r="Q62" s="58"/>
      <c r="R62" s="58"/>
      <c r="S62" s="58"/>
      <c r="T62" s="58"/>
      <c r="U62" s="58"/>
      <c r="V62" s="58"/>
      <c r="W62" s="58"/>
      <c r="X62" s="58"/>
      <c r="Y62" s="58"/>
      <c r="Z62" s="58"/>
      <c r="AA62" s="58"/>
      <c r="AB62" s="58"/>
    </row>
    <row r="63" customFormat="false" ht="15.75" hidden="false" customHeight="false" outlineLevel="0" collapsed="false">
      <c r="A63" s="71"/>
      <c r="B63" s="71"/>
      <c r="C63" s="5" t="s">
        <v>19</v>
      </c>
      <c r="D63" s="48"/>
      <c r="E63" s="73" t="n">
        <f aca="false">IFERROR(__xludf.dummyfunction("COUNTA(SPLIT(D63,"" ""))/COUNTA(SPLIT($B$47,"" ""))"),0.00242718446601942)</f>
        <v>0.002427184466</v>
      </c>
      <c r="F63" s="5"/>
      <c r="G63" s="5"/>
      <c r="H63" s="5"/>
      <c r="I63" s="5"/>
      <c r="J63" s="5"/>
      <c r="K63" s="50"/>
      <c r="L63" s="50"/>
      <c r="M63" s="50"/>
      <c r="N63" s="50"/>
      <c r="O63" s="50"/>
      <c r="P63" s="50"/>
      <c r="Q63" s="50"/>
      <c r="R63" s="50"/>
      <c r="S63" s="50"/>
      <c r="T63" s="50"/>
      <c r="U63" s="50"/>
      <c r="V63" s="50"/>
      <c r="W63" s="50"/>
      <c r="X63" s="50"/>
      <c r="Y63" s="50"/>
      <c r="Z63" s="50"/>
      <c r="AA63" s="50"/>
      <c r="AB63" s="50"/>
    </row>
    <row r="64" customFormat="false" ht="15.75" hidden="false" customHeight="false" outlineLevel="0" collapsed="false">
      <c r="A64" s="71"/>
      <c r="B64" s="71"/>
      <c r="C64" s="5" t="s">
        <v>8</v>
      </c>
      <c r="D64" s="48"/>
      <c r="E64" s="74" t="n">
        <f aca="false">IFERROR(__xludf.dummyfunction("COUNTA(SPLIT(D64,"" ""))/COUNTA(SPLIT($B$47,"" ""))"),0.00242718446601942)</f>
        <v>0.002427184466</v>
      </c>
      <c r="F64" s="5"/>
      <c r="G64" s="5"/>
      <c r="H64" s="5"/>
      <c r="I64" s="5"/>
      <c r="J64" s="5"/>
      <c r="K64" s="50"/>
      <c r="L64" s="50"/>
      <c r="M64" s="50"/>
      <c r="N64" s="50"/>
      <c r="O64" s="50"/>
      <c r="P64" s="50"/>
      <c r="Q64" s="50"/>
      <c r="R64" s="50"/>
      <c r="S64" s="50"/>
      <c r="T64" s="50"/>
      <c r="U64" s="50"/>
      <c r="V64" s="50"/>
      <c r="W64" s="50"/>
      <c r="X64" s="50"/>
      <c r="Y64" s="50"/>
      <c r="Z64" s="50"/>
      <c r="AA64" s="50"/>
      <c r="AB64" s="50"/>
    </row>
    <row r="65" customFormat="false" ht="15.75" hidden="false" customHeight="false" outlineLevel="0" collapsed="false">
      <c r="A65" s="71"/>
      <c r="B65" s="71"/>
      <c r="C65" s="5" t="s">
        <v>20</v>
      </c>
      <c r="D65" s="48"/>
      <c r="E65" s="75" t="n">
        <f aca="false">IFERROR(__xludf.dummyfunction("COUNTA(SPLIT(D65,"" ""))/COUNTA(SPLIT($B$47,"" ""))"),0.00242718446601942)</f>
        <v>0.002427184466</v>
      </c>
      <c r="F65" s="5"/>
      <c r="G65" s="5"/>
      <c r="H65" s="5"/>
      <c r="I65" s="5"/>
      <c r="J65" s="5"/>
      <c r="K65" s="50"/>
      <c r="L65" s="50"/>
      <c r="M65" s="50"/>
      <c r="N65" s="50"/>
      <c r="O65" s="50"/>
      <c r="P65" s="50"/>
      <c r="Q65" s="50"/>
      <c r="R65" s="50"/>
      <c r="S65" s="50"/>
      <c r="T65" s="50"/>
      <c r="U65" s="50"/>
      <c r="V65" s="50"/>
      <c r="W65" s="50"/>
      <c r="X65" s="50"/>
      <c r="Y65" s="50"/>
      <c r="Z65" s="50"/>
      <c r="AA65" s="50"/>
      <c r="AB65" s="50"/>
    </row>
    <row r="66" customFormat="false" ht="15.75" hidden="false" customHeight="false" outlineLevel="0" collapsed="false">
      <c r="A66" s="50"/>
      <c r="B66" s="50"/>
      <c r="C66" s="5"/>
      <c r="D66" s="48"/>
      <c r="E66" s="50"/>
      <c r="F66" s="5"/>
      <c r="G66" s="5"/>
      <c r="H66" s="5"/>
      <c r="I66" s="5"/>
      <c r="J66" s="5"/>
      <c r="K66" s="50"/>
      <c r="L66" s="50"/>
      <c r="M66" s="50"/>
      <c r="N66" s="50"/>
      <c r="O66" s="50"/>
      <c r="P66" s="50"/>
      <c r="Q66" s="50"/>
      <c r="R66" s="50"/>
      <c r="S66" s="50"/>
      <c r="T66" s="50"/>
      <c r="U66" s="50"/>
      <c r="V66" s="50"/>
      <c r="W66" s="50"/>
      <c r="X66" s="50"/>
      <c r="Y66" s="50"/>
      <c r="Z66" s="50"/>
      <c r="AA66" s="50"/>
      <c r="AB66" s="50"/>
    </row>
    <row r="67" customFormat="false" ht="15.75" hidden="false" customHeight="false" outlineLevel="0" collapsed="false">
      <c r="A67" s="71"/>
      <c r="B67" s="54"/>
      <c r="C67" s="55" t="s">
        <v>18</v>
      </c>
      <c r="D67" s="56"/>
      <c r="E67" s="72" t="n">
        <f aca="false">IFERROR(__xludf.dummyfunction("COUNTA(SPLIT(D67,"" ""))/COUNTA(SPLIT($B$47,"" ""))"),0.00242718446601942)</f>
        <v>0.002427184466</v>
      </c>
      <c r="F67" s="55"/>
      <c r="G67" s="55"/>
      <c r="H67" s="55"/>
      <c r="I67" s="55"/>
      <c r="J67" s="55"/>
      <c r="K67" s="58"/>
      <c r="L67" s="58"/>
      <c r="M67" s="58"/>
      <c r="N67" s="58"/>
      <c r="O67" s="58"/>
      <c r="P67" s="58"/>
      <c r="Q67" s="58"/>
      <c r="R67" s="58"/>
      <c r="S67" s="58"/>
      <c r="T67" s="58"/>
      <c r="U67" s="58"/>
      <c r="V67" s="58"/>
      <c r="W67" s="58"/>
      <c r="X67" s="58"/>
      <c r="Y67" s="58"/>
      <c r="Z67" s="58"/>
      <c r="AA67" s="58"/>
      <c r="AB67" s="58"/>
    </row>
    <row r="68" customFormat="false" ht="15.75" hidden="false" customHeight="false" outlineLevel="0" collapsed="false">
      <c r="A68" s="71"/>
      <c r="B68" s="71"/>
      <c r="C68" s="5" t="s">
        <v>19</v>
      </c>
      <c r="D68" s="48"/>
      <c r="E68" s="73" t="n">
        <f aca="false">IFERROR(__xludf.dummyfunction("COUNTA(SPLIT(D68,"" ""))/COUNTA(SPLIT($B$47,"" ""))"),0.00242718446601942)</f>
        <v>0.002427184466</v>
      </c>
      <c r="F68" s="5"/>
      <c r="G68" s="5"/>
      <c r="H68" s="5"/>
      <c r="I68" s="5"/>
      <c r="J68" s="5"/>
      <c r="K68" s="50"/>
      <c r="L68" s="50"/>
      <c r="M68" s="50"/>
      <c r="N68" s="50"/>
      <c r="O68" s="50"/>
      <c r="P68" s="50"/>
      <c r="Q68" s="50"/>
      <c r="R68" s="50"/>
      <c r="S68" s="50"/>
      <c r="T68" s="50"/>
      <c r="U68" s="50"/>
      <c r="V68" s="50"/>
      <c r="W68" s="50"/>
      <c r="X68" s="50"/>
      <c r="Y68" s="50"/>
      <c r="Z68" s="50"/>
      <c r="AA68" s="50"/>
      <c r="AB68" s="50"/>
    </row>
    <row r="69" customFormat="false" ht="15.75" hidden="false" customHeight="false" outlineLevel="0" collapsed="false">
      <c r="A69" s="71"/>
      <c r="B69" s="71"/>
      <c r="C69" s="5" t="s">
        <v>8</v>
      </c>
      <c r="D69" s="48"/>
      <c r="E69" s="74" t="n">
        <f aca="false">IFERROR(__xludf.dummyfunction("COUNTA(SPLIT(D69,"" ""))/COUNTA(SPLIT($B$47,"" ""))"),0.00242718446601942)</f>
        <v>0.002427184466</v>
      </c>
      <c r="F69" s="5"/>
      <c r="G69" s="5"/>
      <c r="H69" s="5"/>
      <c r="I69" s="5"/>
      <c r="J69" s="5"/>
      <c r="K69" s="50"/>
      <c r="L69" s="50"/>
      <c r="M69" s="50"/>
      <c r="N69" s="50"/>
      <c r="O69" s="50"/>
      <c r="P69" s="50"/>
      <c r="Q69" s="50"/>
      <c r="R69" s="50"/>
      <c r="S69" s="50"/>
      <c r="T69" s="50"/>
      <c r="U69" s="50"/>
      <c r="V69" s="50"/>
      <c r="W69" s="50"/>
      <c r="X69" s="50"/>
      <c r="Y69" s="50"/>
      <c r="Z69" s="50"/>
      <c r="AA69" s="50"/>
      <c r="AB69" s="50"/>
    </row>
    <row r="70" customFormat="false" ht="15.75" hidden="false" customHeight="false" outlineLevel="0" collapsed="false">
      <c r="A70" s="71"/>
      <c r="B70" s="71"/>
      <c r="C70" s="5" t="s">
        <v>20</v>
      </c>
      <c r="D70" s="48"/>
      <c r="E70" s="75" t="n">
        <f aca="false">IFERROR(__xludf.dummyfunction("COUNTA(SPLIT(D70,"" ""))/COUNTA(SPLIT($B$47,"" ""))"),0.00242718446601942)</f>
        <v>0.002427184466</v>
      </c>
      <c r="F70" s="5"/>
      <c r="G70" s="5"/>
      <c r="H70" s="5"/>
      <c r="I70" s="5"/>
      <c r="J70" s="5"/>
      <c r="K70" s="50"/>
      <c r="L70" s="50"/>
      <c r="M70" s="50"/>
      <c r="N70" s="50"/>
      <c r="O70" s="50"/>
      <c r="P70" s="50"/>
      <c r="Q70" s="50"/>
      <c r="R70" s="50"/>
      <c r="S70" s="50"/>
      <c r="T70" s="50"/>
      <c r="U70" s="50"/>
      <c r="V70" s="50"/>
      <c r="W70" s="50"/>
      <c r="X70" s="50"/>
      <c r="Y70" s="50"/>
      <c r="Z70" s="50"/>
      <c r="AA70" s="50"/>
      <c r="AB70" s="50"/>
    </row>
    <row r="71" customFormat="false" ht="15.75" hidden="false" customHeight="false" outlineLevel="0" collapsed="false">
      <c r="A71" s="50"/>
      <c r="B71" s="50"/>
      <c r="C71" s="5"/>
      <c r="D71" s="48"/>
      <c r="E71" s="50"/>
      <c r="F71" s="5"/>
      <c r="G71" s="5"/>
      <c r="H71" s="5"/>
      <c r="I71" s="5"/>
      <c r="J71" s="5"/>
      <c r="K71" s="50"/>
      <c r="L71" s="50"/>
      <c r="M71" s="50"/>
      <c r="N71" s="50"/>
      <c r="O71" s="50"/>
      <c r="P71" s="50"/>
      <c r="Q71" s="50"/>
      <c r="R71" s="50"/>
      <c r="S71" s="50"/>
      <c r="T71" s="50"/>
      <c r="U71" s="50"/>
      <c r="V71" s="50"/>
      <c r="W71" s="50"/>
      <c r="X71" s="50"/>
      <c r="Y71" s="50"/>
      <c r="Z71" s="50"/>
      <c r="AA71" s="50"/>
      <c r="AB71" s="50"/>
    </row>
    <row r="72" customFormat="false" ht="15.75" hidden="false" customHeight="false" outlineLevel="0" collapsed="false">
      <c r="A72" s="71"/>
      <c r="B72" s="54"/>
      <c r="C72" s="55" t="s">
        <v>18</v>
      </c>
      <c r="D72" s="56"/>
      <c r="E72" s="72" t="n">
        <f aca="false">IFERROR(__xludf.dummyfunction("COUNTA(SPLIT(D72,"" ""))/COUNTA(SPLIT($B$47,"" ""))"),0.00242718446601942)</f>
        <v>0.002427184466</v>
      </c>
      <c r="F72" s="55"/>
      <c r="G72" s="55"/>
      <c r="H72" s="55"/>
      <c r="I72" s="55"/>
      <c r="J72" s="55"/>
      <c r="K72" s="58"/>
      <c r="L72" s="58"/>
      <c r="M72" s="58"/>
      <c r="N72" s="58"/>
      <c r="O72" s="58"/>
      <c r="P72" s="58"/>
      <c r="Q72" s="58"/>
      <c r="R72" s="58"/>
      <c r="S72" s="58"/>
      <c r="T72" s="58"/>
      <c r="U72" s="58"/>
      <c r="V72" s="58"/>
      <c r="W72" s="58"/>
      <c r="X72" s="58"/>
      <c r="Y72" s="58"/>
      <c r="Z72" s="58"/>
      <c r="AA72" s="58"/>
      <c r="AB72" s="58"/>
    </row>
    <row r="73" customFormat="false" ht="15.75" hidden="false" customHeight="false" outlineLevel="0" collapsed="false">
      <c r="A73" s="71"/>
      <c r="B73" s="71"/>
      <c r="C73" s="5" t="s">
        <v>19</v>
      </c>
      <c r="D73" s="48"/>
      <c r="E73" s="73" t="n">
        <f aca="false">IFERROR(__xludf.dummyfunction("COUNTA(SPLIT(D73,"" ""))/COUNTA(SPLIT($B$47,"" ""))"),0.00242718446601942)</f>
        <v>0.002427184466</v>
      </c>
      <c r="F73" s="5"/>
      <c r="G73" s="5"/>
      <c r="H73" s="5"/>
      <c r="I73" s="5"/>
      <c r="J73" s="5"/>
      <c r="K73" s="50"/>
      <c r="L73" s="50"/>
      <c r="M73" s="50"/>
      <c r="N73" s="50"/>
      <c r="O73" s="50"/>
      <c r="P73" s="50"/>
      <c r="Q73" s="50"/>
      <c r="R73" s="50"/>
      <c r="S73" s="50"/>
      <c r="T73" s="50"/>
      <c r="U73" s="50"/>
      <c r="V73" s="50"/>
      <c r="W73" s="50"/>
      <c r="X73" s="50"/>
      <c r="Y73" s="50"/>
      <c r="Z73" s="50"/>
      <c r="AA73" s="50"/>
      <c r="AB73" s="50"/>
    </row>
    <row r="74" customFormat="false" ht="15.75" hidden="false" customHeight="false" outlineLevel="0" collapsed="false">
      <c r="A74" s="71"/>
      <c r="B74" s="71"/>
      <c r="C74" s="5" t="s">
        <v>8</v>
      </c>
      <c r="D74" s="48"/>
      <c r="E74" s="74" t="n">
        <f aca="false">IFERROR(__xludf.dummyfunction("COUNTA(SPLIT(D74,"" ""))/COUNTA(SPLIT($B$47,"" ""))"),0.00242718446601942)</f>
        <v>0.002427184466</v>
      </c>
      <c r="F74" s="5"/>
      <c r="G74" s="5"/>
      <c r="H74" s="5"/>
      <c r="I74" s="5"/>
      <c r="J74" s="5"/>
      <c r="K74" s="50"/>
      <c r="L74" s="50"/>
      <c r="M74" s="50"/>
      <c r="N74" s="50"/>
      <c r="O74" s="50"/>
      <c r="P74" s="50"/>
      <c r="Q74" s="50"/>
      <c r="R74" s="50"/>
      <c r="S74" s="50"/>
      <c r="T74" s="50"/>
      <c r="U74" s="50"/>
      <c r="V74" s="50"/>
      <c r="W74" s="50"/>
      <c r="X74" s="50"/>
      <c r="Y74" s="50"/>
      <c r="Z74" s="50"/>
      <c r="AA74" s="50"/>
      <c r="AB74" s="50"/>
    </row>
    <row r="75" customFormat="false" ht="15.75" hidden="false" customHeight="false" outlineLevel="0" collapsed="false">
      <c r="A75" s="71"/>
      <c r="B75" s="71"/>
      <c r="C75" s="5" t="s">
        <v>20</v>
      </c>
      <c r="D75" s="48"/>
      <c r="E75" s="75" t="n">
        <f aca="false">IFERROR(__xludf.dummyfunction("COUNTA(SPLIT(D75,"" ""))/COUNTA(SPLIT($B$47,"" ""))"),0.00242718446601942)</f>
        <v>0.002427184466</v>
      </c>
      <c r="F75" s="5"/>
      <c r="G75" s="5"/>
      <c r="H75" s="5"/>
      <c r="I75" s="5"/>
      <c r="J75" s="5"/>
      <c r="K75" s="50"/>
      <c r="L75" s="50"/>
      <c r="M75" s="50"/>
      <c r="N75" s="50"/>
      <c r="O75" s="50"/>
      <c r="P75" s="50"/>
      <c r="Q75" s="50"/>
      <c r="R75" s="50"/>
      <c r="S75" s="50"/>
      <c r="T75" s="50"/>
      <c r="U75" s="50"/>
      <c r="V75" s="50"/>
      <c r="W75" s="50"/>
      <c r="X75" s="50"/>
      <c r="Y75" s="50"/>
      <c r="Z75" s="50"/>
      <c r="AA75" s="50"/>
      <c r="AB75" s="50"/>
    </row>
    <row r="76" customFormat="false" ht="15.75" hidden="false" customHeight="false" outlineLevel="0" collapsed="false">
      <c r="A76" s="50"/>
      <c r="B76" s="50"/>
      <c r="C76" s="5"/>
      <c r="D76" s="48"/>
      <c r="E76" s="50"/>
      <c r="F76" s="5"/>
      <c r="G76" s="5"/>
      <c r="H76" s="5"/>
      <c r="I76" s="5"/>
      <c r="J76" s="5"/>
      <c r="K76" s="50"/>
      <c r="L76" s="50"/>
      <c r="M76" s="50"/>
      <c r="N76" s="50"/>
      <c r="O76" s="50"/>
      <c r="P76" s="50"/>
      <c r="Q76" s="50"/>
      <c r="R76" s="50"/>
      <c r="S76" s="50"/>
      <c r="T76" s="50"/>
      <c r="U76" s="50"/>
      <c r="V76" s="50"/>
      <c r="W76" s="50"/>
      <c r="X76" s="50"/>
      <c r="Y76" s="50"/>
      <c r="Z76" s="50"/>
      <c r="AA76" s="50"/>
      <c r="AB76" s="50"/>
    </row>
    <row r="77" customFormat="false" ht="15.75" hidden="false" customHeight="false" outlineLevel="0" collapsed="false">
      <c r="A77" s="71"/>
      <c r="B77" s="54"/>
      <c r="C77" s="55" t="s">
        <v>18</v>
      </c>
      <c r="D77" s="56"/>
      <c r="E77" s="72" t="n">
        <f aca="false">IFERROR(__xludf.dummyfunction("COUNTA(SPLIT(D77,"" ""))/COUNTA(SPLIT($B$47,"" ""))"),0.00242718446601942)</f>
        <v>0.002427184466</v>
      </c>
      <c r="F77" s="55"/>
      <c r="G77" s="55"/>
      <c r="H77" s="55"/>
      <c r="I77" s="55"/>
      <c r="J77" s="55"/>
      <c r="K77" s="58"/>
      <c r="L77" s="58"/>
      <c r="M77" s="58"/>
      <c r="N77" s="58"/>
      <c r="O77" s="58"/>
      <c r="P77" s="58"/>
      <c r="Q77" s="58"/>
      <c r="R77" s="58"/>
      <c r="S77" s="58"/>
      <c r="T77" s="58"/>
      <c r="U77" s="58"/>
      <c r="V77" s="58"/>
      <c r="W77" s="58"/>
      <c r="X77" s="58"/>
      <c r="Y77" s="58"/>
      <c r="Z77" s="58"/>
      <c r="AA77" s="58"/>
      <c r="AB77" s="58"/>
    </row>
    <row r="78" customFormat="false" ht="15.75" hidden="false" customHeight="false" outlineLevel="0" collapsed="false">
      <c r="A78" s="71"/>
      <c r="B78" s="71"/>
      <c r="C78" s="5" t="s">
        <v>19</v>
      </c>
      <c r="D78" s="48"/>
      <c r="E78" s="73" t="n">
        <f aca="false">IFERROR(__xludf.dummyfunction("COUNTA(SPLIT(D78,"" ""))/COUNTA(SPLIT($B$47,"" ""))"),0.00242718446601942)</f>
        <v>0.002427184466</v>
      </c>
      <c r="F78" s="5"/>
      <c r="G78" s="5"/>
      <c r="H78" s="5"/>
      <c r="I78" s="5"/>
      <c r="J78" s="5"/>
      <c r="K78" s="50"/>
      <c r="L78" s="50"/>
      <c r="M78" s="50"/>
      <c r="N78" s="50"/>
      <c r="O78" s="50"/>
      <c r="P78" s="50"/>
      <c r="Q78" s="50"/>
      <c r="R78" s="50"/>
      <c r="S78" s="50"/>
      <c r="T78" s="50"/>
      <c r="U78" s="50"/>
      <c r="V78" s="50"/>
      <c r="W78" s="50"/>
      <c r="X78" s="50"/>
      <c r="Y78" s="50"/>
      <c r="Z78" s="50"/>
      <c r="AA78" s="50"/>
      <c r="AB78" s="50"/>
    </row>
    <row r="79" customFormat="false" ht="15.75" hidden="false" customHeight="false" outlineLevel="0" collapsed="false">
      <c r="A79" s="71"/>
      <c r="B79" s="71"/>
      <c r="C79" s="5" t="s">
        <v>8</v>
      </c>
      <c r="D79" s="48"/>
      <c r="E79" s="74" t="n">
        <f aca="false">IFERROR(__xludf.dummyfunction("COUNTA(SPLIT(D79,"" ""))/COUNTA(SPLIT($B$47,"" ""))"),0.00242718446601942)</f>
        <v>0.002427184466</v>
      </c>
      <c r="F79" s="5"/>
      <c r="G79" s="5"/>
      <c r="H79" s="5"/>
      <c r="I79" s="5"/>
      <c r="J79" s="5"/>
      <c r="K79" s="50"/>
      <c r="L79" s="50"/>
      <c r="M79" s="50"/>
      <c r="N79" s="50"/>
      <c r="O79" s="50"/>
      <c r="P79" s="50"/>
      <c r="Q79" s="50"/>
      <c r="R79" s="50"/>
      <c r="S79" s="50"/>
      <c r="T79" s="50"/>
      <c r="U79" s="50"/>
      <c r="V79" s="50"/>
      <c r="W79" s="50"/>
      <c r="X79" s="50"/>
      <c r="Y79" s="50"/>
      <c r="Z79" s="50"/>
      <c r="AA79" s="50"/>
      <c r="AB79" s="50"/>
    </row>
    <row r="80" customFormat="false" ht="15.75" hidden="false" customHeight="false" outlineLevel="0" collapsed="false">
      <c r="A80" s="71"/>
      <c r="B80" s="71"/>
      <c r="C80" s="5" t="s">
        <v>20</v>
      </c>
      <c r="D80" s="48"/>
      <c r="E80" s="75" t="n">
        <f aca="false">IFERROR(__xludf.dummyfunction("COUNTA(SPLIT(D80,"" ""))/COUNTA(SPLIT($B$47,"" ""))"),0.00242718446601942)</f>
        <v>0.002427184466</v>
      </c>
      <c r="F80" s="5"/>
      <c r="G80" s="5"/>
      <c r="H80" s="5"/>
      <c r="I80" s="5"/>
      <c r="J80" s="5"/>
      <c r="K80" s="50"/>
      <c r="L80" s="50"/>
      <c r="M80" s="50"/>
      <c r="N80" s="50"/>
      <c r="O80" s="50"/>
      <c r="P80" s="50"/>
      <c r="Q80" s="50"/>
      <c r="R80" s="50"/>
      <c r="S80" s="50"/>
      <c r="T80" s="50"/>
      <c r="U80" s="50"/>
      <c r="V80" s="50"/>
      <c r="W80" s="50"/>
      <c r="X80" s="50"/>
      <c r="Y80" s="50"/>
      <c r="Z80" s="50"/>
      <c r="AA80" s="50"/>
      <c r="AB80" s="50"/>
    </row>
    <row r="81" customFormat="false" ht="15.75" hidden="false" customHeight="false" outlineLevel="0" collapsed="false">
      <c r="A81" s="50"/>
      <c r="B81" s="50"/>
      <c r="C81" s="5"/>
      <c r="D81" s="48"/>
      <c r="E81" s="50"/>
      <c r="F81" s="5"/>
      <c r="G81" s="5"/>
      <c r="H81" s="5"/>
      <c r="I81" s="5"/>
      <c r="J81" s="5"/>
      <c r="K81" s="50"/>
      <c r="L81" s="50"/>
      <c r="M81" s="50"/>
      <c r="N81" s="50"/>
      <c r="O81" s="50"/>
      <c r="P81" s="50"/>
      <c r="Q81" s="50"/>
      <c r="R81" s="50"/>
      <c r="S81" s="50"/>
      <c r="T81" s="50"/>
      <c r="U81" s="50"/>
      <c r="V81" s="50"/>
      <c r="W81" s="50"/>
      <c r="X81" s="50"/>
      <c r="Y81" s="50"/>
      <c r="Z81" s="50"/>
      <c r="AA81" s="50"/>
      <c r="AB81" s="50"/>
    </row>
    <row r="82" customFormat="false" ht="15.75" hidden="false" customHeight="false" outlineLevel="0" collapsed="false">
      <c r="A82" s="71"/>
      <c r="B82" s="54"/>
      <c r="C82" s="55" t="s">
        <v>18</v>
      </c>
      <c r="D82" s="56"/>
      <c r="E82" s="72" t="n">
        <f aca="false">IFERROR(__xludf.dummyfunction("COUNTA(SPLIT(D82,"" ""))/COUNTA(SPLIT($B$47,"" ""))"),0.00242718446601942)</f>
        <v>0.002427184466</v>
      </c>
      <c r="F82" s="55"/>
      <c r="G82" s="55"/>
      <c r="H82" s="55"/>
      <c r="I82" s="55"/>
      <c r="J82" s="55"/>
      <c r="K82" s="58"/>
      <c r="L82" s="58"/>
      <c r="M82" s="58"/>
      <c r="N82" s="58"/>
      <c r="O82" s="58"/>
      <c r="P82" s="58"/>
      <c r="Q82" s="58"/>
      <c r="R82" s="58"/>
      <c r="S82" s="58"/>
      <c r="T82" s="58"/>
      <c r="U82" s="58"/>
      <c r="V82" s="58"/>
      <c r="W82" s="58"/>
      <c r="X82" s="58"/>
      <c r="Y82" s="58"/>
      <c r="Z82" s="58"/>
      <c r="AA82" s="58"/>
      <c r="AB82" s="58"/>
    </row>
    <row r="83" customFormat="false" ht="15.75" hidden="false" customHeight="false" outlineLevel="0" collapsed="false">
      <c r="A83" s="71"/>
      <c r="B83" s="71"/>
      <c r="C83" s="5" t="s">
        <v>19</v>
      </c>
      <c r="D83" s="48"/>
      <c r="E83" s="73" t="n">
        <f aca="false">IFERROR(__xludf.dummyfunction("COUNTA(SPLIT(D83,"" ""))/COUNTA(SPLIT($B$47,"" ""))"),0.00242718446601942)</f>
        <v>0.002427184466</v>
      </c>
      <c r="F83" s="5"/>
      <c r="G83" s="5"/>
      <c r="H83" s="5"/>
      <c r="I83" s="5"/>
      <c r="J83" s="5"/>
      <c r="K83" s="50"/>
      <c r="L83" s="50"/>
      <c r="M83" s="50"/>
      <c r="N83" s="50"/>
      <c r="O83" s="50"/>
      <c r="P83" s="50"/>
      <c r="Q83" s="50"/>
      <c r="R83" s="50"/>
      <c r="S83" s="50"/>
      <c r="T83" s="50"/>
      <c r="U83" s="50"/>
      <c r="V83" s="50"/>
      <c r="W83" s="50"/>
      <c r="X83" s="50"/>
      <c r="Y83" s="50"/>
      <c r="Z83" s="50"/>
      <c r="AA83" s="50"/>
      <c r="AB83" s="50"/>
    </row>
    <row r="84" customFormat="false" ht="15.75" hidden="false" customHeight="false" outlineLevel="0" collapsed="false">
      <c r="A84" s="71"/>
      <c r="B84" s="71"/>
      <c r="C84" s="5" t="s">
        <v>8</v>
      </c>
      <c r="D84" s="48"/>
      <c r="E84" s="74" t="n">
        <f aca="false">IFERROR(__xludf.dummyfunction("COUNTA(SPLIT(D84,"" ""))/COUNTA(SPLIT($B$47,"" ""))"),0.00242718446601942)</f>
        <v>0.002427184466</v>
      </c>
      <c r="F84" s="5"/>
      <c r="G84" s="5"/>
      <c r="H84" s="5"/>
      <c r="I84" s="5"/>
      <c r="J84" s="5"/>
      <c r="K84" s="50"/>
      <c r="L84" s="50"/>
      <c r="M84" s="50"/>
      <c r="N84" s="50"/>
      <c r="O84" s="50"/>
      <c r="P84" s="50"/>
      <c r="Q84" s="50"/>
      <c r="R84" s="50"/>
      <c r="S84" s="50"/>
      <c r="T84" s="50"/>
      <c r="U84" s="50"/>
      <c r="V84" s="50"/>
      <c r="W84" s="50"/>
      <c r="X84" s="50"/>
      <c r="Y84" s="50"/>
      <c r="Z84" s="50"/>
      <c r="AA84" s="50"/>
      <c r="AB84" s="50"/>
    </row>
    <row r="85" customFormat="false" ht="15.75" hidden="false" customHeight="false" outlineLevel="0" collapsed="false">
      <c r="A85" s="71"/>
      <c r="B85" s="71"/>
      <c r="C85" s="5" t="s">
        <v>20</v>
      </c>
      <c r="D85" s="48"/>
      <c r="E85" s="75" t="n">
        <f aca="false">IFERROR(__xludf.dummyfunction("COUNTA(SPLIT(D85,"" ""))/COUNTA(SPLIT($B$47,"" ""))"),0.00242718446601942)</f>
        <v>0.002427184466</v>
      </c>
      <c r="F85" s="5"/>
      <c r="G85" s="5"/>
      <c r="H85" s="5"/>
      <c r="I85" s="5"/>
      <c r="J85" s="5"/>
      <c r="K85" s="50"/>
      <c r="L85" s="50"/>
      <c r="M85" s="50"/>
      <c r="N85" s="50"/>
      <c r="O85" s="50"/>
      <c r="P85" s="50"/>
      <c r="Q85" s="50"/>
      <c r="R85" s="50"/>
      <c r="S85" s="50"/>
      <c r="T85" s="50"/>
      <c r="U85" s="50"/>
      <c r="V85" s="50"/>
      <c r="W85" s="50"/>
      <c r="X85" s="50"/>
      <c r="Y85" s="50"/>
      <c r="Z85" s="50"/>
      <c r="AA85" s="50"/>
      <c r="AB85" s="50"/>
    </row>
    <row r="86" customFormat="false" ht="15.75" hidden="false" customHeight="false" outlineLevel="0" collapsed="false">
      <c r="A86" s="50"/>
      <c r="B86" s="50"/>
      <c r="C86" s="5"/>
      <c r="D86" s="48"/>
      <c r="E86" s="50"/>
      <c r="F86" s="5"/>
      <c r="G86" s="5"/>
      <c r="H86" s="5"/>
      <c r="I86" s="5"/>
      <c r="J86" s="5"/>
      <c r="K86" s="50"/>
      <c r="L86" s="50"/>
      <c r="M86" s="50"/>
      <c r="N86" s="50"/>
      <c r="O86" s="50"/>
      <c r="P86" s="50"/>
      <c r="Q86" s="50"/>
      <c r="R86" s="50"/>
      <c r="S86" s="50"/>
      <c r="T86" s="50"/>
      <c r="U86" s="50"/>
      <c r="V86" s="50"/>
      <c r="W86" s="50"/>
      <c r="X86" s="50"/>
      <c r="Y86" s="50"/>
      <c r="Z86" s="50"/>
      <c r="AA86" s="50"/>
      <c r="AB86" s="50"/>
    </row>
    <row r="87" customFormat="false" ht="15.75" hidden="false" customHeight="false" outlineLevel="0" collapsed="false">
      <c r="A87" s="71"/>
      <c r="B87" s="54"/>
      <c r="C87" s="55" t="s">
        <v>18</v>
      </c>
      <c r="D87" s="56"/>
      <c r="E87" s="72" t="n">
        <f aca="false">IFERROR(__xludf.dummyfunction("COUNTA(SPLIT(D87,"" ""))/COUNTA(SPLIT($B$47,"" ""))"),0.00242718446601942)</f>
        <v>0.002427184466</v>
      </c>
      <c r="F87" s="55"/>
      <c r="G87" s="55"/>
      <c r="H87" s="55"/>
      <c r="I87" s="55"/>
      <c r="J87" s="55"/>
      <c r="K87" s="58"/>
      <c r="L87" s="58"/>
      <c r="M87" s="58"/>
      <c r="N87" s="58"/>
      <c r="O87" s="58"/>
      <c r="P87" s="58"/>
      <c r="Q87" s="58"/>
      <c r="R87" s="58"/>
      <c r="S87" s="58"/>
      <c r="T87" s="58"/>
      <c r="U87" s="58"/>
      <c r="V87" s="58"/>
      <c r="W87" s="58"/>
      <c r="X87" s="58"/>
      <c r="Y87" s="58"/>
      <c r="Z87" s="58"/>
      <c r="AA87" s="58"/>
      <c r="AB87" s="58"/>
    </row>
    <row r="88" customFormat="false" ht="15.75" hidden="false" customHeight="false" outlineLevel="0" collapsed="false">
      <c r="A88" s="71"/>
      <c r="B88" s="71"/>
      <c r="C88" s="5" t="s">
        <v>19</v>
      </c>
      <c r="D88" s="48"/>
      <c r="E88" s="73" t="n">
        <f aca="false">IFERROR(__xludf.dummyfunction("COUNTA(SPLIT(D88,"" ""))/COUNTA(SPLIT($B$47,"" ""))"),0.00242718446601942)</f>
        <v>0.002427184466</v>
      </c>
      <c r="F88" s="5"/>
      <c r="G88" s="5"/>
      <c r="H88" s="5"/>
      <c r="I88" s="5"/>
      <c r="J88" s="5"/>
      <c r="K88" s="50"/>
      <c r="L88" s="50"/>
      <c r="M88" s="50"/>
      <c r="N88" s="50"/>
      <c r="O88" s="50"/>
      <c r="P88" s="50"/>
      <c r="Q88" s="50"/>
      <c r="R88" s="50"/>
      <c r="S88" s="50"/>
      <c r="T88" s="50"/>
      <c r="U88" s="50"/>
      <c r="V88" s="50"/>
      <c r="W88" s="50"/>
      <c r="X88" s="50"/>
      <c r="Y88" s="50"/>
      <c r="Z88" s="50"/>
      <c r="AA88" s="50"/>
      <c r="AB88" s="50"/>
    </row>
    <row r="89" customFormat="false" ht="15.75" hidden="false" customHeight="false" outlineLevel="0" collapsed="false">
      <c r="A89" s="71"/>
      <c r="B89" s="71"/>
      <c r="C89" s="5" t="s">
        <v>8</v>
      </c>
      <c r="D89" s="48"/>
      <c r="E89" s="74" t="n">
        <f aca="false">IFERROR(__xludf.dummyfunction("COUNTA(SPLIT(D89,"" ""))/COUNTA(SPLIT($B$47,"" ""))"),0.00242718446601942)</f>
        <v>0.002427184466</v>
      </c>
      <c r="F89" s="5"/>
      <c r="G89" s="5"/>
      <c r="H89" s="5"/>
      <c r="I89" s="5"/>
      <c r="J89" s="5"/>
      <c r="K89" s="50"/>
      <c r="L89" s="50"/>
      <c r="M89" s="50"/>
      <c r="N89" s="50"/>
      <c r="O89" s="50"/>
      <c r="P89" s="50"/>
      <c r="Q89" s="50"/>
      <c r="R89" s="50"/>
      <c r="S89" s="50"/>
      <c r="T89" s="50"/>
      <c r="U89" s="50"/>
      <c r="V89" s="50"/>
      <c r="W89" s="50"/>
      <c r="X89" s="50"/>
      <c r="Y89" s="50"/>
      <c r="Z89" s="50"/>
      <c r="AA89" s="50"/>
      <c r="AB89" s="50"/>
    </row>
    <row r="90" customFormat="false" ht="15.75" hidden="false" customHeight="false" outlineLevel="0" collapsed="false">
      <c r="A90" s="71"/>
      <c r="B90" s="71"/>
      <c r="C90" s="5" t="s">
        <v>20</v>
      </c>
      <c r="D90" s="48"/>
      <c r="E90" s="75" t="n">
        <f aca="false">IFERROR(__xludf.dummyfunction("COUNTA(SPLIT(D90,"" ""))/COUNTA(SPLIT($B$47,"" ""))"),0.00242718446601942)</f>
        <v>0.002427184466</v>
      </c>
      <c r="F90" s="5"/>
      <c r="G90" s="5"/>
      <c r="H90" s="5"/>
      <c r="I90" s="5"/>
      <c r="J90" s="5"/>
      <c r="K90" s="50"/>
      <c r="L90" s="50"/>
      <c r="M90" s="50"/>
      <c r="N90" s="50"/>
      <c r="O90" s="50"/>
      <c r="P90" s="50"/>
      <c r="Q90" s="50"/>
      <c r="R90" s="50"/>
      <c r="S90" s="50"/>
      <c r="T90" s="50"/>
      <c r="U90" s="50"/>
      <c r="V90" s="50"/>
      <c r="W90" s="50"/>
      <c r="X90" s="50"/>
      <c r="Y90" s="50"/>
      <c r="Z90" s="50"/>
      <c r="AA90" s="50"/>
      <c r="AB90" s="50"/>
    </row>
    <row r="91" customFormat="false" ht="15.75" hidden="false" customHeight="false" outlineLevel="0" collapsed="false">
      <c r="A91" s="50"/>
      <c r="B91" s="50"/>
      <c r="C91" s="5"/>
      <c r="D91" s="48"/>
      <c r="E91" s="50"/>
      <c r="F91" s="5"/>
      <c r="G91" s="5"/>
      <c r="H91" s="5"/>
      <c r="I91" s="5"/>
      <c r="J91" s="5"/>
      <c r="K91" s="50"/>
      <c r="L91" s="50"/>
      <c r="M91" s="50"/>
      <c r="N91" s="50"/>
      <c r="O91" s="50"/>
      <c r="P91" s="50"/>
      <c r="Q91" s="50"/>
      <c r="R91" s="50"/>
      <c r="S91" s="50"/>
      <c r="T91" s="50"/>
      <c r="U91" s="50"/>
      <c r="V91" s="50"/>
      <c r="W91" s="50"/>
      <c r="X91" s="50"/>
      <c r="Y91" s="50"/>
      <c r="Z91" s="50"/>
      <c r="AA91" s="50"/>
      <c r="AB91" s="50"/>
    </row>
    <row r="92" customFormat="false" ht="15.75" hidden="false" customHeight="false" outlineLevel="0" collapsed="false">
      <c r="A92" s="71"/>
      <c r="B92" s="54"/>
      <c r="C92" s="55" t="s">
        <v>18</v>
      </c>
      <c r="D92" s="56"/>
      <c r="E92" s="72" t="n">
        <f aca="false">IFERROR(__xludf.dummyfunction("COUNTA(SPLIT(D92,"" ""))/COUNTA(SPLIT($B$47,"" ""))"),0.00242718446601942)</f>
        <v>0.002427184466</v>
      </c>
      <c r="F92" s="55"/>
      <c r="G92" s="55"/>
      <c r="H92" s="55"/>
      <c r="I92" s="55"/>
      <c r="J92" s="55"/>
      <c r="K92" s="58"/>
      <c r="L92" s="58"/>
      <c r="M92" s="58"/>
      <c r="N92" s="58"/>
      <c r="O92" s="58"/>
      <c r="P92" s="58"/>
      <c r="Q92" s="58"/>
      <c r="R92" s="58"/>
      <c r="S92" s="58"/>
      <c r="T92" s="58"/>
      <c r="U92" s="58"/>
      <c r="V92" s="58"/>
      <c r="W92" s="58"/>
      <c r="X92" s="58"/>
      <c r="Y92" s="58"/>
      <c r="Z92" s="58"/>
      <c r="AA92" s="58"/>
      <c r="AB92" s="58"/>
    </row>
    <row r="93" customFormat="false" ht="15.75" hidden="false" customHeight="false" outlineLevel="0" collapsed="false">
      <c r="A93" s="71"/>
      <c r="B93" s="71"/>
      <c r="C93" s="5" t="s">
        <v>19</v>
      </c>
      <c r="D93" s="48"/>
      <c r="E93" s="73" t="n">
        <f aca="false">IFERROR(__xludf.dummyfunction("COUNTA(SPLIT(D93,"" ""))/COUNTA(SPLIT($B$47,"" ""))"),0.00242718446601942)</f>
        <v>0.002427184466</v>
      </c>
      <c r="F93" s="5"/>
      <c r="G93" s="5"/>
      <c r="H93" s="5"/>
      <c r="I93" s="5"/>
      <c r="J93" s="5"/>
      <c r="K93" s="50"/>
      <c r="L93" s="50"/>
      <c r="M93" s="50"/>
      <c r="N93" s="50"/>
      <c r="O93" s="50"/>
      <c r="P93" s="50"/>
      <c r="Q93" s="50"/>
      <c r="R93" s="50"/>
      <c r="S93" s="50"/>
      <c r="T93" s="50"/>
      <c r="U93" s="50"/>
      <c r="V93" s="50"/>
      <c r="W93" s="50"/>
      <c r="X93" s="50"/>
      <c r="Y93" s="50"/>
      <c r="Z93" s="50"/>
      <c r="AA93" s="50"/>
      <c r="AB93" s="50"/>
    </row>
    <row r="94" customFormat="false" ht="15.75" hidden="false" customHeight="false" outlineLevel="0" collapsed="false">
      <c r="A94" s="71"/>
      <c r="B94" s="71"/>
      <c r="C94" s="5" t="s">
        <v>8</v>
      </c>
      <c r="D94" s="48"/>
      <c r="E94" s="74" t="n">
        <f aca="false">IFERROR(__xludf.dummyfunction("COUNTA(SPLIT(D94,"" ""))/COUNTA(SPLIT($B$47,"" ""))"),0.00242718446601942)</f>
        <v>0.002427184466</v>
      </c>
      <c r="F94" s="5"/>
      <c r="G94" s="5"/>
      <c r="H94" s="5"/>
      <c r="I94" s="5"/>
      <c r="J94" s="5"/>
      <c r="K94" s="50"/>
      <c r="L94" s="50"/>
      <c r="M94" s="50"/>
      <c r="N94" s="50"/>
      <c r="O94" s="50"/>
      <c r="P94" s="50"/>
      <c r="Q94" s="50"/>
      <c r="R94" s="50"/>
      <c r="S94" s="50"/>
      <c r="T94" s="50"/>
      <c r="U94" s="50"/>
      <c r="V94" s="50"/>
      <c r="W94" s="50"/>
      <c r="X94" s="50"/>
      <c r="Y94" s="50"/>
      <c r="Z94" s="50"/>
      <c r="AA94" s="50"/>
      <c r="AB94" s="50"/>
    </row>
    <row r="95" customFormat="false" ht="15.75" hidden="false" customHeight="false" outlineLevel="0" collapsed="false">
      <c r="A95" s="71"/>
      <c r="B95" s="71"/>
      <c r="C95" s="5" t="s">
        <v>20</v>
      </c>
      <c r="D95" s="48"/>
      <c r="E95" s="75" t="n">
        <f aca="false">IFERROR(__xludf.dummyfunction("COUNTA(SPLIT(D95,"" ""))/COUNTA(SPLIT($B$47,"" ""))"),0.00242718446601942)</f>
        <v>0.002427184466</v>
      </c>
      <c r="F95" s="5"/>
      <c r="G95" s="5"/>
      <c r="H95" s="5"/>
      <c r="I95" s="5"/>
      <c r="J95" s="5"/>
      <c r="K95" s="50"/>
      <c r="L95" s="50"/>
      <c r="M95" s="50"/>
      <c r="N95" s="50"/>
      <c r="O95" s="50"/>
      <c r="P95" s="50"/>
      <c r="Q95" s="50"/>
      <c r="R95" s="50"/>
      <c r="S95" s="50"/>
      <c r="T95" s="50"/>
      <c r="U95" s="50"/>
      <c r="V95" s="50"/>
      <c r="W95" s="50"/>
      <c r="X95" s="50"/>
      <c r="Y95" s="50"/>
      <c r="Z95" s="50"/>
      <c r="AA95" s="50"/>
      <c r="AB95" s="50"/>
    </row>
    <row r="96" customFormat="false" ht="15.75" hidden="false" customHeight="false" outlineLevel="0" collapsed="false">
      <c r="A96" s="50"/>
      <c r="B96" s="50"/>
      <c r="C96" s="5"/>
      <c r="D96" s="48"/>
      <c r="E96" s="50"/>
      <c r="F96" s="5"/>
      <c r="G96" s="5"/>
      <c r="H96" s="5"/>
      <c r="I96" s="5"/>
      <c r="J96" s="5"/>
      <c r="K96" s="50"/>
      <c r="L96" s="50"/>
      <c r="M96" s="50"/>
      <c r="N96" s="50"/>
      <c r="O96" s="50"/>
      <c r="P96" s="50"/>
      <c r="Q96" s="50"/>
      <c r="R96" s="50"/>
      <c r="S96" s="50"/>
      <c r="T96" s="50"/>
      <c r="U96" s="50"/>
      <c r="V96" s="50"/>
      <c r="W96" s="50"/>
      <c r="X96" s="50"/>
      <c r="Y96" s="50"/>
      <c r="Z96" s="50"/>
      <c r="AA96" s="50"/>
      <c r="AB96" s="50"/>
    </row>
    <row r="97" customFormat="false" ht="15.75" hidden="false" customHeight="false" outlineLevel="0" collapsed="false">
      <c r="A97" s="71"/>
      <c r="B97" s="54"/>
      <c r="C97" s="55" t="s">
        <v>18</v>
      </c>
      <c r="D97" s="56"/>
      <c r="E97" s="72" t="n">
        <f aca="false">IFERROR(__xludf.dummyfunction("COUNTA(SPLIT(D97,"" ""))/COUNTA(SPLIT($B$47,"" ""))"),0.00242718446601942)</f>
        <v>0.002427184466</v>
      </c>
      <c r="F97" s="55"/>
      <c r="G97" s="55"/>
      <c r="H97" s="55"/>
      <c r="I97" s="55"/>
      <c r="J97" s="55"/>
      <c r="K97" s="58"/>
      <c r="L97" s="58"/>
      <c r="M97" s="58"/>
      <c r="N97" s="58"/>
      <c r="O97" s="58"/>
      <c r="P97" s="58"/>
      <c r="Q97" s="58"/>
      <c r="R97" s="58"/>
      <c r="S97" s="58"/>
      <c r="T97" s="58"/>
      <c r="U97" s="58"/>
      <c r="V97" s="58"/>
      <c r="W97" s="58"/>
      <c r="X97" s="58"/>
      <c r="Y97" s="58"/>
      <c r="Z97" s="58"/>
      <c r="AA97" s="58"/>
      <c r="AB97" s="58"/>
    </row>
    <row r="98" customFormat="false" ht="15.75" hidden="false" customHeight="false" outlineLevel="0" collapsed="false">
      <c r="A98" s="71"/>
      <c r="B98" s="71"/>
      <c r="C98" s="5" t="s">
        <v>19</v>
      </c>
      <c r="D98" s="48"/>
      <c r="E98" s="73" t="n">
        <f aca="false">IFERROR(__xludf.dummyfunction("COUNTA(SPLIT(D98,"" ""))/COUNTA(SPLIT($B$47,"" ""))"),0.00242718446601942)</f>
        <v>0.002427184466</v>
      </c>
      <c r="F98" s="5"/>
      <c r="G98" s="5"/>
      <c r="H98" s="5"/>
      <c r="I98" s="5"/>
      <c r="J98" s="5"/>
      <c r="K98" s="50"/>
      <c r="L98" s="50"/>
      <c r="M98" s="50"/>
      <c r="N98" s="50"/>
      <c r="O98" s="50"/>
      <c r="P98" s="50"/>
      <c r="Q98" s="50"/>
      <c r="R98" s="50"/>
      <c r="S98" s="50"/>
      <c r="T98" s="50"/>
      <c r="U98" s="50"/>
      <c r="V98" s="50"/>
      <c r="W98" s="50"/>
      <c r="X98" s="50"/>
      <c r="Y98" s="50"/>
      <c r="Z98" s="50"/>
      <c r="AA98" s="50"/>
      <c r="AB98" s="50"/>
    </row>
    <row r="99" customFormat="false" ht="15.75" hidden="false" customHeight="false" outlineLevel="0" collapsed="false">
      <c r="A99" s="71"/>
      <c r="B99" s="71"/>
      <c r="C99" s="5" t="s">
        <v>8</v>
      </c>
      <c r="D99" s="48"/>
      <c r="E99" s="74" t="n">
        <f aca="false">IFERROR(__xludf.dummyfunction("COUNTA(SPLIT(D99,"" ""))/COUNTA(SPLIT($B$47,"" ""))"),0.00242718446601942)</f>
        <v>0.002427184466</v>
      </c>
      <c r="F99" s="5"/>
      <c r="G99" s="5"/>
      <c r="H99" s="5"/>
      <c r="I99" s="5"/>
      <c r="J99" s="5"/>
      <c r="K99" s="50"/>
      <c r="L99" s="50"/>
      <c r="M99" s="50"/>
      <c r="N99" s="50"/>
      <c r="O99" s="50"/>
      <c r="P99" s="50"/>
      <c r="Q99" s="50"/>
      <c r="R99" s="50"/>
      <c r="S99" s="50"/>
      <c r="T99" s="50"/>
      <c r="U99" s="50"/>
      <c r="V99" s="50"/>
      <c r="W99" s="50"/>
      <c r="X99" s="50"/>
      <c r="Y99" s="50"/>
      <c r="Z99" s="50"/>
      <c r="AA99" s="50"/>
      <c r="AB99" s="50"/>
    </row>
    <row r="100" customFormat="false" ht="15.75" hidden="false" customHeight="false" outlineLevel="0" collapsed="false">
      <c r="A100" s="71"/>
      <c r="B100" s="71"/>
      <c r="C100" s="5" t="s">
        <v>20</v>
      </c>
      <c r="D100" s="48"/>
      <c r="E100" s="75" t="n">
        <f aca="false">IFERROR(__xludf.dummyfunction("COUNTA(SPLIT(D100,"" ""))/COUNTA(SPLIT($B$47,"" ""))"),0.00242718446601942)</f>
        <v>0.002427184466</v>
      </c>
      <c r="F100" s="5"/>
      <c r="G100" s="5"/>
      <c r="H100" s="5"/>
      <c r="I100" s="5"/>
      <c r="J100" s="5"/>
      <c r="K100" s="50"/>
      <c r="L100" s="50"/>
      <c r="M100" s="50"/>
      <c r="N100" s="50"/>
      <c r="O100" s="50"/>
      <c r="P100" s="50"/>
      <c r="Q100" s="50"/>
      <c r="R100" s="50"/>
      <c r="S100" s="50"/>
      <c r="T100" s="50"/>
      <c r="U100" s="50"/>
      <c r="V100" s="50"/>
      <c r="W100" s="50"/>
      <c r="X100" s="50"/>
      <c r="Y100" s="50"/>
      <c r="Z100" s="50"/>
      <c r="AA100" s="50"/>
      <c r="AB100" s="50"/>
    </row>
    <row r="101" customFormat="false" ht="15.75" hidden="false" customHeight="false" outlineLevel="0" collapsed="false">
      <c r="A101" s="50"/>
      <c r="B101" s="50"/>
      <c r="C101" s="5"/>
      <c r="D101" s="48"/>
      <c r="E101" s="50"/>
      <c r="F101" s="5"/>
      <c r="G101" s="5"/>
      <c r="H101" s="5"/>
      <c r="I101" s="5"/>
      <c r="J101" s="5"/>
      <c r="K101" s="50"/>
      <c r="L101" s="50"/>
      <c r="M101" s="50"/>
      <c r="N101" s="50"/>
      <c r="O101" s="50"/>
      <c r="P101" s="50"/>
      <c r="Q101" s="50"/>
      <c r="R101" s="50"/>
      <c r="S101" s="50"/>
      <c r="T101" s="50"/>
      <c r="U101" s="50"/>
      <c r="V101" s="50"/>
      <c r="W101" s="50"/>
      <c r="X101" s="50"/>
      <c r="Y101" s="50"/>
      <c r="Z101" s="50"/>
      <c r="AA101" s="50"/>
      <c r="AB101" s="50"/>
    </row>
    <row r="102" customFormat="false" ht="15.75" hidden="false" customHeight="false" outlineLevel="0" collapsed="false">
      <c r="A102" s="71"/>
      <c r="B102" s="54"/>
      <c r="C102" s="55" t="s">
        <v>18</v>
      </c>
      <c r="D102" s="56"/>
      <c r="E102" s="72" t="n">
        <f aca="false">IFERROR(__xludf.dummyfunction("COUNTA(SPLIT(D102,"" ""))/COUNTA(SPLIT($B$47,"" ""))"),0.00242718446601942)</f>
        <v>0.002427184466</v>
      </c>
      <c r="F102" s="55"/>
      <c r="G102" s="55"/>
      <c r="H102" s="55"/>
      <c r="I102" s="55"/>
      <c r="J102" s="55"/>
      <c r="K102" s="58"/>
      <c r="L102" s="58"/>
      <c r="M102" s="58"/>
      <c r="N102" s="58"/>
      <c r="O102" s="58"/>
      <c r="P102" s="58"/>
      <c r="Q102" s="58"/>
      <c r="R102" s="58"/>
      <c r="S102" s="58"/>
      <c r="T102" s="58"/>
      <c r="U102" s="58"/>
      <c r="V102" s="58"/>
      <c r="W102" s="58"/>
      <c r="X102" s="58"/>
      <c r="Y102" s="58"/>
      <c r="Z102" s="58"/>
      <c r="AA102" s="58"/>
      <c r="AB102" s="58"/>
    </row>
    <row r="103" customFormat="false" ht="15.75" hidden="false" customHeight="false" outlineLevel="0" collapsed="false">
      <c r="A103" s="71"/>
      <c r="B103" s="71"/>
      <c r="C103" s="5" t="s">
        <v>19</v>
      </c>
      <c r="D103" s="48"/>
      <c r="E103" s="73" t="n">
        <f aca="false">IFERROR(__xludf.dummyfunction("COUNTA(SPLIT(D103,"" ""))/COUNTA(SPLIT($B$47,"" ""))"),0.00242718446601942)</f>
        <v>0.002427184466</v>
      </c>
      <c r="F103" s="5"/>
      <c r="G103" s="5"/>
      <c r="H103" s="5"/>
      <c r="I103" s="5"/>
      <c r="J103" s="5"/>
      <c r="K103" s="50"/>
      <c r="L103" s="50"/>
      <c r="M103" s="50"/>
      <c r="N103" s="50"/>
      <c r="O103" s="50"/>
      <c r="P103" s="50"/>
      <c r="Q103" s="50"/>
      <c r="R103" s="50"/>
      <c r="S103" s="50"/>
      <c r="T103" s="50"/>
      <c r="U103" s="50"/>
      <c r="V103" s="50"/>
      <c r="W103" s="50"/>
      <c r="X103" s="50"/>
      <c r="Y103" s="50"/>
      <c r="Z103" s="50"/>
      <c r="AA103" s="50"/>
      <c r="AB103" s="50"/>
    </row>
    <row r="104" customFormat="false" ht="15.75" hidden="false" customHeight="false" outlineLevel="0" collapsed="false">
      <c r="A104" s="71"/>
      <c r="B104" s="71"/>
      <c r="C104" s="5" t="s">
        <v>8</v>
      </c>
      <c r="D104" s="48"/>
      <c r="E104" s="74" t="n">
        <f aca="false">IFERROR(__xludf.dummyfunction("COUNTA(SPLIT(D104,"" ""))/COUNTA(SPLIT($B$47,"" ""))"),0.00242718446601942)</f>
        <v>0.002427184466</v>
      </c>
      <c r="F104" s="5"/>
      <c r="G104" s="5"/>
      <c r="H104" s="5"/>
      <c r="I104" s="5"/>
      <c r="J104" s="5"/>
      <c r="K104" s="50"/>
      <c r="L104" s="50"/>
      <c r="M104" s="50"/>
      <c r="N104" s="50"/>
      <c r="O104" s="50"/>
      <c r="P104" s="50"/>
      <c r="Q104" s="50"/>
      <c r="R104" s="50"/>
      <c r="S104" s="50"/>
      <c r="T104" s="50"/>
      <c r="U104" s="50"/>
      <c r="V104" s="50"/>
      <c r="W104" s="50"/>
      <c r="X104" s="50"/>
      <c r="Y104" s="50"/>
      <c r="Z104" s="50"/>
      <c r="AA104" s="50"/>
      <c r="AB104" s="50"/>
    </row>
    <row r="105" customFormat="false" ht="15.75" hidden="false" customHeight="false" outlineLevel="0" collapsed="false">
      <c r="A105" s="71"/>
      <c r="B105" s="71"/>
      <c r="C105" s="5" t="s">
        <v>20</v>
      </c>
      <c r="D105" s="48"/>
      <c r="E105" s="75" t="n">
        <f aca="false">IFERROR(__xludf.dummyfunction("COUNTA(SPLIT(D105,"" ""))/COUNTA(SPLIT($B$47,"" ""))"),0.00242718446601942)</f>
        <v>0.002427184466</v>
      </c>
      <c r="F105" s="5"/>
      <c r="G105" s="5"/>
      <c r="H105" s="5"/>
      <c r="I105" s="5"/>
      <c r="J105" s="5"/>
      <c r="K105" s="50"/>
      <c r="L105" s="50"/>
      <c r="M105" s="50"/>
      <c r="N105" s="50"/>
      <c r="O105" s="50"/>
      <c r="P105" s="50"/>
      <c r="Q105" s="50"/>
      <c r="R105" s="50"/>
      <c r="S105" s="50"/>
      <c r="T105" s="50"/>
      <c r="U105" s="50"/>
      <c r="V105" s="50"/>
      <c r="W105" s="50"/>
      <c r="X105" s="50"/>
      <c r="Y105" s="50"/>
      <c r="Z105" s="50"/>
      <c r="AA105" s="50"/>
      <c r="AB105" s="50"/>
    </row>
    <row r="106" customFormat="false" ht="15.75" hidden="false" customHeight="false" outlineLevel="0" collapsed="false">
      <c r="A106" s="50"/>
      <c r="B106" s="50"/>
      <c r="C106" s="5"/>
      <c r="D106" s="48"/>
      <c r="E106" s="50"/>
      <c r="F106" s="5"/>
      <c r="G106" s="5"/>
      <c r="H106" s="5"/>
      <c r="I106" s="5"/>
      <c r="J106" s="5"/>
      <c r="K106" s="50"/>
      <c r="L106" s="50"/>
      <c r="M106" s="50"/>
      <c r="N106" s="50"/>
      <c r="O106" s="50"/>
      <c r="P106" s="50"/>
      <c r="Q106" s="50"/>
      <c r="R106" s="50"/>
      <c r="S106" s="50"/>
      <c r="T106" s="50"/>
      <c r="U106" s="50"/>
      <c r="V106" s="50"/>
      <c r="W106" s="50"/>
      <c r="X106" s="50"/>
      <c r="Y106" s="50"/>
      <c r="Z106" s="50"/>
      <c r="AA106" s="50"/>
      <c r="AB106" s="50"/>
    </row>
    <row r="107" customFormat="false" ht="15.75" hidden="false" customHeight="false" outlineLevel="0" collapsed="false">
      <c r="A107" s="71"/>
      <c r="B107" s="54"/>
      <c r="C107" s="55" t="s">
        <v>18</v>
      </c>
      <c r="D107" s="56"/>
      <c r="E107" s="72" t="n">
        <f aca="false">IFERROR(__xludf.dummyfunction("COUNTA(SPLIT(D107,"" ""))/COUNTA(SPLIT($B$47,"" ""))"),0.00242718446601942)</f>
        <v>0.002427184466</v>
      </c>
      <c r="F107" s="55"/>
      <c r="G107" s="55"/>
      <c r="H107" s="55"/>
      <c r="I107" s="55"/>
      <c r="J107" s="55"/>
      <c r="K107" s="58"/>
      <c r="L107" s="58"/>
      <c r="M107" s="58"/>
      <c r="N107" s="58"/>
      <c r="O107" s="58"/>
      <c r="P107" s="58"/>
      <c r="Q107" s="58"/>
      <c r="R107" s="58"/>
      <c r="S107" s="58"/>
      <c r="T107" s="58"/>
      <c r="U107" s="58"/>
      <c r="V107" s="58"/>
      <c r="W107" s="58"/>
      <c r="X107" s="58"/>
      <c r="Y107" s="58"/>
      <c r="Z107" s="58"/>
      <c r="AA107" s="58"/>
      <c r="AB107" s="58"/>
    </row>
    <row r="108" customFormat="false" ht="15.75" hidden="false" customHeight="false" outlineLevel="0" collapsed="false">
      <c r="A108" s="71"/>
      <c r="B108" s="71"/>
      <c r="C108" s="5" t="s">
        <v>19</v>
      </c>
      <c r="D108" s="48"/>
      <c r="E108" s="73" t="n">
        <f aca="false">IFERROR(__xludf.dummyfunction("COUNTA(SPLIT(D108,"" ""))/COUNTA(SPLIT($B$47,"" ""))"),0.00242718446601942)</f>
        <v>0.002427184466</v>
      </c>
      <c r="F108" s="5"/>
      <c r="G108" s="5"/>
      <c r="H108" s="5"/>
      <c r="I108" s="5"/>
      <c r="J108" s="5"/>
      <c r="K108" s="50"/>
      <c r="L108" s="50"/>
      <c r="M108" s="50"/>
      <c r="N108" s="50"/>
      <c r="O108" s="50"/>
      <c r="P108" s="50"/>
      <c r="Q108" s="50"/>
      <c r="R108" s="50"/>
      <c r="S108" s="50"/>
      <c r="T108" s="50"/>
      <c r="U108" s="50"/>
      <c r="V108" s="50"/>
      <c r="W108" s="50"/>
      <c r="X108" s="50"/>
      <c r="Y108" s="50"/>
      <c r="Z108" s="50"/>
      <c r="AA108" s="50"/>
      <c r="AB108" s="50"/>
    </row>
    <row r="109" customFormat="false" ht="15.75" hidden="false" customHeight="false" outlineLevel="0" collapsed="false">
      <c r="A109" s="71"/>
      <c r="B109" s="71"/>
      <c r="C109" s="5" t="s">
        <v>8</v>
      </c>
      <c r="D109" s="48"/>
      <c r="E109" s="74" t="n">
        <f aca="false">IFERROR(__xludf.dummyfunction("COUNTA(SPLIT(D109,"" ""))/COUNTA(SPLIT($B$47,"" ""))"),0.00242718446601942)</f>
        <v>0.002427184466</v>
      </c>
      <c r="F109" s="5"/>
      <c r="G109" s="5"/>
      <c r="H109" s="5"/>
      <c r="I109" s="5"/>
      <c r="J109" s="5"/>
      <c r="K109" s="50"/>
      <c r="L109" s="50"/>
      <c r="M109" s="50"/>
      <c r="N109" s="50"/>
      <c r="O109" s="50"/>
      <c r="P109" s="50"/>
      <c r="Q109" s="50"/>
      <c r="R109" s="50"/>
      <c r="S109" s="50"/>
      <c r="T109" s="50"/>
      <c r="U109" s="50"/>
      <c r="V109" s="50"/>
      <c r="W109" s="50"/>
      <c r="X109" s="50"/>
      <c r="Y109" s="50"/>
      <c r="Z109" s="50"/>
      <c r="AA109" s="50"/>
      <c r="AB109" s="50"/>
    </row>
    <row r="110" customFormat="false" ht="15.75" hidden="false" customHeight="false" outlineLevel="0" collapsed="false">
      <c r="A110" s="71"/>
      <c r="B110" s="71"/>
      <c r="C110" s="5" t="s">
        <v>20</v>
      </c>
      <c r="D110" s="48"/>
      <c r="E110" s="75" t="n">
        <f aca="false">IFERROR(__xludf.dummyfunction("COUNTA(SPLIT(D110,"" ""))/COUNTA(SPLIT($B$47,"" ""))"),0.00242718446601942)</f>
        <v>0.002427184466</v>
      </c>
      <c r="F110" s="5"/>
      <c r="G110" s="5"/>
      <c r="H110" s="5"/>
      <c r="I110" s="5"/>
      <c r="J110" s="5"/>
      <c r="K110" s="50"/>
      <c r="L110" s="50"/>
      <c r="M110" s="50"/>
      <c r="N110" s="50"/>
      <c r="O110" s="50"/>
      <c r="P110" s="50"/>
      <c r="Q110" s="50"/>
      <c r="R110" s="50"/>
      <c r="S110" s="50"/>
      <c r="T110" s="50"/>
      <c r="U110" s="50"/>
      <c r="V110" s="50"/>
      <c r="W110" s="50"/>
      <c r="X110" s="50"/>
      <c r="Y110" s="50"/>
      <c r="Z110" s="50"/>
      <c r="AA110" s="50"/>
      <c r="AB110" s="50"/>
    </row>
    <row r="111" customFormat="false" ht="15.75" hidden="false" customHeight="false" outlineLevel="0" collapsed="false">
      <c r="A111" s="50"/>
      <c r="B111" s="50"/>
      <c r="C111" s="5"/>
      <c r="D111" s="48"/>
      <c r="E111" s="50"/>
      <c r="F111" s="5"/>
      <c r="G111" s="5"/>
      <c r="H111" s="5"/>
      <c r="I111" s="5"/>
      <c r="J111" s="5"/>
      <c r="K111" s="50"/>
      <c r="L111" s="50"/>
      <c r="M111" s="50"/>
      <c r="N111" s="50"/>
      <c r="O111" s="50"/>
      <c r="P111" s="50"/>
      <c r="Q111" s="50"/>
      <c r="R111" s="50"/>
      <c r="S111" s="50"/>
      <c r="T111" s="50"/>
      <c r="U111" s="50"/>
      <c r="V111" s="50"/>
      <c r="W111" s="50"/>
      <c r="X111" s="50"/>
      <c r="Y111" s="50"/>
      <c r="Z111" s="50"/>
      <c r="AA111" s="50"/>
      <c r="AB111" s="50"/>
    </row>
    <row r="112" customFormat="false" ht="15.75" hidden="false" customHeight="false" outlineLevel="0" collapsed="false">
      <c r="A112" s="71"/>
      <c r="B112" s="54"/>
      <c r="C112" s="55" t="s">
        <v>18</v>
      </c>
      <c r="D112" s="56"/>
      <c r="E112" s="72" t="n">
        <f aca="false">IFERROR(__xludf.dummyfunction("COUNTA(SPLIT(D112,"" ""))/COUNTA(SPLIT($B$47,"" ""))"),0.00242718446601942)</f>
        <v>0.002427184466</v>
      </c>
      <c r="F112" s="55"/>
      <c r="G112" s="55"/>
      <c r="H112" s="55"/>
      <c r="I112" s="55"/>
      <c r="J112" s="55"/>
      <c r="K112" s="58"/>
      <c r="L112" s="58"/>
      <c r="M112" s="58"/>
      <c r="N112" s="58"/>
      <c r="O112" s="58"/>
      <c r="P112" s="58"/>
      <c r="Q112" s="58"/>
      <c r="R112" s="58"/>
      <c r="S112" s="58"/>
      <c r="T112" s="58"/>
      <c r="U112" s="58"/>
      <c r="V112" s="58"/>
      <c r="W112" s="58"/>
      <c r="X112" s="58"/>
      <c r="Y112" s="58"/>
      <c r="Z112" s="58"/>
      <c r="AA112" s="58"/>
      <c r="AB112" s="58"/>
    </row>
    <row r="113" customFormat="false" ht="15.75" hidden="false" customHeight="false" outlineLevel="0" collapsed="false">
      <c r="A113" s="71"/>
      <c r="B113" s="71"/>
      <c r="C113" s="5" t="s">
        <v>19</v>
      </c>
      <c r="D113" s="48"/>
      <c r="E113" s="73" t="n">
        <f aca="false">IFERROR(__xludf.dummyfunction("COUNTA(SPLIT(D113,"" ""))/COUNTA(SPLIT($B$47,"" ""))"),0.00242718446601942)</f>
        <v>0.002427184466</v>
      </c>
      <c r="F113" s="5"/>
      <c r="G113" s="5"/>
      <c r="H113" s="5"/>
      <c r="I113" s="5"/>
      <c r="J113" s="5"/>
      <c r="K113" s="50"/>
      <c r="L113" s="50"/>
      <c r="M113" s="50"/>
      <c r="N113" s="50"/>
      <c r="O113" s="50"/>
      <c r="P113" s="50"/>
      <c r="Q113" s="50"/>
      <c r="R113" s="50"/>
      <c r="S113" s="50"/>
      <c r="T113" s="50"/>
      <c r="U113" s="50"/>
      <c r="V113" s="50"/>
      <c r="W113" s="50"/>
      <c r="X113" s="50"/>
      <c r="Y113" s="50"/>
      <c r="Z113" s="50"/>
      <c r="AA113" s="50"/>
      <c r="AB113" s="50"/>
    </row>
    <row r="114" customFormat="false" ht="15.75" hidden="false" customHeight="false" outlineLevel="0" collapsed="false">
      <c r="A114" s="71"/>
      <c r="B114" s="71"/>
      <c r="C114" s="5" t="s">
        <v>8</v>
      </c>
      <c r="D114" s="48"/>
      <c r="E114" s="74" t="n">
        <f aca="false">IFERROR(__xludf.dummyfunction("COUNTA(SPLIT(D114,"" ""))/COUNTA(SPLIT($B$47,"" ""))"),0.00242718446601942)</f>
        <v>0.002427184466</v>
      </c>
      <c r="F114" s="5"/>
      <c r="G114" s="5"/>
      <c r="H114" s="5"/>
      <c r="I114" s="5"/>
      <c r="J114" s="5"/>
      <c r="K114" s="50"/>
      <c r="L114" s="50"/>
      <c r="M114" s="50"/>
      <c r="N114" s="50"/>
      <c r="O114" s="50"/>
      <c r="P114" s="50"/>
      <c r="Q114" s="50"/>
      <c r="R114" s="50"/>
      <c r="S114" s="50"/>
      <c r="T114" s="50"/>
      <c r="U114" s="50"/>
      <c r="V114" s="50"/>
      <c r="W114" s="50"/>
      <c r="X114" s="50"/>
      <c r="Y114" s="50"/>
      <c r="Z114" s="50"/>
      <c r="AA114" s="50"/>
      <c r="AB114" s="50"/>
    </row>
    <row r="115" customFormat="false" ht="15.75" hidden="false" customHeight="false" outlineLevel="0" collapsed="false">
      <c r="A115" s="71"/>
      <c r="B115" s="71"/>
      <c r="C115" s="5" t="s">
        <v>20</v>
      </c>
      <c r="D115" s="48"/>
      <c r="E115" s="75" t="n">
        <f aca="false">IFERROR(__xludf.dummyfunction("COUNTA(SPLIT(D115,"" ""))/COUNTA(SPLIT($B$47,"" ""))"),0.00242718446601942)</f>
        <v>0.002427184466</v>
      </c>
      <c r="F115" s="5"/>
      <c r="G115" s="5"/>
      <c r="H115" s="5"/>
      <c r="I115" s="5"/>
      <c r="J115" s="5"/>
      <c r="K115" s="50"/>
      <c r="L115" s="50"/>
      <c r="M115" s="50"/>
      <c r="N115" s="50"/>
      <c r="O115" s="50"/>
      <c r="P115" s="50"/>
      <c r="Q115" s="50"/>
      <c r="R115" s="50"/>
      <c r="S115" s="50"/>
      <c r="T115" s="50"/>
      <c r="U115" s="50"/>
      <c r="V115" s="50"/>
      <c r="W115" s="50"/>
      <c r="X115" s="50"/>
      <c r="Y115" s="50"/>
      <c r="Z115" s="50"/>
      <c r="AA115" s="50"/>
      <c r="AB115" s="50"/>
    </row>
    <row r="116" customFormat="false" ht="15.75" hidden="false" customHeight="false" outlineLevel="0" collapsed="false">
      <c r="A116" s="50"/>
      <c r="B116" s="50"/>
      <c r="C116" s="5"/>
      <c r="D116" s="48"/>
      <c r="E116" s="50"/>
      <c r="F116" s="5"/>
      <c r="G116" s="5"/>
      <c r="H116" s="5"/>
      <c r="I116" s="5"/>
      <c r="J116" s="5"/>
      <c r="K116" s="50"/>
      <c r="L116" s="50"/>
      <c r="M116" s="50"/>
      <c r="N116" s="50"/>
      <c r="O116" s="50"/>
      <c r="P116" s="50"/>
      <c r="Q116" s="50"/>
      <c r="R116" s="50"/>
      <c r="S116" s="50"/>
      <c r="T116" s="50"/>
      <c r="U116" s="50"/>
      <c r="V116" s="50"/>
      <c r="W116" s="50"/>
      <c r="X116" s="50"/>
      <c r="Y116" s="50"/>
      <c r="Z116" s="50"/>
      <c r="AA116" s="50"/>
      <c r="AB116" s="50"/>
    </row>
    <row r="117" customFormat="false" ht="15.75" hidden="false" customHeight="false" outlineLevel="0" collapsed="false">
      <c r="A117" s="71"/>
      <c r="B117" s="54"/>
      <c r="C117" s="55" t="s">
        <v>18</v>
      </c>
      <c r="D117" s="56"/>
      <c r="E117" s="72" t="n">
        <f aca="false">IFERROR(__xludf.dummyfunction("COUNTA(SPLIT(D117,"" ""))/COUNTA(SPLIT($B$47,"" ""))"),0.00242718446601942)</f>
        <v>0.002427184466</v>
      </c>
      <c r="F117" s="55"/>
      <c r="G117" s="55"/>
      <c r="H117" s="55"/>
      <c r="I117" s="55"/>
      <c r="J117" s="55"/>
      <c r="K117" s="58"/>
      <c r="L117" s="58"/>
      <c r="M117" s="58"/>
      <c r="N117" s="58"/>
      <c r="O117" s="58"/>
      <c r="P117" s="58"/>
      <c r="Q117" s="58"/>
      <c r="R117" s="58"/>
      <c r="S117" s="58"/>
      <c r="T117" s="58"/>
      <c r="U117" s="58"/>
      <c r="V117" s="58"/>
      <c r="W117" s="58"/>
      <c r="X117" s="58"/>
      <c r="Y117" s="58"/>
      <c r="Z117" s="58"/>
      <c r="AA117" s="58"/>
      <c r="AB117" s="58"/>
    </row>
    <row r="118" customFormat="false" ht="15.75" hidden="false" customHeight="false" outlineLevel="0" collapsed="false">
      <c r="A118" s="71"/>
      <c r="B118" s="71"/>
      <c r="C118" s="5" t="s">
        <v>19</v>
      </c>
      <c r="D118" s="48"/>
      <c r="E118" s="73" t="n">
        <f aca="false">IFERROR(__xludf.dummyfunction("COUNTA(SPLIT(D118,"" ""))/COUNTA(SPLIT($B$47,"" ""))"),0.00242718446601942)</f>
        <v>0.002427184466</v>
      </c>
      <c r="F118" s="5"/>
      <c r="G118" s="5"/>
      <c r="H118" s="5"/>
      <c r="I118" s="5"/>
      <c r="J118" s="5"/>
      <c r="K118" s="50"/>
      <c r="L118" s="50"/>
      <c r="M118" s="50"/>
      <c r="N118" s="50"/>
      <c r="O118" s="50"/>
      <c r="P118" s="50"/>
      <c r="Q118" s="50"/>
      <c r="R118" s="50"/>
      <c r="S118" s="50"/>
      <c r="T118" s="50"/>
      <c r="U118" s="50"/>
      <c r="V118" s="50"/>
      <c r="W118" s="50"/>
      <c r="X118" s="50"/>
      <c r="Y118" s="50"/>
      <c r="Z118" s="50"/>
      <c r="AA118" s="50"/>
      <c r="AB118" s="50"/>
    </row>
    <row r="119" customFormat="false" ht="15.75" hidden="false" customHeight="false" outlineLevel="0" collapsed="false">
      <c r="A119" s="71"/>
      <c r="B119" s="71"/>
      <c r="C119" s="5" t="s">
        <v>8</v>
      </c>
      <c r="D119" s="48"/>
      <c r="E119" s="74" t="n">
        <f aca="false">IFERROR(__xludf.dummyfunction("COUNTA(SPLIT(D119,"" ""))/COUNTA(SPLIT($B$47,"" ""))"),0.00242718446601942)</f>
        <v>0.002427184466</v>
      </c>
      <c r="F119" s="5"/>
      <c r="G119" s="5"/>
      <c r="H119" s="5"/>
      <c r="I119" s="5"/>
      <c r="J119" s="5"/>
      <c r="K119" s="50"/>
      <c r="L119" s="50"/>
      <c r="M119" s="50"/>
      <c r="N119" s="50"/>
      <c r="O119" s="50"/>
      <c r="P119" s="50"/>
      <c r="Q119" s="50"/>
      <c r="R119" s="50"/>
      <c r="S119" s="50"/>
      <c r="T119" s="50"/>
      <c r="U119" s="50"/>
      <c r="V119" s="50"/>
      <c r="W119" s="50"/>
      <c r="X119" s="50"/>
      <c r="Y119" s="50"/>
      <c r="Z119" s="50"/>
      <c r="AA119" s="50"/>
      <c r="AB119" s="50"/>
    </row>
    <row r="120" customFormat="false" ht="15.75" hidden="false" customHeight="false" outlineLevel="0" collapsed="false">
      <c r="A120" s="71"/>
      <c r="B120" s="71"/>
      <c r="C120" s="5" t="s">
        <v>20</v>
      </c>
      <c r="D120" s="48"/>
      <c r="E120" s="75" t="n">
        <f aca="false">IFERROR(__xludf.dummyfunction("COUNTA(SPLIT(D120,"" ""))/COUNTA(SPLIT($B$47,"" ""))"),0.00242718446601942)</f>
        <v>0.002427184466</v>
      </c>
      <c r="F120" s="5"/>
      <c r="G120" s="5"/>
      <c r="H120" s="5"/>
      <c r="I120" s="5"/>
      <c r="J120" s="5"/>
      <c r="K120" s="50"/>
      <c r="L120" s="50"/>
      <c r="M120" s="50"/>
      <c r="N120" s="50"/>
      <c r="O120" s="50"/>
      <c r="P120" s="50"/>
      <c r="Q120" s="50"/>
      <c r="R120" s="50"/>
      <c r="S120" s="50"/>
      <c r="T120" s="50"/>
      <c r="U120" s="50"/>
      <c r="V120" s="50"/>
      <c r="W120" s="50"/>
      <c r="X120" s="50"/>
      <c r="Y120" s="50"/>
      <c r="Z120" s="50"/>
      <c r="AA120" s="50"/>
      <c r="AB120" s="50"/>
    </row>
    <row r="121" customFormat="false" ht="15.75" hidden="false" customHeight="false" outlineLevel="0" collapsed="false">
      <c r="A121" s="50"/>
      <c r="B121" s="50"/>
      <c r="C121" s="5"/>
      <c r="D121" s="48"/>
      <c r="E121" s="50"/>
      <c r="F121" s="5"/>
      <c r="G121" s="5"/>
      <c r="H121" s="5"/>
      <c r="I121" s="5"/>
      <c r="J121" s="5"/>
      <c r="K121" s="50"/>
      <c r="L121" s="50"/>
      <c r="M121" s="50"/>
      <c r="N121" s="50"/>
      <c r="O121" s="50"/>
      <c r="P121" s="50"/>
      <c r="Q121" s="50"/>
      <c r="R121" s="50"/>
      <c r="S121" s="50"/>
      <c r="T121" s="50"/>
      <c r="U121" s="50"/>
      <c r="V121" s="50"/>
      <c r="W121" s="50"/>
      <c r="X121" s="50"/>
      <c r="Y121" s="50"/>
      <c r="Z121" s="50"/>
      <c r="AA121" s="50"/>
      <c r="AB121" s="50"/>
    </row>
    <row r="122" customFormat="false" ht="15.75" hidden="false" customHeight="false" outlineLevel="0" collapsed="false">
      <c r="A122" s="71"/>
      <c r="B122" s="54"/>
      <c r="C122" s="55" t="s">
        <v>18</v>
      </c>
      <c r="D122" s="56"/>
      <c r="E122" s="72" t="n">
        <f aca="false">IFERROR(__xludf.dummyfunction("COUNTA(SPLIT(D122,"" ""))/COUNTA(SPLIT($B$47,"" ""))"),0.00242718446601942)</f>
        <v>0.002427184466</v>
      </c>
      <c r="F122" s="55"/>
      <c r="G122" s="55"/>
      <c r="H122" s="55"/>
      <c r="I122" s="55"/>
      <c r="J122" s="55"/>
      <c r="K122" s="58"/>
      <c r="L122" s="58"/>
      <c r="M122" s="58"/>
      <c r="N122" s="58"/>
      <c r="O122" s="58"/>
      <c r="P122" s="58"/>
      <c r="Q122" s="58"/>
      <c r="R122" s="58"/>
      <c r="S122" s="58"/>
      <c r="T122" s="58"/>
      <c r="U122" s="58"/>
      <c r="V122" s="58"/>
      <c r="W122" s="58"/>
      <c r="X122" s="58"/>
      <c r="Y122" s="58"/>
      <c r="Z122" s="58"/>
      <c r="AA122" s="58"/>
      <c r="AB122" s="58"/>
    </row>
    <row r="123" customFormat="false" ht="15.75" hidden="false" customHeight="false" outlineLevel="0" collapsed="false">
      <c r="A123" s="71"/>
      <c r="B123" s="71"/>
      <c r="C123" s="5" t="s">
        <v>19</v>
      </c>
      <c r="D123" s="48"/>
      <c r="E123" s="73" t="n">
        <f aca="false">IFERROR(__xludf.dummyfunction("COUNTA(SPLIT(D123,"" ""))/COUNTA(SPLIT($B$47,"" ""))"),0.00242718446601942)</f>
        <v>0.002427184466</v>
      </c>
      <c r="F123" s="5"/>
      <c r="G123" s="5"/>
      <c r="H123" s="5"/>
      <c r="I123" s="5"/>
      <c r="J123" s="5"/>
      <c r="K123" s="50"/>
      <c r="L123" s="50"/>
      <c r="M123" s="50"/>
      <c r="N123" s="50"/>
      <c r="O123" s="50"/>
      <c r="P123" s="50"/>
      <c r="Q123" s="50"/>
      <c r="R123" s="50"/>
      <c r="S123" s="50"/>
      <c r="T123" s="50"/>
      <c r="U123" s="50"/>
      <c r="V123" s="50"/>
      <c r="W123" s="50"/>
      <c r="X123" s="50"/>
      <c r="Y123" s="50"/>
      <c r="Z123" s="50"/>
      <c r="AA123" s="50"/>
      <c r="AB123" s="50"/>
    </row>
    <row r="124" customFormat="false" ht="15.75" hidden="false" customHeight="false" outlineLevel="0" collapsed="false">
      <c r="A124" s="71"/>
      <c r="B124" s="71"/>
      <c r="C124" s="5" t="s">
        <v>8</v>
      </c>
      <c r="D124" s="48"/>
      <c r="E124" s="74" t="n">
        <f aca="false">IFERROR(__xludf.dummyfunction("COUNTA(SPLIT(D124,"" ""))/COUNTA(SPLIT($B$47,"" ""))"),0.00242718446601942)</f>
        <v>0.002427184466</v>
      </c>
      <c r="F124" s="5"/>
      <c r="G124" s="5"/>
      <c r="H124" s="5"/>
      <c r="I124" s="5"/>
      <c r="J124" s="5"/>
      <c r="K124" s="50"/>
      <c r="L124" s="50"/>
      <c r="M124" s="50"/>
      <c r="N124" s="50"/>
      <c r="O124" s="50"/>
      <c r="P124" s="50"/>
      <c r="Q124" s="50"/>
      <c r="R124" s="50"/>
      <c r="S124" s="50"/>
      <c r="T124" s="50"/>
      <c r="U124" s="50"/>
      <c r="V124" s="50"/>
      <c r="W124" s="50"/>
      <c r="X124" s="50"/>
      <c r="Y124" s="50"/>
      <c r="Z124" s="50"/>
      <c r="AA124" s="50"/>
      <c r="AB124" s="50"/>
    </row>
    <row r="125" customFormat="false" ht="15.75" hidden="false" customHeight="false" outlineLevel="0" collapsed="false">
      <c r="A125" s="71"/>
      <c r="B125" s="71"/>
      <c r="C125" s="5" t="s">
        <v>20</v>
      </c>
      <c r="D125" s="48"/>
      <c r="E125" s="75" t="n">
        <f aca="false">IFERROR(__xludf.dummyfunction("COUNTA(SPLIT(D125,"" ""))/COUNTA(SPLIT($B$47,"" ""))"),0.00242718446601942)</f>
        <v>0.002427184466</v>
      </c>
      <c r="F125" s="5"/>
      <c r="G125" s="5"/>
      <c r="H125" s="5"/>
      <c r="I125" s="5"/>
      <c r="J125" s="5"/>
      <c r="K125" s="50"/>
      <c r="L125" s="50"/>
      <c r="M125" s="50"/>
      <c r="N125" s="50"/>
      <c r="O125" s="50"/>
      <c r="P125" s="50"/>
      <c r="Q125" s="50"/>
      <c r="R125" s="50"/>
      <c r="S125" s="50"/>
      <c r="T125" s="50"/>
      <c r="U125" s="50"/>
      <c r="V125" s="50"/>
      <c r="W125" s="50"/>
      <c r="X125" s="50"/>
      <c r="Y125" s="50"/>
      <c r="Z125" s="50"/>
      <c r="AA125" s="50"/>
      <c r="AB125" s="50"/>
    </row>
    <row r="126" customFormat="false" ht="15.75" hidden="false" customHeight="false" outlineLevel="0" collapsed="false">
      <c r="A126" s="50"/>
      <c r="B126" s="50"/>
      <c r="C126" s="5"/>
      <c r="D126" s="48"/>
      <c r="E126" s="50"/>
      <c r="F126" s="5"/>
      <c r="G126" s="5"/>
      <c r="H126" s="5"/>
      <c r="I126" s="5"/>
      <c r="J126" s="5"/>
      <c r="K126" s="50"/>
      <c r="L126" s="50"/>
      <c r="M126" s="50"/>
      <c r="N126" s="50"/>
      <c r="O126" s="50"/>
      <c r="P126" s="50"/>
      <c r="Q126" s="50"/>
      <c r="R126" s="50"/>
      <c r="S126" s="50"/>
      <c r="T126" s="50"/>
      <c r="U126" s="50"/>
      <c r="V126" s="50"/>
      <c r="W126" s="50"/>
      <c r="X126" s="50"/>
      <c r="Y126" s="50"/>
      <c r="Z126" s="50"/>
      <c r="AA126" s="50"/>
      <c r="AB126" s="50"/>
    </row>
    <row r="127" customFormat="false" ht="15.75" hidden="false" customHeight="false" outlineLevel="0" collapsed="false">
      <c r="A127" s="71"/>
      <c r="B127" s="54"/>
      <c r="C127" s="55" t="s">
        <v>18</v>
      </c>
      <c r="D127" s="56"/>
      <c r="E127" s="72" t="n">
        <f aca="false">IFERROR(__xludf.dummyfunction("COUNTA(SPLIT(D127,"" ""))/COUNTA(SPLIT($B$47,"" ""))"),0.00242718446601942)</f>
        <v>0.002427184466</v>
      </c>
      <c r="F127" s="55"/>
      <c r="G127" s="55"/>
      <c r="H127" s="55"/>
      <c r="I127" s="55"/>
      <c r="J127" s="55"/>
      <c r="K127" s="58"/>
      <c r="L127" s="58"/>
      <c r="M127" s="58"/>
      <c r="N127" s="58"/>
      <c r="O127" s="58"/>
      <c r="P127" s="58"/>
      <c r="Q127" s="58"/>
      <c r="R127" s="58"/>
      <c r="S127" s="58"/>
      <c r="T127" s="58"/>
      <c r="U127" s="58"/>
      <c r="V127" s="58"/>
      <c r="W127" s="58"/>
      <c r="X127" s="58"/>
      <c r="Y127" s="58"/>
      <c r="Z127" s="58"/>
      <c r="AA127" s="58"/>
      <c r="AB127" s="58"/>
    </row>
    <row r="128" customFormat="false" ht="15.75" hidden="false" customHeight="false" outlineLevel="0" collapsed="false">
      <c r="A128" s="71"/>
      <c r="B128" s="71"/>
      <c r="C128" s="5" t="s">
        <v>19</v>
      </c>
      <c r="D128" s="48"/>
      <c r="E128" s="73" t="n">
        <f aca="false">IFERROR(__xludf.dummyfunction("COUNTA(SPLIT(D128,"" ""))/COUNTA(SPLIT($B$47,"" ""))"),0.00242718446601942)</f>
        <v>0.002427184466</v>
      </c>
      <c r="F128" s="5"/>
      <c r="G128" s="5"/>
      <c r="H128" s="5"/>
      <c r="I128" s="5"/>
      <c r="J128" s="5"/>
      <c r="K128" s="50"/>
      <c r="L128" s="50"/>
      <c r="M128" s="50"/>
      <c r="N128" s="50"/>
      <c r="O128" s="50"/>
      <c r="P128" s="50"/>
      <c r="Q128" s="50"/>
      <c r="R128" s="50"/>
      <c r="S128" s="50"/>
      <c r="T128" s="50"/>
      <c r="U128" s="50"/>
      <c r="V128" s="50"/>
      <c r="W128" s="50"/>
      <c r="X128" s="50"/>
      <c r="Y128" s="50"/>
      <c r="Z128" s="50"/>
      <c r="AA128" s="50"/>
      <c r="AB128" s="50"/>
    </row>
    <row r="129" customFormat="false" ht="15.75" hidden="false" customHeight="false" outlineLevel="0" collapsed="false">
      <c r="A129" s="71"/>
      <c r="B129" s="71"/>
      <c r="C129" s="5" t="s">
        <v>8</v>
      </c>
      <c r="D129" s="48"/>
      <c r="E129" s="74" t="n">
        <f aca="false">IFERROR(__xludf.dummyfunction("COUNTA(SPLIT(D129,"" ""))/COUNTA(SPLIT($B$47,"" ""))"),0.00242718446601942)</f>
        <v>0.002427184466</v>
      </c>
      <c r="F129" s="5"/>
      <c r="G129" s="5"/>
      <c r="H129" s="5"/>
      <c r="I129" s="5"/>
      <c r="J129" s="5"/>
      <c r="K129" s="50"/>
      <c r="L129" s="50"/>
      <c r="M129" s="50"/>
      <c r="N129" s="50"/>
      <c r="O129" s="50"/>
      <c r="P129" s="50"/>
      <c r="Q129" s="50"/>
      <c r="R129" s="50"/>
      <c r="S129" s="50"/>
      <c r="T129" s="50"/>
      <c r="U129" s="50"/>
      <c r="V129" s="50"/>
      <c r="W129" s="50"/>
      <c r="X129" s="50"/>
      <c r="Y129" s="50"/>
      <c r="Z129" s="50"/>
      <c r="AA129" s="50"/>
      <c r="AB129" s="50"/>
    </row>
    <row r="130" customFormat="false" ht="15.75" hidden="false" customHeight="false" outlineLevel="0" collapsed="false">
      <c r="A130" s="71"/>
      <c r="B130" s="71"/>
      <c r="C130" s="5" t="s">
        <v>20</v>
      </c>
      <c r="D130" s="48"/>
      <c r="E130" s="75" t="n">
        <f aca="false">IFERROR(__xludf.dummyfunction("COUNTA(SPLIT(D130,"" ""))/COUNTA(SPLIT($B$47,"" ""))"),0.00242718446601942)</f>
        <v>0.002427184466</v>
      </c>
      <c r="F130" s="5"/>
      <c r="G130" s="5"/>
      <c r="H130" s="5"/>
      <c r="I130" s="5"/>
      <c r="J130" s="5"/>
      <c r="K130" s="50"/>
      <c r="L130" s="50"/>
      <c r="M130" s="50"/>
      <c r="N130" s="50"/>
      <c r="O130" s="50"/>
      <c r="P130" s="50"/>
      <c r="Q130" s="50"/>
      <c r="R130" s="50"/>
      <c r="S130" s="50"/>
      <c r="T130" s="50"/>
      <c r="U130" s="50"/>
      <c r="V130" s="50"/>
      <c r="W130" s="50"/>
      <c r="X130" s="50"/>
      <c r="Y130" s="50"/>
      <c r="Z130" s="50"/>
      <c r="AA130" s="50"/>
      <c r="AB130" s="50"/>
    </row>
    <row r="131" customFormat="false" ht="15.75" hidden="false" customHeight="false" outlineLevel="0" collapsed="false">
      <c r="A131" s="50"/>
      <c r="B131" s="50"/>
      <c r="C131" s="5"/>
      <c r="D131" s="48"/>
      <c r="E131" s="50"/>
      <c r="F131" s="5"/>
      <c r="G131" s="5"/>
      <c r="H131" s="5"/>
      <c r="I131" s="5"/>
      <c r="J131" s="5"/>
      <c r="K131" s="50"/>
      <c r="L131" s="50"/>
      <c r="M131" s="50"/>
      <c r="N131" s="50"/>
      <c r="O131" s="50"/>
      <c r="P131" s="50"/>
      <c r="Q131" s="50"/>
      <c r="R131" s="50"/>
      <c r="S131" s="50"/>
      <c r="T131" s="50"/>
      <c r="U131" s="50"/>
      <c r="V131" s="50"/>
      <c r="W131" s="50"/>
      <c r="X131" s="50"/>
      <c r="Y131" s="50"/>
      <c r="Z131" s="50"/>
      <c r="AA131" s="50"/>
      <c r="AB131" s="50"/>
    </row>
    <row r="132" customFormat="false" ht="15.75" hidden="false" customHeight="false" outlineLevel="0" collapsed="false">
      <c r="A132" s="71"/>
      <c r="B132" s="54"/>
      <c r="C132" s="55" t="s">
        <v>18</v>
      </c>
      <c r="D132" s="56"/>
      <c r="E132" s="72" t="n">
        <f aca="false">IFERROR(__xludf.dummyfunction("COUNTA(SPLIT(D132,"" ""))/COUNTA(SPLIT($B$47,"" ""))"),0.00242718446601942)</f>
        <v>0.002427184466</v>
      </c>
      <c r="F132" s="55"/>
      <c r="G132" s="55"/>
      <c r="H132" s="55"/>
      <c r="I132" s="55"/>
      <c r="J132" s="55"/>
      <c r="K132" s="58"/>
      <c r="L132" s="58"/>
      <c r="M132" s="58"/>
      <c r="N132" s="58"/>
      <c r="O132" s="58"/>
      <c r="P132" s="58"/>
      <c r="Q132" s="58"/>
      <c r="R132" s="58"/>
      <c r="S132" s="58"/>
      <c r="T132" s="58"/>
      <c r="U132" s="58"/>
      <c r="V132" s="58"/>
      <c r="W132" s="58"/>
      <c r="X132" s="58"/>
      <c r="Y132" s="58"/>
      <c r="Z132" s="58"/>
      <c r="AA132" s="58"/>
      <c r="AB132" s="58"/>
    </row>
    <row r="133" customFormat="false" ht="15.75" hidden="false" customHeight="false" outlineLevel="0" collapsed="false">
      <c r="A133" s="71"/>
      <c r="B133" s="71"/>
      <c r="C133" s="5" t="s">
        <v>19</v>
      </c>
      <c r="D133" s="48"/>
      <c r="E133" s="73" t="n">
        <f aca="false">IFERROR(__xludf.dummyfunction("COUNTA(SPLIT(D133,"" ""))/COUNTA(SPLIT($B$47,"" ""))"),0.00242718446601942)</f>
        <v>0.002427184466</v>
      </c>
      <c r="F133" s="5"/>
      <c r="G133" s="5"/>
      <c r="H133" s="5"/>
      <c r="I133" s="5"/>
      <c r="J133" s="5"/>
      <c r="K133" s="50"/>
      <c r="L133" s="50"/>
      <c r="M133" s="50"/>
      <c r="N133" s="50"/>
      <c r="O133" s="50"/>
      <c r="P133" s="50"/>
      <c r="Q133" s="50"/>
      <c r="R133" s="50"/>
      <c r="S133" s="50"/>
      <c r="T133" s="50"/>
      <c r="U133" s="50"/>
      <c r="V133" s="50"/>
      <c r="W133" s="50"/>
      <c r="X133" s="50"/>
      <c r="Y133" s="50"/>
      <c r="Z133" s="50"/>
      <c r="AA133" s="50"/>
      <c r="AB133" s="50"/>
    </row>
    <row r="134" customFormat="false" ht="15.75" hidden="false" customHeight="false" outlineLevel="0" collapsed="false">
      <c r="A134" s="71"/>
      <c r="B134" s="71"/>
      <c r="C134" s="5" t="s">
        <v>8</v>
      </c>
      <c r="D134" s="48"/>
      <c r="E134" s="74" t="n">
        <f aca="false">IFERROR(__xludf.dummyfunction("COUNTA(SPLIT(D134,"" ""))/COUNTA(SPLIT($B$47,"" ""))"),0.00242718446601942)</f>
        <v>0.002427184466</v>
      </c>
      <c r="F134" s="5"/>
      <c r="G134" s="5"/>
      <c r="H134" s="5"/>
      <c r="I134" s="5"/>
      <c r="J134" s="5"/>
      <c r="K134" s="50"/>
      <c r="L134" s="50"/>
      <c r="M134" s="50"/>
      <c r="N134" s="50"/>
      <c r="O134" s="50"/>
      <c r="P134" s="50"/>
      <c r="Q134" s="50"/>
      <c r="R134" s="50"/>
      <c r="S134" s="50"/>
      <c r="T134" s="50"/>
      <c r="U134" s="50"/>
      <c r="V134" s="50"/>
      <c r="W134" s="50"/>
      <c r="X134" s="50"/>
      <c r="Y134" s="50"/>
      <c r="Z134" s="50"/>
      <c r="AA134" s="50"/>
      <c r="AB134" s="50"/>
    </row>
    <row r="135" customFormat="false" ht="15.75" hidden="false" customHeight="false" outlineLevel="0" collapsed="false">
      <c r="A135" s="71"/>
      <c r="B135" s="71"/>
      <c r="C135" s="5" t="s">
        <v>20</v>
      </c>
      <c r="D135" s="48"/>
      <c r="E135" s="75" t="n">
        <f aca="false">IFERROR(__xludf.dummyfunction("COUNTA(SPLIT(D135,"" ""))/COUNTA(SPLIT($B$47,"" ""))"),0.00242718446601942)</f>
        <v>0.002427184466</v>
      </c>
      <c r="F135" s="5"/>
      <c r="G135" s="5"/>
      <c r="H135" s="5"/>
      <c r="I135" s="5"/>
      <c r="J135" s="5"/>
      <c r="K135" s="50"/>
      <c r="L135" s="50"/>
      <c r="M135" s="50"/>
      <c r="N135" s="50"/>
      <c r="O135" s="50"/>
      <c r="P135" s="50"/>
      <c r="Q135" s="50"/>
      <c r="R135" s="50"/>
      <c r="S135" s="50"/>
      <c r="T135" s="50"/>
      <c r="U135" s="50"/>
      <c r="V135" s="50"/>
      <c r="W135" s="50"/>
      <c r="X135" s="50"/>
      <c r="Y135" s="50"/>
      <c r="Z135" s="50"/>
      <c r="AA135" s="50"/>
      <c r="AB135" s="50"/>
    </row>
    <row r="136" customFormat="false" ht="15.75" hidden="false" customHeight="false" outlineLevel="0" collapsed="false">
      <c r="A136" s="50"/>
      <c r="B136" s="50"/>
      <c r="C136" s="5"/>
      <c r="D136" s="48"/>
      <c r="E136" s="50"/>
      <c r="F136" s="5"/>
      <c r="G136" s="5"/>
      <c r="H136" s="5"/>
      <c r="I136" s="5"/>
      <c r="J136" s="5"/>
      <c r="K136" s="50"/>
      <c r="L136" s="50"/>
      <c r="M136" s="50"/>
      <c r="N136" s="50"/>
      <c r="O136" s="50"/>
      <c r="P136" s="50"/>
      <c r="Q136" s="50"/>
      <c r="R136" s="50"/>
      <c r="S136" s="50"/>
      <c r="T136" s="50"/>
      <c r="U136" s="50"/>
      <c r="V136" s="50"/>
      <c r="W136" s="50"/>
      <c r="X136" s="50"/>
      <c r="Y136" s="50"/>
      <c r="Z136" s="50"/>
      <c r="AA136" s="50"/>
      <c r="AB136" s="50"/>
    </row>
    <row r="137" customFormat="false" ht="15.75" hidden="false" customHeight="false" outlineLevel="0" collapsed="false">
      <c r="A137" s="71"/>
      <c r="B137" s="54"/>
      <c r="C137" s="55" t="s">
        <v>18</v>
      </c>
      <c r="D137" s="56"/>
      <c r="E137" s="72" t="n">
        <f aca="false">IFERROR(__xludf.dummyfunction("COUNTA(SPLIT(D137,"" ""))/COUNTA(SPLIT($B$47,"" ""))"),0.00242718446601942)</f>
        <v>0.002427184466</v>
      </c>
      <c r="F137" s="55"/>
      <c r="G137" s="55"/>
      <c r="H137" s="55"/>
      <c r="I137" s="55"/>
      <c r="J137" s="55"/>
      <c r="K137" s="58"/>
      <c r="L137" s="58"/>
      <c r="M137" s="58"/>
      <c r="N137" s="58"/>
      <c r="O137" s="58"/>
      <c r="P137" s="58"/>
      <c r="Q137" s="58"/>
      <c r="R137" s="58"/>
      <c r="S137" s="58"/>
      <c r="T137" s="58"/>
      <c r="U137" s="58"/>
      <c r="V137" s="58"/>
      <c r="W137" s="58"/>
      <c r="X137" s="58"/>
      <c r="Y137" s="58"/>
      <c r="Z137" s="58"/>
      <c r="AA137" s="58"/>
      <c r="AB137" s="58"/>
    </row>
    <row r="138" customFormat="false" ht="15.75" hidden="false" customHeight="false" outlineLevel="0" collapsed="false">
      <c r="A138" s="71"/>
      <c r="B138" s="71"/>
      <c r="C138" s="5" t="s">
        <v>19</v>
      </c>
      <c r="D138" s="48"/>
      <c r="E138" s="73" t="n">
        <f aca="false">IFERROR(__xludf.dummyfunction("COUNTA(SPLIT(D138,"" ""))/COUNTA(SPLIT($B$47,"" ""))"),0.00242718446601942)</f>
        <v>0.002427184466</v>
      </c>
      <c r="F138" s="5"/>
      <c r="G138" s="5"/>
      <c r="H138" s="5"/>
      <c r="I138" s="5"/>
      <c r="J138" s="5"/>
      <c r="K138" s="50"/>
      <c r="L138" s="50"/>
      <c r="M138" s="50"/>
      <c r="N138" s="50"/>
      <c r="O138" s="50"/>
      <c r="P138" s="50"/>
      <c r="Q138" s="50"/>
      <c r="R138" s="50"/>
      <c r="S138" s="50"/>
      <c r="T138" s="50"/>
      <c r="U138" s="50"/>
      <c r="V138" s="50"/>
      <c r="W138" s="50"/>
      <c r="X138" s="50"/>
      <c r="Y138" s="50"/>
      <c r="Z138" s="50"/>
      <c r="AA138" s="50"/>
      <c r="AB138" s="50"/>
    </row>
    <row r="139" customFormat="false" ht="15.75" hidden="false" customHeight="false" outlineLevel="0" collapsed="false">
      <c r="A139" s="71"/>
      <c r="B139" s="71"/>
      <c r="C139" s="5" t="s">
        <v>8</v>
      </c>
      <c r="D139" s="48"/>
      <c r="E139" s="74" t="n">
        <f aca="false">IFERROR(__xludf.dummyfunction("COUNTA(SPLIT(D139,"" ""))/COUNTA(SPLIT($B$47,"" ""))"),0.00242718446601942)</f>
        <v>0.002427184466</v>
      </c>
      <c r="F139" s="5"/>
      <c r="G139" s="5"/>
      <c r="H139" s="5"/>
      <c r="I139" s="5"/>
      <c r="J139" s="5"/>
      <c r="K139" s="50"/>
      <c r="L139" s="50"/>
      <c r="M139" s="50"/>
      <c r="N139" s="50"/>
      <c r="O139" s="50"/>
      <c r="P139" s="50"/>
      <c r="Q139" s="50"/>
      <c r="R139" s="50"/>
      <c r="S139" s="50"/>
      <c r="T139" s="50"/>
      <c r="U139" s="50"/>
      <c r="V139" s="50"/>
      <c r="W139" s="50"/>
      <c r="X139" s="50"/>
      <c r="Y139" s="50"/>
      <c r="Z139" s="50"/>
      <c r="AA139" s="50"/>
      <c r="AB139" s="50"/>
    </row>
    <row r="140" customFormat="false" ht="15.75" hidden="false" customHeight="false" outlineLevel="0" collapsed="false">
      <c r="A140" s="71"/>
      <c r="B140" s="71"/>
      <c r="C140" s="5" t="s">
        <v>20</v>
      </c>
      <c r="D140" s="48"/>
      <c r="E140" s="75" t="n">
        <f aca="false">IFERROR(__xludf.dummyfunction("COUNTA(SPLIT(D140,"" ""))/COUNTA(SPLIT($B$47,"" ""))"),0.00242718446601942)</f>
        <v>0.002427184466</v>
      </c>
      <c r="F140" s="5"/>
      <c r="G140" s="5"/>
      <c r="H140" s="5"/>
      <c r="I140" s="5"/>
      <c r="J140" s="5"/>
      <c r="K140" s="50"/>
      <c r="L140" s="50"/>
      <c r="M140" s="50"/>
      <c r="N140" s="50"/>
      <c r="O140" s="50"/>
      <c r="P140" s="50"/>
      <c r="Q140" s="50"/>
      <c r="R140" s="50"/>
      <c r="S140" s="50"/>
      <c r="T140" s="50"/>
      <c r="U140" s="50"/>
      <c r="V140" s="50"/>
      <c r="W140" s="50"/>
      <c r="X140" s="50"/>
      <c r="Y140" s="50"/>
      <c r="Z140" s="50"/>
      <c r="AA140" s="50"/>
      <c r="AB140" s="50"/>
    </row>
    <row r="141" customFormat="false" ht="15.75" hidden="false" customHeight="false" outlineLevel="0" collapsed="false">
      <c r="A141" s="50"/>
      <c r="B141" s="50"/>
      <c r="C141" s="5"/>
      <c r="D141" s="48"/>
      <c r="E141" s="50"/>
      <c r="F141" s="5"/>
      <c r="G141" s="5"/>
      <c r="H141" s="5"/>
      <c r="I141" s="5"/>
      <c r="J141" s="5"/>
      <c r="K141" s="50"/>
      <c r="L141" s="50"/>
      <c r="M141" s="50"/>
      <c r="N141" s="50"/>
      <c r="O141" s="50"/>
      <c r="P141" s="50"/>
      <c r="Q141" s="50"/>
      <c r="R141" s="50"/>
      <c r="S141" s="50"/>
      <c r="T141" s="50"/>
      <c r="U141" s="50"/>
      <c r="V141" s="50"/>
      <c r="W141" s="50"/>
      <c r="X141" s="50"/>
      <c r="Y141" s="50"/>
      <c r="Z141" s="50"/>
      <c r="AA141" s="50"/>
      <c r="AB141" s="50"/>
    </row>
    <row r="142" customFormat="false" ht="15.75" hidden="false" customHeight="false" outlineLevel="0" collapsed="false">
      <c r="A142" s="71"/>
      <c r="B142" s="54"/>
      <c r="C142" s="55" t="s">
        <v>18</v>
      </c>
      <c r="D142" s="56"/>
      <c r="E142" s="72" t="n">
        <f aca="false">IFERROR(__xludf.dummyfunction("COUNTA(SPLIT(D142,"" ""))/COUNTA(SPLIT($B$47,"" ""))"),0.00242718446601942)</f>
        <v>0.002427184466</v>
      </c>
      <c r="F142" s="55"/>
      <c r="G142" s="55"/>
      <c r="H142" s="55"/>
      <c r="I142" s="55"/>
      <c r="J142" s="55"/>
      <c r="K142" s="58"/>
      <c r="L142" s="58"/>
      <c r="M142" s="58"/>
      <c r="N142" s="58"/>
      <c r="O142" s="58"/>
      <c r="P142" s="58"/>
      <c r="Q142" s="58"/>
      <c r="R142" s="58"/>
      <c r="S142" s="58"/>
      <c r="T142" s="58"/>
      <c r="U142" s="58"/>
      <c r="V142" s="58"/>
      <c r="W142" s="58"/>
      <c r="X142" s="58"/>
      <c r="Y142" s="58"/>
      <c r="Z142" s="58"/>
      <c r="AA142" s="58"/>
      <c r="AB142" s="58"/>
    </row>
    <row r="143" customFormat="false" ht="15.75" hidden="false" customHeight="false" outlineLevel="0" collapsed="false">
      <c r="A143" s="71"/>
      <c r="B143" s="71"/>
      <c r="C143" s="5" t="s">
        <v>19</v>
      </c>
      <c r="D143" s="48"/>
      <c r="E143" s="73" t="n">
        <f aca="false">IFERROR(__xludf.dummyfunction("COUNTA(SPLIT(D143,"" ""))/COUNTA(SPLIT($B$47,"" ""))"),0.00242718446601942)</f>
        <v>0.002427184466</v>
      </c>
      <c r="F143" s="5"/>
      <c r="G143" s="5"/>
      <c r="H143" s="5"/>
      <c r="I143" s="5"/>
      <c r="J143" s="5"/>
      <c r="K143" s="50"/>
      <c r="L143" s="50"/>
      <c r="M143" s="50"/>
      <c r="N143" s="50"/>
      <c r="O143" s="50"/>
      <c r="P143" s="50"/>
      <c r="Q143" s="50"/>
      <c r="R143" s="50"/>
      <c r="S143" s="50"/>
      <c r="T143" s="50"/>
      <c r="U143" s="50"/>
      <c r="V143" s="50"/>
      <c r="W143" s="50"/>
      <c r="X143" s="50"/>
      <c r="Y143" s="50"/>
      <c r="Z143" s="50"/>
      <c r="AA143" s="50"/>
      <c r="AB143" s="50"/>
    </row>
    <row r="144" customFormat="false" ht="15.75" hidden="false" customHeight="false" outlineLevel="0" collapsed="false">
      <c r="A144" s="71"/>
      <c r="B144" s="71"/>
      <c r="C144" s="5" t="s">
        <v>8</v>
      </c>
      <c r="D144" s="48"/>
      <c r="E144" s="74" t="n">
        <f aca="false">IFERROR(__xludf.dummyfunction("COUNTA(SPLIT(D144,"" ""))/COUNTA(SPLIT($B$47,"" ""))"),0.00242718446601942)</f>
        <v>0.002427184466</v>
      </c>
      <c r="F144" s="5"/>
      <c r="G144" s="5"/>
      <c r="H144" s="5"/>
      <c r="I144" s="5"/>
      <c r="J144" s="5"/>
      <c r="K144" s="50"/>
      <c r="L144" s="50"/>
      <c r="M144" s="50"/>
      <c r="N144" s="50"/>
      <c r="O144" s="50"/>
      <c r="P144" s="50"/>
      <c r="Q144" s="50"/>
      <c r="R144" s="50"/>
      <c r="S144" s="50"/>
      <c r="T144" s="50"/>
      <c r="U144" s="50"/>
      <c r="V144" s="50"/>
      <c r="W144" s="50"/>
      <c r="X144" s="50"/>
      <c r="Y144" s="50"/>
      <c r="Z144" s="50"/>
      <c r="AA144" s="50"/>
      <c r="AB144" s="50"/>
    </row>
    <row r="145" customFormat="false" ht="15.75" hidden="false" customHeight="false" outlineLevel="0" collapsed="false">
      <c r="A145" s="71"/>
      <c r="B145" s="71"/>
      <c r="C145" s="5" t="s">
        <v>20</v>
      </c>
      <c r="D145" s="48"/>
      <c r="E145" s="75" t="n">
        <f aca="false">IFERROR(__xludf.dummyfunction("COUNTA(SPLIT(D145,"" ""))/COUNTA(SPLIT($B$47,"" ""))"),0.00242718446601942)</f>
        <v>0.002427184466</v>
      </c>
      <c r="F145" s="5"/>
      <c r="G145" s="5"/>
      <c r="H145" s="5"/>
      <c r="I145" s="5"/>
      <c r="J145" s="5"/>
      <c r="K145" s="50"/>
      <c r="L145" s="50"/>
      <c r="M145" s="50"/>
      <c r="N145" s="50"/>
      <c r="O145" s="50"/>
      <c r="P145" s="50"/>
      <c r="Q145" s="50"/>
      <c r="R145" s="50"/>
      <c r="S145" s="50"/>
      <c r="T145" s="50"/>
      <c r="U145" s="50"/>
      <c r="V145" s="50"/>
      <c r="W145" s="50"/>
      <c r="X145" s="50"/>
      <c r="Y145" s="50"/>
      <c r="Z145" s="50"/>
      <c r="AA145" s="50"/>
      <c r="AB145" s="50"/>
    </row>
    <row r="146" customFormat="false" ht="15.75" hidden="false" customHeight="false" outlineLevel="0" collapsed="false">
      <c r="A146" s="50"/>
      <c r="B146" s="50"/>
      <c r="C146" s="5"/>
      <c r="D146" s="48"/>
      <c r="E146" s="50"/>
      <c r="F146" s="5"/>
      <c r="G146" s="5"/>
      <c r="H146" s="5"/>
      <c r="I146" s="5"/>
      <c r="J146" s="5"/>
      <c r="K146" s="50"/>
      <c r="L146" s="50"/>
      <c r="M146" s="50"/>
      <c r="N146" s="50"/>
      <c r="O146" s="50"/>
      <c r="P146" s="50"/>
      <c r="Q146" s="50"/>
      <c r="R146" s="50"/>
      <c r="S146" s="50"/>
      <c r="T146" s="50"/>
      <c r="U146" s="50"/>
      <c r="V146" s="50"/>
      <c r="W146" s="50"/>
      <c r="X146" s="50"/>
      <c r="Y146" s="50"/>
      <c r="Z146" s="50"/>
      <c r="AA146" s="50"/>
      <c r="AB146" s="50"/>
    </row>
    <row r="147" customFormat="false" ht="15.75" hidden="false" customHeight="false" outlineLevel="0" collapsed="false">
      <c r="A147" s="71"/>
      <c r="B147" s="54"/>
      <c r="C147" s="55" t="s">
        <v>18</v>
      </c>
      <c r="D147" s="56"/>
      <c r="E147" s="72" t="n">
        <f aca="false">IFERROR(__xludf.dummyfunction("COUNTA(SPLIT(D147,"" ""))/COUNTA(SPLIT($B$47,"" ""))"),0.00242718446601942)</f>
        <v>0.002427184466</v>
      </c>
      <c r="F147" s="55"/>
      <c r="G147" s="55"/>
      <c r="H147" s="55"/>
      <c r="I147" s="55"/>
      <c r="J147" s="55"/>
      <c r="K147" s="58"/>
      <c r="L147" s="58"/>
      <c r="M147" s="58"/>
      <c r="N147" s="58"/>
      <c r="O147" s="58"/>
      <c r="P147" s="58"/>
      <c r="Q147" s="58"/>
      <c r="R147" s="58"/>
      <c r="S147" s="58"/>
      <c r="T147" s="58"/>
      <c r="U147" s="58"/>
      <c r="V147" s="58"/>
      <c r="W147" s="58"/>
      <c r="X147" s="58"/>
      <c r="Y147" s="58"/>
      <c r="Z147" s="58"/>
      <c r="AA147" s="58"/>
      <c r="AB147" s="58"/>
    </row>
    <row r="148" customFormat="false" ht="15.75" hidden="false" customHeight="false" outlineLevel="0" collapsed="false">
      <c r="A148" s="71"/>
      <c r="B148" s="71"/>
      <c r="C148" s="5" t="s">
        <v>19</v>
      </c>
      <c r="D148" s="48"/>
      <c r="E148" s="73" t="n">
        <f aca="false">IFERROR(__xludf.dummyfunction("COUNTA(SPLIT(D148,"" ""))/COUNTA(SPLIT($B$47,"" ""))"),0.00242718446601942)</f>
        <v>0.002427184466</v>
      </c>
      <c r="F148" s="5"/>
      <c r="G148" s="5"/>
      <c r="H148" s="5"/>
      <c r="I148" s="5"/>
      <c r="J148" s="5"/>
      <c r="K148" s="50"/>
      <c r="L148" s="50"/>
      <c r="M148" s="50"/>
      <c r="N148" s="50"/>
      <c r="O148" s="50"/>
      <c r="P148" s="50"/>
      <c r="Q148" s="50"/>
      <c r="R148" s="50"/>
      <c r="S148" s="50"/>
      <c r="T148" s="50"/>
      <c r="U148" s="50"/>
      <c r="V148" s="50"/>
      <c r="W148" s="50"/>
      <c r="X148" s="50"/>
      <c r="Y148" s="50"/>
      <c r="Z148" s="50"/>
      <c r="AA148" s="50"/>
      <c r="AB148" s="50"/>
    </row>
    <row r="149" customFormat="false" ht="15.75" hidden="false" customHeight="false" outlineLevel="0" collapsed="false">
      <c r="A149" s="71"/>
      <c r="B149" s="71"/>
      <c r="C149" s="5" t="s">
        <v>8</v>
      </c>
      <c r="D149" s="48"/>
      <c r="E149" s="74" t="n">
        <f aca="false">IFERROR(__xludf.dummyfunction("COUNTA(SPLIT(D149,"" ""))/COUNTA(SPLIT($B$47,"" ""))"),0.00242718446601942)</f>
        <v>0.002427184466</v>
      </c>
      <c r="F149" s="5"/>
      <c r="G149" s="5"/>
      <c r="H149" s="5"/>
      <c r="I149" s="5"/>
      <c r="J149" s="5"/>
      <c r="K149" s="50"/>
      <c r="L149" s="50"/>
      <c r="M149" s="50"/>
      <c r="N149" s="50"/>
      <c r="O149" s="50"/>
      <c r="P149" s="50"/>
      <c r="Q149" s="50"/>
      <c r="R149" s="50"/>
      <c r="S149" s="50"/>
      <c r="T149" s="50"/>
      <c r="U149" s="50"/>
      <c r="V149" s="50"/>
      <c r="W149" s="50"/>
      <c r="X149" s="50"/>
      <c r="Y149" s="50"/>
      <c r="Z149" s="50"/>
      <c r="AA149" s="50"/>
      <c r="AB149" s="50"/>
    </row>
    <row r="150" customFormat="false" ht="15.75" hidden="false" customHeight="false" outlineLevel="0" collapsed="false">
      <c r="A150" s="71"/>
      <c r="B150" s="71"/>
      <c r="C150" s="5" t="s">
        <v>20</v>
      </c>
      <c r="D150" s="48"/>
      <c r="E150" s="75" t="n">
        <f aca="false">IFERROR(__xludf.dummyfunction("COUNTA(SPLIT(D150,"" ""))/COUNTA(SPLIT($B$47,"" ""))"),0.00242718446601942)</f>
        <v>0.002427184466</v>
      </c>
      <c r="F150" s="5"/>
      <c r="G150" s="5"/>
      <c r="H150" s="5"/>
      <c r="I150" s="5"/>
      <c r="J150" s="5"/>
      <c r="K150" s="50"/>
      <c r="L150" s="50"/>
      <c r="M150" s="50"/>
      <c r="N150" s="50"/>
      <c r="O150" s="50"/>
      <c r="P150" s="50"/>
      <c r="Q150" s="50"/>
      <c r="R150" s="50"/>
      <c r="S150" s="50"/>
      <c r="T150" s="50"/>
      <c r="U150" s="50"/>
      <c r="V150" s="50"/>
      <c r="W150" s="50"/>
      <c r="X150" s="50"/>
      <c r="Y150" s="50"/>
      <c r="Z150" s="50"/>
      <c r="AA150" s="50"/>
      <c r="AB150" s="50"/>
    </row>
    <row r="151" customFormat="false" ht="15.75" hidden="false" customHeight="false" outlineLevel="0" collapsed="false">
      <c r="A151" s="50"/>
      <c r="B151" s="50"/>
      <c r="C151" s="5"/>
      <c r="D151" s="48"/>
      <c r="E151" s="50"/>
      <c r="F151" s="5"/>
      <c r="G151" s="5"/>
      <c r="H151" s="5"/>
      <c r="I151" s="5"/>
      <c r="J151" s="5"/>
      <c r="K151" s="50"/>
      <c r="L151" s="50"/>
      <c r="M151" s="50"/>
      <c r="N151" s="50"/>
      <c r="O151" s="50"/>
      <c r="P151" s="50"/>
      <c r="Q151" s="50"/>
      <c r="R151" s="50"/>
      <c r="S151" s="50"/>
      <c r="T151" s="50"/>
      <c r="U151" s="50"/>
      <c r="V151" s="50"/>
      <c r="W151" s="50"/>
      <c r="X151" s="50"/>
      <c r="Y151" s="50"/>
      <c r="Z151" s="50"/>
      <c r="AA151" s="50"/>
      <c r="AB151" s="50"/>
    </row>
    <row r="152" customFormat="false" ht="15.75" hidden="false" customHeight="false" outlineLevel="0" collapsed="false">
      <c r="A152" s="71"/>
      <c r="B152" s="54"/>
      <c r="C152" s="55" t="s">
        <v>18</v>
      </c>
      <c r="D152" s="56"/>
      <c r="E152" s="72" t="n">
        <f aca="false">IFERROR(__xludf.dummyfunction("COUNTA(SPLIT(D152,"" ""))/COUNTA(SPLIT($B$47,"" ""))"),0.00242718446601942)</f>
        <v>0.002427184466</v>
      </c>
      <c r="F152" s="55"/>
      <c r="G152" s="55"/>
      <c r="H152" s="55"/>
      <c r="I152" s="55"/>
      <c r="J152" s="55"/>
      <c r="K152" s="58"/>
      <c r="L152" s="58"/>
      <c r="M152" s="58"/>
      <c r="N152" s="58"/>
      <c r="O152" s="58"/>
      <c r="P152" s="58"/>
      <c r="Q152" s="58"/>
      <c r="R152" s="58"/>
      <c r="S152" s="58"/>
      <c r="T152" s="58"/>
      <c r="U152" s="58"/>
      <c r="V152" s="58"/>
      <c r="W152" s="58"/>
      <c r="X152" s="58"/>
      <c r="Y152" s="58"/>
      <c r="Z152" s="58"/>
      <c r="AA152" s="58"/>
      <c r="AB152" s="58"/>
    </row>
    <row r="153" customFormat="false" ht="15.75" hidden="false" customHeight="false" outlineLevel="0" collapsed="false">
      <c r="A153" s="71"/>
      <c r="B153" s="71"/>
      <c r="C153" s="5" t="s">
        <v>19</v>
      </c>
      <c r="D153" s="48"/>
      <c r="E153" s="73" t="n">
        <f aca="false">IFERROR(__xludf.dummyfunction("COUNTA(SPLIT(D153,"" ""))/COUNTA(SPLIT($B$47,"" ""))"),0.00242718446601942)</f>
        <v>0.002427184466</v>
      </c>
      <c r="F153" s="5"/>
      <c r="G153" s="5"/>
      <c r="H153" s="5"/>
      <c r="I153" s="5"/>
      <c r="J153" s="5"/>
      <c r="K153" s="50"/>
      <c r="L153" s="50"/>
      <c r="M153" s="50"/>
      <c r="N153" s="50"/>
      <c r="O153" s="50"/>
      <c r="P153" s="50"/>
      <c r="Q153" s="50"/>
      <c r="R153" s="50"/>
      <c r="S153" s="50"/>
      <c r="T153" s="50"/>
      <c r="U153" s="50"/>
      <c r="V153" s="50"/>
      <c r="W153" s="50"/>
      <c r="X153" s="50"/>
      <c r="Y153" s="50"/>
      <c r="Z153" s="50"/>
      <c r="AA153" s="50"/>
      <c r="AB153" s="50"/>
    </row>
    <row r="154" customFormat="false" ht="15.75" hidden="false" customHeight="false" outlineLevel="0" collapsed="false">
      <c r="A154" s="71"/>
      <c r="B154" s="71"/>
      <c r="C154" s="5" t="s">
        <v>8</v>
      </c>
      <c r="D154" s="48"/>
      <c r="E154" s="74" t="n">
        <f aca="false">IFERROR(__xludf.dummyfunction("COUNTA(SPLIT(D154,"" ""))/COUNTA(SPLIT($B$47,"" ""))"),0.00242718446601942)</f>
        <v>0.002427184466</v>
      </c>
      <c r="F154" s="5"/>
      <c r="G154" s="5"/>
      <c r="H154" s="5"/>
      <c r="I154" s="5"/>
      <c r="J154" s="5"/>
      <c r="K154" s="50"/>
      <c r="L154" s="50"/>
      <c r="M154" s="50"/>
      <c r="N154" s="50"/>
      <c r="O154" s="50"/>
      <c r="P154" s="50"/>
      <c r="Q154" s="50"/>
      <c r="R154" s="50"/>
      <c r="S154" s="50"/>
      <c r="T154" s="50"/>
      <c r="U154" s="50"/>
      <c r="V154" s="50"/>
      <c r="W154" s="50"/>
      <c r="X154" s="50"/>
      <c r="Y154" s="50"/>
      <c r="Z154" s="50"/>
      <c r="AA154" s="50"/>
      <c r="AB154" s="50"/>
    </row>
    <row r="155" customFormat="false" ht="15.75" hidden="false" customHeight="false" outlineLevel="0" collapsed="false">
      <c r="A155" s="71"/>
      <c r="B155" s="71"/>
      <c r="C155" s="5" t="s">
        <v>20</v>
      </c>
      <c r="D155" s="48"/>
      <c r="E155" s="75" t="n">
        <f aca="false">IFERROR(__xludf.dummyfunction("COUNTA(SPLIT(D155,"" ""))/COUNTA(SPLIT($B$47,"" ""))"),0.00242718446601942)</f>
        <v>0.002427184466</v>
      </c>
      <c r="F155" s="5"/>
      <c r="G155" s="5"/>
      <c r="H155" s="5"/>
      <c r="I155" s="5"/>
      <c r="J155" s="5"/>
      <c r="K155" s="50"/>
      <c r="L155" s="50"/>
      <c r="M155" s="50"/>
      <c r="N155" s="50"/>
      <c r="O155" s="50"/>
      <c r="P155" s="50"/>
      <c r="Q155" s="50"/>
      <c r="R155" s="50"/>
      <c r="S155" s="50"/>
      <c r="T155" s="50"/>
      <c r="U155" s="50"/>
      <c r="V155" s="50"/>
      <c r="W155" s="50"/>
      <c r="X155" s="50"/>
      <c r="Y155" s="50"/>
      <c r="Z155" s="50"/>
      <c r="AA155" s="50"/>
      <c r="AB155" s="50"/>
    </row>
    <row r="156" customFormat="false" ht="15.75" hidden="false" customHeight="false" outlineLevel="0" collapsed="false">
      <c r="A156" s="50"/>
      <c r="B156" s="50"/>
      <c r="C156" s="5"/>
      <c r="D156" s="48"/>
      <c r="E156" s="50"/>
      <c r="F156" s="5"/>
      <c r="G156" s="5"/>
      <c r="H156" s="5"/>
      <c r="I156" s="5"/>
      <c r="J156" s="5"/>
      <c r="K156" s="50"/>
      <c r="L156" s="50"/>
      <c r="M156" s="50"/>
      <c r="N156" s="50"/>
      <c r="O156" s="50"/>
      <c r="P156" s="50"/>
      <c r="Q156" s="50"/>
      <c r="R156" s="50"/>
      <c r="S156" s="50"/>
      <c r="T156" s="50"/>
      <c r="U156" s="50"/>
      <c r="V156" s="50"/>
      <c r="W156" s="50"/>
      <c r="X156" s="50"/>
      <c r="Y156" s="50"/>
      <c r="Z156" s="50"/>
      <c r="AA156" s="50"/>
      <c r="AB156" s="50"/>
    </row>
    <row r="157" customFormat="false" ht="15.75" hidden="false" customHeight="false" outlineLevel="0" collapsed="false">
      <c r="A157" s="71"/>
      <c r="B157" s="54"/>
      <c r="C157" s="55" t="s">
        <v>18</v>
      </c>
      <c r="D157" s="56"/>
      <c r="E157" s="72" t="n">
        <f aca="false">IFERROR(__xludf.dummyfunction("COUNTA(SPLIT(D157,"" ""))/COUNTA(SPLIT($B$47,"" ""))"),0.00242718446601942)</f>
        <v>0.002427184466</v>
      </c>
      <c r="F157" s="55"/>
      <c r="G157" s="55"/>
      <c r="H157" s="55"/>
      <c r="I157" s="55"/>
      <c r="J157" s="55"/>
      <c r="K157" s="58"/>
      <c r="L157" s="58"/>
      <c r="M157" s="58"/>
      <c r="N157" s="58"/>
      <c r="O157" s="58"/>
      <c r="P157" s="58"/>
      <c r="Q157" s="58"/>
      <c r="R157" s="58"/>
      <c r="S157" s="58"/>
      <c r="T157" s="58"/>
      <c r="U157" s="58"/>
      <c r="V157" s="58"/>
      <c r="W157" s="58"/>
      <c r="X157" s="58"/>
      <c r="Y157" s="58"/>
      <c r="Z157" s="58"/>
      <c r="AA157" s="58"/>
      <c r="AB157" s="58"/>
    </row>
    <row r="158" customFormat="false" ht="15.75" hidden="false" customHeight="false" outlineLevel="0" collapsed="false">
      <c r="A158" s="71"/>
      <c r="B158" s="71"/>
      <c r="C158" s="5" t="s">
        <v>19</v>
      </c>
      <c r="D158" s="48"/>
      <c r="E158" s="73" t="n">
        <f aca="false">IFERROR(__xludf.dummyfunction("COUNTA(SPLIT(D158,"" ""))/COUNTA(SPLIT($B$47,"" ""))"),0.00242718446601942)</f>
        <v>0.002427184466</v>
      </c>
      <c r="F158" s="5"/>
      <c r="G158" s="5"/>
      <c r="H158" s="5"/>
      <c r="I158" s="5"/>
      <c r="J158" s="5"/>
      <c r="K158" s="50"/>
      <c r="L158" s="50"/>
      <c r="M158" s="50"/>
      <c r="N158" s="50"/>
      <c r="O158" s="50"/>
      <c r="P158" s="50"/>
      <c r="Q158" s="50"/>
      <c r="R158" s="50"/>
      <c r="S158" s="50"/>
      <c r="T158" s="50"/>
      <c r="U158" s="50"/>
      <c r="V158" s="50"/>
      <c r="W158" s="50"/>
      <c r="X158" s="50"/>
      <c r="Y158" s="50"/>
      <c r="Z158" s="50"/>
      <c r="AA158" s="50"/>
      <c r="AB158" s="50"/>
    </row>
    <row r="159" customFormat="false" ht="15.75" hidden="false" customHeight="false" outlineLevel="0" collapsed="false">
      <c r="A159" s="71"/>
      <c r="B159" s="71"/>
      <c r="C159" s="5" t="s">
        <v>8</v>
      </c>
      <c r="D159" s="48"/>
      <c r="E159" s="74" t="n">
        <f aca="false">IFERROR(__xludf.dummyfunction("COUNTA(SPLIT(D159,"" ""))/COUNTA(SPLIT($B$47,"" ""))"),0.00242718446601942)</f>
        <v>0.002427184466</v>
      </c>
      <c r="F159" s="5"/>
      <c r="G159" s="5"/>
      <c r="H159" s="5"/>
      <c r="I159" s="5"/>
      <c r="J159" s="5"/>
      <c r="K159" s="50"/>
      <c r="L159" s="50"/>
      <c r="M159" s="50"/>
      <c r="N159" s="50"/>
      <c r="O159" s="50"/>
      <c r="P159" s="50"/>
      <c r="Q159" s="50"/>
      <c r="R159" s="50"/>
      <c r="S159" s="50"/>
      <c r="T159" s="50"/>
      <c r="U159" s="50"/>
      <c r="V159" s="50"/>
      <c r="W159" s="50"/>
      <c r="X159" s="50"/>
      <c r="Y159" s="50"/>
      <c r="Z159" s="50"/>
      <c r="AA159" s="50"/>
      <c r="AB159" s="50"/>
    </row>
    <row r="160" customFormat="false" ht="15.75" hidden="false" customHeight="false" outlineLevel="0" collapsed="false">
      <c r="A160" s="71"/>
      <c r="B160" s="71"/>
      <c r="C160" s="5" t="s">
        <v>20</v>
      </c>
      <c r="D160" s="48"/>
      <c r="E160" s="75" t="n">
        <f aca="false">IFERROR(__xludf.dummyfunction("COUNTA(SPLIT(D160,"" ""))/COUNTA(SPLIT($B$47,"" ""))"),0.00242718446601942)</f>
        <v>0.002427184466</v>
      </c>
      <c r="F160" s="5"/>
      <c r="G160" s="5"/>
      <c r="H160" s="5"/>
      <c r="I160" s="5"/>
      <c r="J160" s="5"/>
      <c r="K160" s="50"/>
      <c r="L160" s="50"/>
      <c r="M160" s="50"/>
      <c r="N160" s="50"/>
      <c r="O160" s="50"/>
      <c r="P160" s="50"/>
      <c r="Q160" s="50"/>
      <c r="R160" s="50"/>
      <c r="S160" s="50"/>
      <c r="T160" s="50"/>
      <c r="U160" s="50"/>
      <c r="V160" s="50"/>
      <c r="W160" s="50"/>
      <c r="X160" s="50"/>
      <c r="Y160" s="50"/>
      <c r="Z160" s="50"/>
      <c r="AA160" s="50"/>
      <c r="AB160" s="50"/>
    </row>
    <row r="161" customFormat="false" ht="15.75" hidden="false" customHeight="false" outlineLevel="0" collapsed="false">
      <c r="A161" s="50"/>
      <c r="B161" s="50"/>
      <c r="C161" s="5"/>
      <c r="D161" s="48"/>
      <c r="E161" s="50"/>
      <c r="F161" s="5"/>
      <c r="G161" s="5"/>
      <c r="H161" s="5"/>
      <c r="I161" s="5"/>
      <c r="J161" s="5"/>
      <c r="K161" s="50"/>
      <c r="L161" s="50"/>
      <c r="M161" s="50"/>
      <c r="N161" s="50"/>
      <c r="O161" s="50"/>
      <c r="P161" s="50"/>
      <c r="Q161" s="50"/>
      <c r="R161" s="50"/>
      <c r="S161" s="50"/>
      <c r="T161" s="50"/>
      <c r="U161" s="50"/>
      <c r="V161" s="50"/>
      <c r="W161" s="50"/>
      <c r="X161" s="50"/>
      <c r="Y161" s="50"/>
      <c r="Z161" s="50"/>
      <c r="AA161" s="50"/>
      <c r="AB161" s="50"/>
    </row>
    <row r="162" customFormat="false" ht="15.75" hidden="false" customHeight="false" outlineLevel="0" collapsed="false">
      <c r="A162" s="71"/>
      <c r="B162" s="54"/>
      <c r="C162" s="55" t="s">
        <v>18</v>
      </c>
      <c r="D162" s="56"/>
      <c r="E162" s="72" t="n">
        <f aca="false">IFERROR(__xludf.dummyfunction("COUNTA(SPLIT(D162,"" ""))/COUNTA(SPLIT($B$47,"" ""))"),0.00242718446601942)</f>
        <v>0.002427184466</v>
      </c>
      <c r="F162" s="55"/>
      <c r="G162" s="55"/>
      <c r="H162" s="55"/>
      <c r="I162" s="55"/>
      <c r="J162" s="55"/>
      <c r="K162" s="58"/>
      <c r="L162" s="58"/>
      <c r="M162" s="58"/>
      <c r="N162" s="58"/>
      <c r="O162" s="58"/>
      <c r="P162" s="58"/>
      <c r="Q162" s="58"/>
      <c r="R162" s="58"/>
      <c r="S162" s="58"/>
      <c r="T162" s="58"/>
      <c r="U162" s="58"/>
      <c r="V162" s="58"/>
      <c r="W162" s="58"/>
      <c r="X162" s="58"/>
      <c r="Y162" s="58"/>
      <c r="Z162" s="58"/>
      <c r="AA162" s="58"/>
      <c r="AB162" s="58"/>
    </row>
    <row r="163" customFormat="false" ht="15.75" hidden="false" customHeight="false" outlineLevel="0" collapsed="false">
      <c r="A163" s="71"/>
      <c r="B163" s="71"/>
      <c r="C163" s="5" t="s">
        <v>19</v>
      </c>
      <c r="D163" s="48"/>
      <c r="E163" s="73" t="n">
        <f aca="false">IFERROR(__xludf.dummyfunction("COUNTA(SPLIT(D163,"" ""))/COUNTA(SPLIT($B$47,"" ""))"),0.00242718446601942)</f>
        <v>0.002427184466</v>
      </c>
      <c r="F163" s="5"/>
      <c r="G163" s="5"/>
      <c r="H163" s="5"/>
      <c r="I163" s="5"/>
      <c r="J163" s="5"/>
      <c r="K163" s="50"/>
      <c r="L163" s="50"/>
      <c r="M163" s="50"/>
      <c r="N163" s="50"/>
      <c r="O163" s="50"/>
      <c r="P163" s="50"/>
      <c r="Q163" s="50"/>
      <c r="R163" s="50"/>
      <c r="S163" s="50"/>
      <c r="T163" s="50"/>
      <c r="U163" s="50"/>
      <c r="V163" s="50"/>
      <c r="W163" s="50"/>
      <c r="X163" s="50"/>
      <c r="Y163" s="50"/>
      <c r="Z163" s="50"/>
      <c r="AA163" s="50"/>
      <c r="AB163" s="50"/>
    </row>
    <row r="164" customFormat="false" ht="15.75" hidden="false" customHeight="false" outlineLevel="0" collapsed="false">
      <c r="A164" s="71"/>
      <c r="B164" s="71"/>
      <c r="C164" s="5" t="s">
        <v>8</v>
      </c>
      <c r="D164" s="48"/>
      <c r="E164" s="74" t="n">
        <f aca="false">IFERROR(__xludf.dummyfunction("COUNTA(SPLIT(D164,"" ""))/COUNTA(SPLIT($B$47,"" ""))"),0.00242718446601942)</f>
        <v>0.002427184466</v>
      </c>
      <c r="F164" s="5"/>
      <c r="G164" s="5"/>
      <c r="H164" s="5"/>
      <c r="I164" s="5"/>
      <c r="J164" s="5"/>
      <c r="K164" s="50"/>
      <c r="L164" s="50"/>
      <c r="M164" s="50"/>
      <c r="N164" s="50"/>
      <c r="O164" s="50"/>
      <c r="P164" s="50"/>
      <c r="Q164" s="50"/>
      <c r="R164" s="50"/>
      <c r="S164" s="50"/>
      <c r="T164" s="50"/>
      <c r="U164" s="50"/>
      <c r="V164" s="50"/>
      <c r="W164" s="50"/>
      <c r="X164" s="50"/>
      <c r="Y164" s="50"/>
      <c r="Z164" s="50"/>
      <c r="AA164" s="50"/>
      <c r="AB164" s="50"/>
    </row>
    <row r="165" customFormat="false" ht="15.75" hidden="false" customHeight="false" outlineLevel="0" collapsed="false">
      <c r="A165" s="71"/>
      <c r="B165" s="71"/>
      <c r="C165" s="5" t="s">
        <v>20</v>
      </c>
      <c r="D165" s="48"/>
      <c r="E165" s="75" t="n">
        <f aca="false">IFERROR(__xludf.dummyfunction("COUNTA(SPLIT(D165,"" ""))/COUNTA(SPLIT($B$47,"" ""))"),0.00242718446601942)</f>
        <v>0.002427184466</v>
      </c>
      <c r="F165" s="5"/>
      <c r="G165" s="5"/>
      <c r="H165" s="5"/>
      <c r="I165" s="5"/>
      <c r="J165" s="5"/>
      <c r="K165" s="50"/>
      <c r="L165" s="50"/>
      <c r="M165" s="50"/>
      <c r="N165" s="50"/>
      <c r="O165" s="50"/>
      <c r="P165" s="50"/>
      <c r="Q165" s="50"/>
      <c r="R165" s="50"/>
      <c r="S165" s="50"/>
      <c r="T165" s="50"/>
      <c r="U165" s="50"/>
      <c r="V165" s="50"/>
      <c r="W165" s="50"/>
      <c r="X165" s="50"/>
      <c r="Y165" s="50"/>
      <c r="Z165" s="50"/>
      <c r="AA165" s="50"/>
      <c r="AB165" s="50"/>
    </row>
    <row r="166" customFormat="false" ht="15.75" hidden="false" customHeight="false" outlineLevel="0" collapsed="false">
      <c r="A166" s="50"/>
      <c r="B166" s="50"/>
      <c r="C166" s="5"/>
      <c r="D166" s="48"/>
      <c r="E166" s="50"/>
      <c r="F166" s="5"/>
      <c r="G166" s="5"/>
      <c r="H166" s="5"/>
      <c r="I166" s="5"/>
      <c r="J166" s="5"/>
      <c r="K166" s="50"/>
      <c r="L166" s="50"/>
      <c r="M166" s="50"/>
      <c r="N166" s="50"/>
      <c r="O166" s="50"/>
      <c r="P166" s="50"/>
      <c r="Q166" s="50"/>
      <c r="R166" s="50"/>
      <c r="S166" s="50"/>
      <c r="T166" s="50"/>
      <c r="U166" s="50"/>
      <c r="V166" s="50"/>
      <c r="W166" s="50"/>
      <c r="X166" s="50"/>
      <c r="Y166" s="50"/>
      <c r="Z166" s="50"/>
      <c r="AA166" s="50"/>
      <c r="AB166" s="50"/>
    </row>
    <row r="167" customFormat="false" ht="15.75" hidden="false" customHeight="false" outlineLevel="0" collapsed="false">
      <c r="A167" s="50"/>
      <c r="B167" s="50"/>
      <c r="C167" s="5"/>
      <c r="D167" s="48"/>
      <c r="E167" s="50"/>
      <c r="F167" s="5"/>
      <c r="G167" s="5"/>
      <c r="H167" s="5"/>
      <c r="I167" s="5"/>
      <c r="J167" s="5"/>
      <c r="K167" s="50"/>
      <c r="L167" s="50"/>
      <c r="M167" s="50"/>
      <c r="N167" s="50"/>
      <c r="O167" s="50"/>
      <c r="P167" s="50"/>
      <c r="Q167" s="50"/>
      <c r="R167" s="50"/>
      <c r="S167" s="50"/>
      <c r="T167" s="50"/>
      <c r="U167" s="50"/>
      <c r="V167" s="50"/>
      <c r="W167" s="50"/>
      <c r="X167" s="50"/>
      <c r="Y167" s="50"/>
      <c r="Z167" s="50"/>
      <c r="AA167" s="50"/>
      <c r="AB167" s="50"/>
    </row>
    <row r="168" customFormat="false" ht="15.75" hidden="false" customHeight="false" outlineLevel="0" collapsed="false">
      <c r="A168" s="50"/>
      <c r="B168" s="50"/>
      <c r="C168" s="5"/>
      <c r="D168" s="48"/>
      <c r="E168" s="50"/>
      <c r="F168" s="5"/>
      <c r="G168" s="5"/>
      <c r="H168" s="5"/>
      <c r="I168" s="5"/>
      <c r="J168" s="5"/>
      <c r="K168" s="50"/>
      <c r="L168" s="50"/>
      <c r="M168" s="50"/>
      <c r="N168" s="50"/>
      <c r="O168" s="50"/>
      <c r="P168" s="50"/>
      <c r="Q168" s="50"/>
      <c r="R168" s="50"/>
      <c r="S168" s="50"/>
      <c r="T168" s="50"/>
      <c r="U168" s="50"/>
      <c r="V168" s="50"/>
      <c r="W168" s="50"/>
      <c r="X168" s="50"/>
      <c r="Y168" s="50"/>
      <c r="Z168" s="50"/>
      <c r="AA168" s="50"/>
      <c r="AB168" s="50"/>
    </row>
    <row r="169" customFormat="false" ht="15.75" hidden="false" customHeight="false" outlineLevel="0" collapsed="false">
      <c r="A169" s="50"/>
      <c r="B169" s="50"/>
      <c r="C169" s="5"/>
      <c r="D169" s="48"/>
      <c r="E169" s="50"/>
      <c r="F169" s="5"/>
      <c r="G169" s="5"/>
      <c r="H169" s="5"/>
      <c r="I169" s="5"/>
      <c r="J169" s="5"/>
      <c r="K169" s="50"/>
      <c r="L169" s="50"/>
      <c r="M169" s="50"/>
      <c r="N169" s="50"/>
      <c r="O169" s="50"/>
      <c r="P169" s="50"/>
      <c r="Q169" s="50"/>
      <c r="R169" s="50"/>
      <c r="S169" s="50"/>
      <c r="T169" s="50"/>
      <c r="U169" s="50"/>
      <c r="V169" s="50"/>
      <c r="W169" s="50"/>
      <c r="X169" s="50"/>
      <c r="Y169" s="50"/>
      <c r="Z169" s="50"/>
      <c r="AA169" s="50"/>
      <c r="AB169" s="50"/>
    </row>
    <row r="170" customFormat="false" ht="15.75" hidden="false" customHeight="false" outlineLevel="0" collapsed="false">
      <c r="A170" s="50"/>
      <c r="B170" s="50"/>
      <c r="C170" s="5"/>
      <c r="D170" s="48"/>
      <c r="E170" s="50"/>
      <c r="F170" s="5"/>
      <c r="G170" s="5"/>
      <c r="H170" s="5"/>
      <c r="I170" s="5"/>
      <c r="J170" s="5"/>
      <c r="K170" s="50"/>
      <c r="L170" s="50"/>
      <c r="M170" s="50"/>
      <c r="N170" s="50"/>
      <c r="O170" s="50"/>
      <c r="P170" s="50"/>
      <c r="Q170" s="50"/>
      <c r="R170" s="50"/>
      <c r="S170" s="50"/>
      <c r="T170" s="50"/>
      <c r="U170" s="50"/>
      <c r="V170" s="50"/>
      <c r="W170" s="50"/>
      <c r="X170" s="50"/>
      <c r="Y170" s="50"/>
      <c r="Z170" s="50"/>
      <c r="AA170" s="50"/>
      <c r="AB170" s="50"/>
    </row>
    <row r="171" customFormat="false" ht="15.75" hidden="false" customHeight="false" outlineLevel="0" collapsed="false">
      <c r="A171" s="50"/>
      <c r="B171" s="50"/>
      <c r="C171" s="5"/>
      <c r="D171" s="48"/>
      <c r="E171" s="50"/>
      <c r="F171" s="5"/>
      <c r="G171" s="5"/>
      <c r="H171" s="5"/>
      <c r="I171" s="5"/>
      <c r="J171" s="5"/>
      <c r="K171" s="50"/>
      <c r="L171" s="50"/>
      <c r="M171" s="50"/>
      <c r="N171" s="50"/>
      <c r="O171" s="50"/>
      <c r="P171" s="50"/>
      <c r="Q171" s="50"/>
      <c r="R171" s="50"/>
      <c r="S171" s="50"/>
      <c r="T171" s="50"/>
      <c r="U171" s="50"/>
      <c r="V171" s="50"/>
      <c r="W171" s="50"/>
      <c r="X171" s="50"/>
      <c r="Y171" s="50"/>
      <c r="Z171" s="50"/>
      <c r="AA171" s="50"/>
      <c r="AB171" s="50"/>
    </row>
    <row r="172" customFormat="false" ht="15.75" hidden="false" customHeight="false" outlineLevel="0" collapsed="false">
      <c r="A172" s="50"/>
      <c r="B172" s="50"/>
      <c r="C172" s="5"/>
      <c r="D172" s="48"/>
      <c r="E172" s="50"/>
      <c r="F172" s="5"/>
      <c r="G172" s="5"/>
      <c r="H172" s="5"/>
      <c r="I172" s="5"/>
      <c r="J172" s="5"/>
      <c r="K172" s="50"/>
      <c r="L172" s="50"/>
      <c r="M172" s="50"/>
      <c r="N172" s="50"/>
      <c r="O172" s="50"/>
      <c r="P172" s="50"/>
      <c r="Q172" s="50"/>
      <c r="R172" s="50"/>
      <c r="S172" s="50"/>
      <c r="T172" s="50"/>
      <c r="U172" s="50"/>
      <c r="V172" s="50"/>
      <c r="W172" s="50"/>
      <c r="X172" s="50"/>
      <c r="Y172" s="50"/>
      <c r="Z172" s="50"/>
      <c r="AA172" s="50"/>
      <c r="AB172" s="50"/>
    </row>
    <row r="173" customFormat="false" ht="15.75" hidden="false" customHeight="false" outlineLevel="0" collapsed="false">
      <c r="A173" s="50"/>
      <c r="B173" s="50"/>
      <c r="C173" s="5"/>
      <c r="D173" s="48"/>
      <c r="E173" s="50"/>
      <c r="F173" s="5"/>
      <c r="G173" s="5"/>
      <c r="H173" s="5"/>
      <c r="I173" s="5"/>
      <c r="J173" s="5"/>
      <c r="K173" s="50"/>
      <c r="L173" s="50"/>
      <c r="M173" s="50"/>
      <c r="N173" s="50"/>
      <c r="O173" s="50"/>
      <c r="P173" s="50"/>
      <c r="Q173" s="50"/>
      <c r="R173" s="50"/>
      <c r="S173" s="50"/>
      <c r="T173" s="50"/>
      <c r="U173" s="50"/>
      <c r="V173" s="50"/>
      <c r="W173" s="50"/>
      <c r="X173" s="50"/>
      <c r="Y173" s="50"/>
      <c r="Z173" s="50"/>
      <c r="AA173" s="50"/>
      <c r="AB173" s="50"/>
    </row>
    <row r="174" customFormat="false" ht="15.75" hidden="false" customHeight="false" outlineLevel="0" collapsed="false">
      <c r="A174" s="50"/>
      <c r="B174" s="50"/>
      <c r="C174" s="5"/>
      <c r="D174" s="48"/>
      <c r="E174" s="50"/>
      <c r="F174" s="5"/>
      <c r="G174" s="5"/>
      <c r="H174" s="5"/>
      <c r="I174" s="5"/>
      <c r="J174" s="5"/>
      <c r="K174" s="50"/>
      <c r="L174" s="50"/>
      <c r="M174" s="50"/>
      <c r="N174" s="50"/>
      <c r="O174" s="50"/>
      <c r="P174" s="50"/>
      <c r="Q174" s="50"/>
      <c r="R174" s="50"/>
      <c r="S174" s="50"/>
      <c r="T174" s="50"/>
      <c r="U174" s="50"/>
      <c r="V174" s="50"/>
      <c r="W174" s="50"/>
      <c r="X174" s="50"/>
      <c r="Y174" s="50"/>
      <c r="Z174" s="50"/>
      <c r="AA174" s="50"/>
      <c r="AB174" s="50"/>
    </row>
    <row r="175" customFormat="false" ht="15.75" hidden="false" customHeight="false" outlineLevel="0" collapsed="false">
      <c r="A175" s="50"/>
      <c r="B175" s="50"/>
      <c r="C175" s="5"/>
      <c r="D175" s="48"/>
      <c r="E175" s="50"/>
      <c r="F175" s="5"/>
      <c r="G175" s="5"/>
      <c r="H175" s="5"/>
      <c r="I175" s="5"/>
      <c r="J175" s="5"/>
      <c r="K175" s="50"/>
      <c r="L175" s="50"/>
      <c r="M175" s="50"/>
      <c r="N175" s="50"/>
      <c r="O175" s="50"/>
      <c r="P175" s="50"/>
      <c r="Q175" s="50"/>
      <c r="R175" s="50"/>
      <c r="S175" s="50"/>
      <c r="T175" s="50"/>
      <c r="U175" s="50"/>
      <c r="V175" s="50"/>
      <c r="W175" s="50"/>
      <c r="X175" s="50"/>
      <c r="Y175" s="50"/>
      <c r="Z175" s="50"/>
      <c r="AA175" s="50"/>
      <c r="AB175" s="50"/>
    </row>
    <row r="176" customFormat="false" ht="15.75" hidden="false" customHeight="false" outlineLevel="0" collapsed="false">
      <c r="A176" s="50"/>
      <c r="B176" s="50"/>
      <c r="C176" s="5"/>
      <c r="D176" s="48"/>
      <c r="E176" s="50"/>
      <c r="F176" s="5"/>
      <c r="G176" s="5"/>
      <c r="H176" s="5"/>
      <c r="I176" s="5"/>
      <c r="J176" s="5"/>
      <c r="K176" s="50"/>
      <c r="L176" s="50"/>
      <c r="M176" s="50"/>
      <c r="N176" s="50"/>
      <c r="O176" s="50"/>
      <c r="P176" s="50"/>
      <c r="Q176" s="50"/>
      <c r="R176" s="50"/>
      <c r="S176" s="50"/>
      <c r="T176" s="50"/>
      <c r="U176" s="50"/>
      <c r="V176" s="50"/>
      <c r="W176" s="50"/>
      <c r="X176" s="50"/>
      <c r="Y176" s="50"/>
      <c r="Z176" s="50"/>
      <c r="AA176" s="50"/>
      <c r="AB176" s="50"/>
    </row>
    <row r="177" customFormat="false" ht="15.75" hidden="false" customHeight="false" outlineLevel="0" collapsed="false">
      <c r="A177" s="50"/>
      <c r="B177" s="50"/>
      <c r="C177" s="5"/>
      <c r="D177" s="48"/>
      <c r="E177" s="50"/>
      <c r="F177" s="5"/>
      <c r="G177" s="5"/>
      <c r="H177" s="5"/>
      <c r="I177" s="5"/>
      <c r="J177" s="5"/>
      <c r="K177" s="50"/>
      <c r="L177" s="50"/>
      <c r="M177" s="50"/>
      <c r="N177" s="50"/>
      <c r="O177" s="50"/>
      <c r="P177" s="50"/>
      <c r="Q177" s="50"/>
      <c r="R177" s="50"/>
      <c r="S177" s="50"/>
      <c r="T177" s="50"/>
      <c r="U177" s="50"/>
      <c r="V177" s="50"/>
      <c r="W177" s="50"/>
      <c r="X177" s="50"/>
      <c r="Y177" s="50"/>
      <c r="Z177" s="50"/>
      <c r="AA177" s="50"/>
      <c r="AB177" s="50"/>
    </row>
    <row r="178" customFormat="false" ht="15.75" hidden="false" customHeight="false" outlineLevel="0" collapsed="false">
      <c r="A178" s="50"/>
      <c r="B178" s="50"/>
      <c r="C178" s="5"/>
      <c r="D178" s="48"/>
      <c r="E178" s="50"/>
      <c r="F178" s="5"/>
      <c r="G178" s="5"/>
      <c r="H178" s="5"/>
      <c r="I178" s="5"/>
      <c r="J178" s="5"/>
      <c r="K178" s="50"/>
      <c r="L178" s="50"/>
      <c r="M178" s="50"/>
      <c r="N178" s="50"/>
      <c r="O178" s="50"/>
      <c r="P178" s="50"/>
      <c r="Q178" s="50"/>
      <c r="R178" s="50"/>
      <c r="S178" s="50"/>
      <c r="T178" s="50"/>
      <c r="U178" s="50"/>
      <c r="V178" s="50"/>
      <c r="W178" s="50"/>
      <c r="X178" s="50"/>
      <c r="Y178" s="50"/>
      <c r="Z178" s="50"/>
      <c r="AA178" s="50"/>
      <c r="AB178" s="50"/>
    </row>
    <row r="179" customFormat="false" ht="15.75" hidden="false" customHeight="false" outlineLevel="0" collapsed="false">
      <c r="A179" s="50"/>
      <c r="B179" s="50"/>
      <c r="C179" s="5"/>
      <c r="D179" s="48"/>
      <c r="E179" s="50"/>
      <c r="F179" s="5"/>
      <c r="G179" s="5"/>
      <c r="H179" s="5"/>
      <c r="I179" s="5"/>
      <c r="J179" s="5"/>
      <c r="K179" s="50"/>
      <c r="L179" s="50"/>
      <c r="M179" s="50"/>
      <c r="N179" s="50"/>
      <c r="O179" s="50"/>
      <c r="P179" s="50"/>
      <c r="Q179" s="50"/>
      <c r="R179" s="50"/>
      <c r="S179" s="50"/>
      <c r="T179" s="50"/>
      <c r="U179" s="50"/>
      <c r="V179" s="50"/>
      <c r="W179" s="50"/>
      <c r="X179" s="50"/>
      <c r="Y179" s="50"/>
      <c r="Z179" s="50"/>
      <c r="AA179" s="50"/>
      <c r="AB179" s="50"/>
    </row>
    <row r="180" customFormat="false" ht="15.75" hidden="false" customHeight="false" outlineLevel="0" collapsed="false">
      <c r="A180" s="50"/>
      <c r="B180" s="50"/>
      <c r="C180" s="5"/>
      <c r="D180" s="48"/>
      <c r="E180" s="50"/>
      <c r="F180" s="5"/>
      <c r="G180" s="5"/>
      <c r="H180" s="5"/>
      <c r="I180" s="5"/>
      <c r="J180" s="5"/>
      <c r="K180" s="50"/>
      <c r="L180" s="50"/>
      <c r="M180" s="50"/>
      <c r="N180" s="50"/>
      <c r="O180" s="50"/>
      <c r="P180" s="50"/>
      <c r="Q180" s="50"/>
      <c r="R180" s="50"/>
      <c r="S180" s="50"/>
      <c r="T180" s="50"/>
      <c r="U180" s="50"/>
      <c r="V180" s="50"/>
      <c r="W180" s="50"/>
      <c r="X180" s="50"/>
      <c r="Y180" s="50"/>
      <c r="Z180" s="50"/>
      <c r="AA180" s="50"/>
      <c r="AB180" s="50"/>
    </row>
    <row r="181" customFormat="false" ht="15.75" hidden="false" customHeight="false" outlineLevel="0" collapsed="false">
      <c r="A181" s="50"/>
      <c r="B181" s="50"/>
      <c r="C181" s="5"/>
      <c r="D181" s="48"/>
      <c r="E181" s="50"/>
      <c r="F181" s="5"/>
      <c r="G181" s="5"/>
      <c r="H181" s="5"/>
      <c r="I181" s="5"/>
      <c r="J181" s="5"/>
      <c r="K181" s="50"/>
      <c r="L181" s="50"/>
      <c r="M181" s="50"/>
      <c r="N181" s="50"/>
      <c r="O181" s="50"/>
      <c r="P181" s="50"/>
      <c r="Q181" s="50"/>
      <c r="R181" s="50"/>
      <c r="S181" s="50"/>
      <c r="T181" s="50"/>
      <c r="U181" s="50"/>
      <c r="V181" s="50"/>
      <c r="W181" s="50"/>
      <c r="X181" s="50"/>
      <c r="Y181" s="50"/>
      <c r="Z181" s="50"/>
      <c r="AA181" s="50"/>
      <c r="AB181" s="50"/>
    </row>
    <row r="182" customFormat="false" ht="15.75" hidden="false" customHeight="false" outlineLevel="0" collapsed="false">
      <c r="A182" s="50"/>
      <c r="B182" s="50"/>
      <c r="C182" s="5"/>
      <c r="D182" s="48"/>
      <c r="E182" s="50"/>
      <c r="F182" s="5"/>
      <c r="G182" s="5"/>
      <c r="H182" s="5"/>
      <c r="I182" s="5"/>
      <c r="J182" s="5"/>
      <c r="K182" s="50"/>
      <c r="L182" s="50"/>
      <c r="M182" s="50"/>
      <c r="N182" s="50"/>
      <c r="O182" s="50"/>
      <c r="P182" s="50"/>
      <c r="Q182" s="50"/>
      <c r="R182" s="50"/>
      <c r="S182" s="50"/>
      <c r="T182" s="50"/>
      <c r="U182" s="50"/>
      <c r="V182" s="50"/>
      <c r="W182" s="50"/>
      <c r="X182" s="50"/>
      <c r="Y182" s="50"/>
      <c r="Z182" s="50"/>
      <c r="AA182" s="50"/>
      <c r="AB182" s="50"/>
    </row>
    <row r="183" customFormat="false" ht="15.75" hidden="false" customHeight="false" outlineLevel="0" collapsed="false">
      <c r="A183" s="50"/>
      <c r="B183" s="50"/>
      <c r="C183" s="5"/>
      <c r="D183" s="48"/>
      <c r="E183" s="50"/>
      <c r="F183" s="5"/>
      <c r="G183" s="5"/>
      <c r="H183" s="5"/>
      <c r="I183" s="5"/>
      <c r="J183" s="5"/>
      <c r="K183" s="50"/>
      <c r="L183" s="50"/>
      <c r="M183" s="50"/>
      <c r="N183" s="50"/>
      <c r="O183" s="50"/>
      <c r="P183" s="50"/>
      <c r="Q183" s="50"/>
      <c r="R183" s="50"/>
      <c r="S183" s="50"/>
      <c r="T183" s="50"/>
      <c r="U183" s="50"/>
      <c r="V183" s="50"/>
      <c r="W183" s="50"/>
      <c r="X183" s="50"/>
      <c r="Y183" s="50"/>
      <c r="Z183" s="50"/>
      <c r="AA183" s="50"/>
      <c r="AB183" s="50"/>
    </row>
    <row r="184" customFormat="false" ht="15.75" hidden="false" customHeight="false" outlineLevel="0" collapsed="false">
      <c r="A184" s="50"/>
      <c r="B184" s="50"/>
      <c r="C184" s="5"/>
      <c r="D184" s="48"/>
      <c r="E184" s="50"/>
      <c r="F184" s="5"/>
      <c r="G184" s="5"/>
      <c r="H184" s="5"/>
      <c r="I184" s="5"/>
      <c r="J184" s="5"/>
      <c r="K184" s="50"/>
      <c r="L184" s="50"/>
      <c r="M184" s="50"/>
      <c r="N184" s="50"/>
      <c r="O184" s="50"/>
      <c r="P184" s="50"/>
      <c r="Q184" s="50"/>
      <c r="R184" s="50"/>
      <c r="S184" s="50"/>
      <c r="T184" s="50"/>
      <c r="U184" s="50"/>
      <c r="V184" s="50"/>
      <c r="W184" s="50"/>
      <c r="X184" s="50"/>
      <c r="Y184" s="50"/>
      <c r="Z184" s="50"/>
      <c r="AA184" s="50"/>
      <c r="AB184" s="50"/>
    </row>
    <row r="185" customFormat="false" ht="15.75" hidden="false" customHeight="false" outlineLevel="0" collapsed="false">
      <c r="A185" s="50"/>
      <c r="B185" s="50"/>
      <c r="C185" s="5"/>
      <c r="D185" s="48"/>
      <c r="E185" s="50"/>
      <c r="F185" s="5"/>
      <c r="G185" s="5"/>
      <c r="H185" s="5"/>
      <c r="I185" s="5"/>
      <c r="J185" s="5"/>
      <c r="K185" s="50"/>
      <c r="L185" s="50"/>
      <c r="M185" s="50"/>
      <c r="N185" s="50"/>
      <c r="O185" s="50"/>
      <c r="P185" s="50"/>
      <c r="Q185" s="50"/>
      <c r="R185" s="50"/>
      <c r="S185" s="50"/>
      <c r="T185" s="50"/>
      <c r="U185" s="50"/>
      <c r="V185" s="50"/>
      <c r="W185" s="50"/>
      <c r="X185" s="50"/>
      <c r="Y185" s="50"/>
      <c r="Z185" s="50"/>
      <c r="AA185" s="50"/>
      <c r="AB185" s="50"/>
    </row>
    <row r="186" customFormat="false" ht="15.75" hidden="false" customHeight="false" outlineLevel="0" collapsed="false">
      <c r="A186" s="50"/>
      <c r="B186" s="50"/>
      <c r="C186" s="5"/>
      <c r="D186" s="48"/>
      <c r="E186" s="50"/>
      <c r="F186" s="5"/>
      <c r="G186" s="5"/>
      <c r="H186" s="5"/>
      <c r="I186" s="5"/>
      <c r="J186" s="5"/>
      <c r="K186" s="50"/>
      <c r="L186" s="50"/>
      <c r="M186" s="50"/>
      <c r="N186" s="50"/>
      <c r="O186" s="50"/>
      <c r="P186" s="50"/>
      <c r="Q186" s="50"/>
      <c r="R186" s="50"/>
      <c r="S186" s="50"/>
      <c r="T186" s="50"/>
      <c r="U186" s="50"/>
      <c r="V186" s="50"/>
      <c r="W186" s="50"/>
      <c r="X186" s="50"/>
      <c r="Y186" s="50"/>
      <c r="Z186" s="50"/>
      <c r="AA186" s="50"/>
      <c r="AB186" s="50"/>
    </row>
    <row r="187" customFormat="false" ht="15.75" hidden="false" customHeight="false" outlineLevel="0" collapsed="false">
      <c r="A187" s="50"/>
      <c r="B187" s="50"/>
      <c r="C187" s="5"/>
      <c r="D187" s="48"/>
      <c r="E187" s="50"/>
      <c r="F187" s="5"/>
      <c r="G187" s="5"/>
      <c r="H187" s="5"/>
      <c r="I187" s="5"/>
      <c r="J187" s="5"/>
      <c r="K187" s="50"/>
      <c r="L187" s="50"/>
      <c r="M187" s="50"/>
      <c r="N187" s="50"/>
      <c r="O187" s="50"/>
      <c r="P187" s="50"/>
      <c r="Q187" s="50"/>
      <c r="R187" s="50"/>
      <c r="S187" s="50"/>
      <c r="T187" s="50"/>
      <c r="U187" s="50"/>
      <c r="V187" s="50"/>
      <c r="W187" s="50"/>
      <c r="X187" s="50"/>
      <c r="Y187" s="50"/>
      <c r="Z187" s="50"/>
      <c r="AA187" s="50"/>
      <c r="AB187" s="50"/>
    </row>
    <row r="188" customFormat="false" ht="15.75" hidden="false" customHeight="false" outlineLevel="0" collapsed="false">
      <c r="A188" s="50"/>
      <c r="B188" s="50"/>
      <c r="C188" s="5"/>
      <c r="D188" s="48"/>
      <c r="E188" s="50"/>
      <c r="F188" s="5"/>
      <c r="G188" s="5"/>
      <c r="H188" s="5"/>
      <c r="I188" s="5"/>
      <c r="J188" s="5"/>
      <c r="K188" s="50"/>
      <c r="L188" s="50"/>
      <c r="M188" s="50"/>
      <c r="N188" s="50"/>
      <c r="O188" s="50"/>
      <c r="P188" s="50"/>
      <c r="Q188" s="50"/>
      <c r="R188" s="50"/>
      <c r="S188" s="50"/>
      <c r="T188" s="50"/>
      <c r="U188" s="50"/>
      <c r="V188" s="50"/>
      <c r="W188" s="50"/>
      <c r="X188" s="50"/>
      <c r="Y188" s="50"/>
      <c r="Z188" s="50"/>
      <c r="AA188" s="50"/>
      <c r="AB188" s="50"/>
    </row>
    <row r="189" customFormat="false" ht="15.75" hidden="false" customHeight="false" outlineLevel="0" collapsed="false">
      <c r="A189" s="50"/>
      <c r="B189" s="50"/>
      <c r="C189" s="5"/>
      <c r="D189" s="48"/>
      <c r="E189" s="50"/>
      <c r="F189" s="5"/>
      <c r="G189" s="5"/>
      <c r="H189" s="5"/>
      <c r="I189" s="5"/>
      <c r="J189" s="5"/>
      <c r="K189" s="50"/>
      <c r="L189" s="50"/>
      <c r="M189" s="50"/>
      <c r="N189" s="50"/>
      <c r="O189" s="50"/>
      <c r="P189" s="50"/>
      <c r="Q189" s="50"/>
      <c r="R189" s="50"/>
      <c r="S189" s="50"/>
      <c r="T189" s="50"/>
      <c r="U189" s="50"/>
      <c r="V189" s="50"/>
      <c r="W189" s="50"/>
      <c r="X189" s="50"/>
      <c r="Y189" s="50"/>
      <c r="Z189" s="50"/>
      <c r="AA189" s="50"/>
      <c r="AB189" s="50"/>
    </row>
    <row r="190" customFormat="false" ht="15.75" hidden="false" customHeight="false" outlineLevel="0" collapsed="false">
      <c r="A190" s="50"/>
      <c r="B190" s="50"/>
      <c r="C190" s="5"/>
      <c r="D190" s="48"/>
      <c r="E190" s="50"/>
      <c r="F190" s="5"/>
      <c r="G190" s="5"/>
      <c r="H190" s="5"/>
      <c r="I190" s="5"/>
      <c r="J190" s="5"/>
      <c r="K190" s="50"/>
      <c r="L190" s="50"/>
      <c r="M190" s="50"/>
      <c r="N190" s="50"/>
      <c r="O190" s="50"/>
      <c r="P190" s="50"/>
      <c r="Q190" s="50"/>
      <c r="R190" s="50"/>
      <c r="S190" s="50"/>
      <c r="T190" s="50"/>
      <c r="U190" s="50"/>
      <c r="V190" s="50"/>
      <c r="W190" s="50"/>
      <c r="X190" s="50"/>
      <c r="Y190" s="50"/>
      <c r="Z190" s="50"/>
      <c r="AA190" s="50"/>
      <c r="AB190" s="50"/>
    </row>
    <row r="191" customFormat="false" ht="15.75" hidden="false" customHeight="false" outlineLevel="0" collapsed="false">
      <c r="A191" s="50"/>
      <c r="B191" s="50"/>
      <c r="C191" s="5"/>
      <c r="D191" s="48"/>
      <c r="E191" s="50"/>
      <c r="F191" s="5"/>
      <c r="G191" s="5"/>
      <c r="H191" s="5"/>
      <c r="I191" s="5"/>
      <c r="J191" s="5"/>
      <c r="K191" s="50"/>
      <c r="L191" s="50"/>
      <c r="M191" s="50"/>
      <c r="N191" s="50"/>
      <c r="O191" s="50"/>
      <c r="P191" s="50"/>
      <c r="Q191" s="50"/>
      <c r="R191" s="50"/>
      <c r="S191" s="50"/>
      <c r="T191" s="50"/>
      <c r="U191" s="50"/>
      <c r="V191" s="50"/>
      <c r="W191" s="50"/>
      <c r="X191" s="50"/>
      <c r="Y191" s="50"/>
      <c r="Z191" s="50"/>
      <c r="AA191" s="50"/>
      <c r="AB191" s="50"/>
    </row>
    <row r="192" customFormat="false" ht="15.75" hidden="false" customHeight="false" outlineLevel="0" collapsed="false">
      <c r="A192" s="50"/>
      <c r="B192" s="50"/>
      <c r="C192" s="5"/>
      <c r="D192" s="48"/>
      <c r="E192" s="50"/>
      <c r="F192" s="5"/>
      <c r="G192" s="5"/>
      <c r="H192" s="5"/>
      <c r="I192" s="5"/>
      <c r="J192" s="5"/>
      <c r="K192" s="50"/>
      <c r="L192" s="50"/>
      <c r="M192" s="50"/>
      <c r="N192" s="50"/>
      <c r="O192" s="50"/>
      <c r="P192" s="50"/>
      <c r="Q192" s="50"/>
      <c r="R192" s="50"/>
      <c r="S192" s="50"/>
      <c r="T192" s="50"/>
      <c r="U192" s="50"/>
      <c r="V192" s="50"/>
      <c r="W192" s="50"/>
      <c r="X192" s="50"/>
      <c r="Y192" s="50"/>
      <c r="Z192" s="50"/>
      <c r="AA192" s="50"/>
      <c r="AB192" s="50"/>
    </row>
    <row r="193" customFormat="false" ht="15.75" hidden="false" customHeight="false" outlineLevel="0" collapsed="false">
      <c r="A193" s="50"/>
      <c r="B193" s="50"/>
      <c r="C193" s="5"/>
      <c r="D193" s="48"/>
      <c r="E193" s="50"/>
      <c r="F193" s="5"/>
      <c r="G193" s="5"/>
      <c r="H193" s="5"/>
      <c r="I193" s="5"/>
      <c r="J193" s="5"/>
      <c r="K193" s="50"/>
      <c r="L193" s="50"/>
      <c r="M193" s="50"/>
      <c r="N193" s="50"/>
      <c r="O193" s="50"/>
      <c r="P193" s="50"/>
      <c r="Q193" s="50"/>
      <c r="R193" s="50"/>
      <c r="S193" s="50"/>
      <c r="T193" s="50"/>
      <c r="U193" s="50"/>
      <c r="V193" s="50"/>
      <c r="W193" s="50"/>
      <c r="X193" s="50"/>
      <c r="Y193" s="50"/>
      <c r="Z193" s="50"/>
      <c r="AA193" s="50"/>
      <c r="AB193" s="50"/>
    </row>
    <row r="194" customFormat="false" ht="15.75" hidden="false" customHeight="false" outlineLevel="0" collapsed="false">
      <c r="A194" s="50"/>
      <c r="B194" s="50"/>
      <c r="C194" s="5"/>
      <c r="D194" s="48"/>
      <c r="E194" s="50"/>
      <c r="F194" s="5"/>
      <c r="G194" s="5"/>
      <c r="H194" s="5"/>
      <c r="I194" s="5"/>
      <c r="J194" s="5"/>
      <c r="K194" s="50"/>
      <c r="L194" s="50"/>
      <c r="M194" s="50"/>
      <c r="N194" s="50"/>
      <c r="O194" s="50"/>
      <c r="P194" s="50"/>
      <c r="Q194" s="50"/>
      <c r="R194" s="50"/>
      <c r="S194" s="50"/>
      <c r="T194" s="50"/>
      <c r="U194" s="50"/>
      <c r="V194" s="50"/>
      <c r="W194" s="50"/>
      <c r="X194" s="50"/>
      <c r="Y194" s="50"/>
      <c r="Z194" s="50"/>
      <c r="AA194" s="50"/>
      <c r="AB194" s="50"/>
    </row>
    <row r="195" customFormat="false" ht="15.75" hidden="false" customHeight="false" outlineLevel="0" collapsed="false">
      <c r="A195" s="50"/>
      <c r="B195" s="50"/>
      <c r="C195" s="5"/>
      <c r="D195" s="48"/>
      <c r="E195" s="50"/>
      <c r="F195" s="5"/>
      <c r="G195" s="5"/>
      <c r="H195" s="5"/>
      <c r="I195" s="5"/>
      <c r="J195" s="5"/>
      <c r="K195" s="50"/>
      <c r="L195" s="50"/>
      <c r="M195" s="50"/>
      <c r="N195" s="50"/>
      <c r="O195" s="50"/>
      <c r="P195" s="50"/>
      <c r="Q195" s="50"/>
      <c r="R195" s="50"/>
      <c r="S195" s="50"/>
      <c r="T195" s="50"/>
      <c r="U195" s="50"/>
      <c r="V195" s="50"/>
      <c r="W195" s="50"/>
      <c r="X195" s="50"/>
      <c r="Y195" s="50"/>
      <c r="Z195" s="50"/>
      <c r="AA195" s="50"/>
      <c r="AB195" s="50"/>
    </row>
    <row r="196" customFormat="false" ht="15.75" hidden="false" customHeight="false" outlineLevel="0" collapsed="false">
      <c r="A196" s="50"/>
      <c r="B196" s="50"/>
      <c r="C196" s="5"/>
      <c r="D196" s="48"/>
      <c r="E196" s="50"/>
      <c r="F196" s="5"/>
      <c r="G196" s="5"/>
      <c r="H196" s="5"/>
      <c r="I196" s="5"/>
      <c r="J196" s="5"/>
      <c r="K196" s="50"/>
      <c r="L196" s="50"/>
      <c r="M196" s="50"/>
      <c r="N196" s="50"/>
      <c r="O196" s="50"/>
      <c r="P196" s="50"/>
      <c r="Q196" s="50"/>
      <c r="R196" s="50"/>
      <c r="S196" s="50"/>
      <c r="T196" s="50"/>
      <c r="U196" s="50"/>
      <c r="V196" s="50"/>
      <c r="W196" s="50"/>
      <c r="X196" s="50"/>
      <c r="Y196" s="50"/>
      <c r="Z196" s="50"/>
      <c r="AA196" s="50"/>
      <c r="AB196" s="50"/>
    </row>
    <row r="197" customFormat="false" ht="15.75" hidden="false" customHeight="false" outlineLevel="0" collapsed="false">
      <c r="A197" s="50"/>
      <c r="B197" s="50"/>
      <c r="C197" s="5"/>
      <c r="D197" s="48"/>
      <c r="E197" s="50"/>
      <c r="F197" s="5"/>
      <c r="G197" s="5"/>
      <c r="H197" s="5"/>
      <c r="I197" s="5"/>
      <c r="J197" s="5"/>
      <c r="K197" s="50"/>
      <c r="L197" s="50"/>
      <c r="M197" s="50"/>
      <c r="N197" s="50"/>
      <c r="O197" s="50"/>
      <c r="P197" s="50"/>
      <c r="Q197" s="50"/>
      <c r="R197" s="50"/>
      <c r="S197" s="50"/>
      <c r="T197" s="50"/>
      <c r="U197" s="50"/>
      <c r="V197" s="50"/>
      <c r="W197" s="50"/>
      <c r="X197" s="50"/>
      <c r="Y197" s="50"/>
      <c r="Z197" s="50"/>
      <c r="AA197" s="50"/>
      <c r="AB197" s="50"/>
    </row>
    <row r="198" customFormat="false" ht="15.75" hidden="false" customHeight="false" outlineLevel="0" collapsed="false">
      <c r="A198" s="50"/>
      <c r="B198" s="50"/>
      <c r="C198" s="5"/>
      <c r="D198" s="48"/>
      <c r="E198" s="50"/>
      <c r="F198" s="5"/>
      <c r="G198" s="5"/>
      <c r="H198" s="5"/>
      <c r="I198" s="5"/>
      <c r="J198" s="5"/>
      <c r="K198" s="50"/>
      <c r="L198" s="50"/>
      <c r="M198" s="50"/>
      <c r="N198" s="50"/>
      <c r="O198" s="50"/>
      <c r="P198" s="50"/>
      <c r="Q198" s="50"/>
      <c r="R198" s="50"/>
      <c r="S198" s="50"/>
      <c r="T198" s="50"/>
      <c r="U198" s="50"/>
      <c r="V198" s="50"/>
      <c r="W198" s="50"/>
      <c r="X198" s="50"/>
      <c r="Y198" s="50"/>
      <c r="Z198" s="50"/>
      <c r="AA198" s="50"/>
      <c r="AB198" s="50"/>
    </row>
    <row r="199" customFormat="false" ht="15.75" hidden="false" customHeight="false" outlineLevel="0" collapsed="false">
      <c r="A199" s="50"/>
      <c r="B199" s="50"/>
      <c r="C199" s="5"/>
      <c r="D199" s="48"/>
      <c r="E199" s="50"/>
      <c r="F199" s="5"/>
      <c r="G199" s="5"/>
      <c r="H199" s="5"/>
      <c r="I199" s="5"/>
      <c r="J199" s="5"/>
      <c r="K199" s="50"/>
      <c r="L199" s="50"/>
      <c r="M199" s="50"/>
      <c r="N199" s="50"/>
      <c r="O199" s="50"/>
      <c r="P199" s="50"/>
      <c r="Q199" s="50"/>
      <c r="R199" s="50"/>
      <c r="S199" s="50"/>
      <c r="T199" s="50"/>
      <c r="U199" s="50"/>
      <c r="V199" s="50"/>
      <c r="W199" s="50"/>
      <c r="X199" s="50"/>
      <c r="Y199" s="50"/>
      <c r="Z199" s="50"/>
      <c r="AA199" s="50"/>
      <c r="AB199" s="50"/>
    </row>
    <row r="200" customFormat="false" ht="15.75" hidden="false" customHeight="false" outlineLevel="0" collapsed="false">
      <c r="A200" s="50"/>
      <c r="B200" s="50"/>
      <c r="C200" s="5"/>
      <c r="D200" s="48"/>
      <c r="E200" s="50"/>
      <c r="F200" s="5"/>
      <c r="G200" s="5"/>
      <c r="H200" s="5"/>
      <c r="I200" s="5"/>
      <c r="J200" s="5"/>
      <c r="K200" s="50"/>
      <c r="L200" s="50"/>
      <c r="M200" s="50"/>
      <c r="N200" s="50"/>
      <c r="O200" s="50"/>
      <c r="P200" s="50"/>
      <c r="Q200" s="50"/>
      <c r="R200" s="50"/>
      <c r="S200" s="50"/>
      <c r="T200" s="50"/>
      <c r="U200" s="50"/>
      <c r="V200" s="50"/>
      <c r="W200" s="50"/>
      <c r="X200" s="50"/>
      <c r="Y200" s="50"/>
      <c r="Z200" s="50"/>
      <c r="AA200" s="50"/>
      <c r="AB200" s="50"/>
    </row>
    <row r="201" customFormat="false" ht="15.75" hidden="false" customHeight="false" outlineLevel="0" collapsed="false">
      <c r="A201" s="50"/>
      <c r="B201" s="50"/>
      <c r="C201" s="5"/>
      <c r="D201" s="48"/>
      <c r="E201" s="50"/>
      <c r="F201" s="5"/>
      <c r="G201" s="5"/>
      <c r="H201" s="5"/>
      <c r="I201" s="5"/>
      <c r="J201" s="5"/>
      <c r="K201" s="50"/>
      <c r="L201" s="50"/>
      <c r="M201" s="50"/>
      <c r="N201" s="50"/>
      <c r="O201" s="50"/>
      <c r="P201" s="50"/>
      <c r="Q201" s="50"/>
      <c r="R201" s="50"/>
      <c r="S201" s="50"/>
      <c r="T201" s="50"/>
      <c r="U201" s="50"/>
      <c r="V201" s="50"/>
      <c r="W201" s="50"/>
      <c r="X201" s="50"/>
      <c r="Y201" s="50"/>
      <c r="Z201" s="50"/>
      <c r="AA201" s="50"/>
      <c r="AB201" s="50"/>
    </row>
    <row r="202" customFormat="false" ht="15.75" hidden="false" customHeight="false" outlineLevel="0" collapsed="false">
      <c r="A202" s="50"/>
      <c r="B202" s="50"/>
      <c r="C202" s="5"/>
      <c r="D202" s="48"/>
      <c r="E202" s="50"/>
      <c r="F202" s="5"/>
      <c r="G202" s="5"/>
      <c r="H202" s="5"/>
      <c r="I202" s="5"/>
      <c r="J202" s="5"/>
      <c r="K202" s="50"/>
      <c r="L202" s="50"/>
      <c r="M202" s="50"/>
      <c r="N202" s="50"/>
      <c r="O202" s="50"/>
      <c r="P202" s="50"/>
      <c r="Q202" s="50"/>
      <c r="R202" s="50"/>
      <c r="S202" s="50"/>
      <c r="T202" s="50"/>
      <c r="U202" s="50"/>
      <c r="V202" s="50"/>
      <c r="W202" s="50"/>
      <c r="X202" s="50"/>
      <c r="Y202" s="50"/>
      <c r="Z202" s="50"/>
      <c r="AA202" s="50"/>
      <c r="AB202" s="50"/>
    </row>
    <row r="203" customFormat="false" ht="15.75" hidden="false" customHeight="false" outlineLevel="0" collapsed="false">
      <c r="A203" s="50"/>
      <c r="B203" s="50"/>
      <c r="C203" s="5"/>
      <c r="D203" s="48"/>
      <c r="E203" s="50"/>
      <c r="F203" s="5"/>
      <c r="G203" s="5"/>
      <c r="H203" s="5"/>
      <c r="I203" s="5"/>
      <c r="J203" s="5"/>
      <c r="K203" s="50"/>
      <c r="L203" s="50"/>
      <c r="M203" s="50"/>
      <c r="N203" s="50"/>
      <c r="O203" s="50"/>
      <c r="P203" s="50"/>
      <c r="Q203" s="50"/>
      <c r="R203" s="50"/>
      <c r="S203" s="50"/>
      <c r="T203" s="50"/>
      <c r="U203" s="50"/>
      <c r="V203" s="50"/>
      <c r="W203" s="50"/>
      <c r="X203" s="50"/>
      <c r="Y203" s="50"/>
      <c r="Z203" s="50"/>
      <c r="AA203" s="50"/>
      <c r="AB203" s="50"/>
    </row>
    <row r="204" customFormat="false" ht="15.75" hidden="false" customHeight="false" outlineLevel="0" collapsed="false">
      <c r="A204" s="50"/>
      <c r="B204" s="50"/>
      <c r="C204" s="5"/>
      <c r="D204" s="48"/>
      <c r="E204" s="50"/>
      <c r="F204" s="5"/>
      <c r="G204" s="5"/>
      <c r="H204" s="5"/>
      <c r="I204" s="5"/>
      <c r="J204" s="5"/>
      <c r="K204" s="50"/>
      <c r="L204" s="50"/>
      <c r="M204" s="50"/>
      <c r="N204" s="50"/>
      <c r="O204" s="50"/>
      <c r="P204" s="50"/>
      <c r="Q204" s="50"/>
      <c r="R204" s="50"/>
      <c r="S204" s="50"/>
      <c r="T204" s="50"/>
      <c r="U204" s="50"/>
      <c r="V204" s="50"/>
      <c r="W204" s="50"/>
      <c r="X204" s="50"/>
      <c r="Y204" s="50"/>
      <c r="Z204" s="50"/>
      <c r="AA204" s="50"/>
      <c r="AB204" s="50"/>
    </row>
    <row r="205" customFormat="false" ht="15.75" hidden="false" customHeight="false" outlineLevel="0" collapsed="false">
      <c r="A205" s="50"/>
      <c r="B205" s="50"/>
      <c r="C205" s="5"/>
      <c r="D205" s="48"/>
      <c r="E205" s="50"/>
      <c r="F205" s="5"/>
      <c r="G205" s="5"/>
      <c r="H205" s="5"/>
      <c r="I205" s="5"/>
      <c r="J205" s="5"/>
      <c r="K205" s="50"/>
      <c r="L205" s="50"/>
      <c r="M205" s="50"/>
      <c r="N205" s="50"/>
      <c r="O205" s="50"/>
      <c r="P205" s="50"/>
      <c r="Q205" s="50"/>
      <c r="R205" s="50"/>
      <c r="S205" s="50"/>
      <c r="T205" s="50"/>
      <c r="U205" s="50"/>
      <c r="V205" s="50"/>
      <c r="W205" s="50"/>
      <c r="X205" s="50"/>
      <c r="Y205" s="50"/>
      <c r="Z205" s="50"/>
      <c r="AA205" s="50"/>
      <c r="AB205" s="50"/>
    </row>
    <row r="206" customFormat="false" ht="15.75" hidden="false" customHeight="false" outlineLevel="0" collapsed="false">
      <c r="A206" s="50"/>
      <c r="B206" s="50"/>
      <c r="C206" s="5"/>
      <c r="D206" s="48"/>
      <c r="E206" s="50"/>
      <c r="F206" s="5"/>
      <c r="G206" s="5"/>
      <c r="H206" s="5"/>
      <c r="I206" s="5"/>
      <c r="J206" s="5"/>
      <c r="K206" s="50"/>
      <c r="L206" s="50"/>
      <c r="M206" s="50"/>
      <c r="N206" s="50"/>
      <c r="O206" s="50"/>
      <c r="P206" s="50"/>
      <c r="Q206" s="50"/>
      <c r="R206" s="50"/>
      <c r="S206" s="50"/>
      <c r="T206" s="50"/>
      <c r="U206" s="50"/>
      <c r="V206" s="50"/>
      <c r="W206" s="50"/>
      <c r="X206" s="50"/>
      <c r="Y206" s="50"/>
      <c r="Z206" s="50"/>
      <c r="AA206" s="50"/>
      <c r="AB206" s="50"/>
    </row>
    <row r="207" customFormat="false" ht="15.75" hidden="false" customHeight="false" outlineLevel="0" collapsed="false">
      <c r="A207" s="50"/>
      <c r="B207" s="50"/>
      <c r="C207" s="5"/>
      <c r="D207" s="48"/>
      <c r="E207" s="50"/>
      <c r="F207" s="5"/>
      <c r="G207" s="5"/>
      <c r="H207" s="5"/>
      <c r="I207" s="5"/>
      <c r="J207" s="5"/>
      <c r="K207" s="50"/>
      <c r="L207" s="50"/>
      <c r="M207" s="50"/>
      <c r="N207" s="50"/>
      <c r="O207" s="50"/>
      <c r="P207" s="50"/>
      <c r="Q207" s="50"/>
      <c r="R207" s="50"/>
      <c r="S207" s="50"/>
      <c r="T207" s="50"/>
      <c r="U207" s="50"/>
      <c r="V207" s="50"/>
      <c r="W207" s="50"/>
      <c r="X207" s="50"/>
      <c r="Y207" s="50"/>
      <c r="Z207" s="50"/>
      <c r="AA207" s="50"/>
      <c r="AB207" s="50"/>
    </row>
    <row r="208" customFormat="false" ht="15.75" hidden="false" customHeight="false" outlineLevel="0" collapsed="false">
      <c r="A208" s="50"/>
      <c r="B208" s="50"/>
      <c r="C208" s="5"/>
      <c r="D208" s="48"/>
      <c r="E208" s="50"/>
      <c r="F208" s="5"/>
      <c r="G208" s="5"/>
      <c r="H208" s="5"/>
      <c r="I208" s="5"/>
      <c r="J208" s="5"/>
      <c r="K208" s="50"/>
      <c r="L208" s="50"/>
      <c r="M208" s="50"/>
      <c r="N208" s="50"/>
      <c r="O208" s="50"/>
      <c r="P208" s="50"/>
      <c r="Q208" s="50"/>
      <c r="R208" s="50"/>
      <c r="S208" s="50"/>
      <c r="T208" s="50"/>
      <c r="U208" s="50"/>
      <c r="V208" s="50"/>
      <c r="W208" s="50"/>
      <c r="X208" s="50"/>
      <c r="Y208" s="50"/>
      <c r="Z208" s="50"/>
      <c r="AA208" s="50"/>
      <c r="AB208" s="50"/>
    </row>
    <row r="209" customFormat="false" ht="15.75" hidden="false" customHeight="false" outlineLevel="0" collapsed="false">
      <c r="A209" s="50"/>
      <c r="B209" s="50"/>
      <c r="C209" s="5"/>
      <c r="D209" s="48"/>
      <c r="E209" s="50"/>
      <c r="F209" s="5"/>
      <c r="G209" s="5"/>
      <c r="H209" s="5"/>
      <c r="I209" s="5"/>
      <c r="J209" s="5"/>
      <c r="K209" s="50"/>
      <c r="L209" s="50"/>
      <c r="M209" s="50"/>
      <c r="N209" s="50"/>
      <c r="O209" s="50"/>
      <c r="P209" s="50"/>
      <c r="Q209" s="50"/>
      <c r="R209" s="50"/>
      <c r="S209" s="50"/>
      <c r="T209" s="50"/>
      <c r="U209" s="50"/>
      <c r="V209" s="50"/>
      <c r="W209" s="50"/>
      <c r="X209" s="50"/>
      <c r="Y209" s="50"/>
      <c r="Z209" s="50"/>
      <c r="AA209" s="50"/>
      <c r="AB209" s="50"/>
    </row>
    <row r="210" customFormat="false" ht="15.75" hidden="false" customHeight="false" outlineLevel="0" collapsed="false">
      <c r="A210" s="50"/>
      <c r="B210" s="50"/>
      <c r="C210" s="5"/>
      <c r="D210" s="48"/>
      <c r="E210" s="50"/>
      <c r="F210" s="5"/>
      <c r="G210" s="5"/>
      <c r="H210" s="5"/>
      <c r="I210" s="5"/>
      <c r="J210" s="5"/>
      <c r="K210" s="50"/>
      <c r="L210" s="50"/>
      <c r="M210" s="50"/>
      <c r="N210" s="50"/>
      <c r="O210" s="50"/>
      <c r="P210" s="50"/>
      <c r="Q210" s="50"/>
      <c r="R210" s="50"/>
      <c r="S210" s="50"/>
      <c r="T210" s="50"/>
      <c r="U210" s="50"/>
      <c r="V210" s="50"/>
      <c r="W210" s="50"/>
      <c r="X210" s="50"/>
      <c r="Y210" s="50"/>
      <c r="Z210" s="50"/>
      <c r="AA210" s="50"/>
      <c r="AB210" s="50"/>
    </row>
    <row r="211" customFormat="false" ht="15.75" hidden="false" customHeight="false" outlineLevel="0" collapsed="false">
      <c r="A211" s="50"/>
      <c r="B211" s="50"/>
      <c r="C211" s="5"/>
      <c r="D211" s="48"/>
      <c r="E211" s="50"/>
      <c r="F211" s="5"/>
      <c r="G211" s="5"/>
      <c r="H211" s="5"/>
      <c r="I211" s="5"/>
      <c r="J211" s="5"/>
      <c r="K211" s="50"/>
      <c r="L211" s="50"/>
      <c r="M211" s="50"/>
      <c r="N211" s="50"/>
      <c r="O211" s="50"/>
      <c r="P211" s="50"/>
      <c r="Q211" s="50"/>
      <c r="R211" s="50"/>
      <c r="S211" s="50"/>
      <c r="T211" s="50"/>
      <c r="U211" s="50"/>
      <c r="V211" s="50"/>
      <c r="W211" s="50"/>
      <c r="X211" s="50"/>
      <c r="Y211" s="50"/>
      <c r="Z211" s="50"/>
      <c r="AA211" s="50"/>
      <c r="AB211" s="50"/>
    </row>
    <row r="212" customFormat="false" ht="15.75" hidden="false" customHeight="false" outlineLevel="0" collapsed="false">
      <c r="A212" s="50"/>
      <c r="B212" s="50"/>
      <c r="C212" s="5"/>
      <c r="D212" s="48"/>
      <c r="E212" s="50"/>
      <c r="F212" s="5"/>
      <c r="G212" s="5"/>
      <c r="H212" s="5"/>
      <c r="I212" s="5"/>
      <c r="J212" s="5"/>
      <c r="K212" s="50"/>
      <c r="L212" s="50"/>
      <c r="M212" s="50"/>
      <c r="N212" s="50"/>
      <c r="O212" s="50"/>
      <c r="P212" s="50"/>
      <c r="Q212" s="50"/>
      <c r="R212" s="50"/>
      <c r="S212" s="50"/>
      <c r="T212" s="50"/>
      <c r="U212" s="50"/>
      <c r="V212" s="50"/>
      <c r="W212" s="50"/>
      <c r="X212" s="50"/>
      <c r="Y212" s="50"/>
      <c r="Z212" s="50"/>
      <c r="AA212" s="50"/>
      <c r="AB212" s="50"/>
    </row>
    <row r="213" customFormat="false" ht="15.75" hidden="false" customHeight="false" outlineLevel="0" collapsed="false">
      <c r="A213" s="50"/>
      <c r="B213" s="50"/>
      <c r="C213" s="5"/>
      <c r="D213" s="48"/>
      <c r="E213" s="50"/>
      <c r="F213" s="5"/>
      <c r="G213" s="5"/>
      <c r="H213" s="5"/>
      <c r="I213" s="5"/>
      <c r="J213" s="5"/>
      <c r="K213" s="50"/>
      <c r="L213" s="50"/>
      <c r="M213" s="50"/>
      <c r="N213" s="50"/>
      <c r="O213" s="50"/>
      <c r="P213" s="50"/>
      <c r="Q213" s="50"/>
      <c r="R213" s="50"/>
      <c r="S213" s="50"/>
      <c r="T213" s="50"/>
      <c r="U213" s="50"/>
      <c r="V213" s="50"/>
      <c r="W213" s="50"/>
      <c r="X213" s="50"/>
      <c r="Y213" s="50"/>
      <c r="Z213" s="50"/>
      <c r="AA213" s="50"/>
      <c r="AB213" s="50"/>
    </row>
    <row r="214" customFormat="false" ht="15.75" hidden="false" customHeight="false" outlineLevel="0" collapsed="false">
      <c r="A214" s="50"/>
      <c r="B214" s="50"/>
      <c r="C214" s="5"/>
      <c r="D214" s="48"/>
      <c r="E214" s="50"/>
      <c r="F214" s="5"/>
      <c r="G214" s="5"/>
      <c r="H214" s="5"/>
      <c r="I214" s="5"/>
      <c r="J214" s="5"/>
      <c r="K214" s="50"/>
      <c r="L214" s="50"/>
      <c r="M214" s="50"/>
      <c r="N214" s="50"/>
      <c r="O214" s="50"/>
      <c r="P214" s="50"/>
      <c r="Q214" s="50"/>
      <c r="R214" s="50"/>
      <c r="S214" s="50"/>
      <c r="T214" s="50"/>
      <c r="U214" s="50"/>
      <c r="V214" s="50"/>
      <c r="W214" s="50"/>
      <c r="X214" s="50"/>
      <c r="Y214" s="50"/>
      <c r="Z214" s="50"/>
      <c r="AA214" s="50"/>
      <c r="AB214" s="50"/>
    </row>
    <row r="215" customFormat="false" ht="15.75" hidden="false" customHeight="false" outlineLevel="0" collapsed="false">
      <c r="A215" s="50"/>
      <c r="B215" s="50"/>
      <c r="C215" s="5"/>
      <c r="D215" s="48"/>
      <c r="E215" s="50"/>
      <c r="F215" s="5"/>
      <c r="G215" s="5"/>
      <c r="H215" s="5"/>
      <c r="I215" s="5"/>
      <c r="J215" s="5"/>
      <c r="K215" s="50"/>
      <c r="L215" s="50"/>
      <c r="M215" s="50"/>
      <c r="N215" s="50"/>
      <c r="O215" s="50"/>
      <c r="P215" s="50"/>
      <c r="Q215" s="50"/>
      <c r="R215" s="50"/>
      <c r="S215" s="50"/>
      <c r="T215" s="50"/>
      <c r="U215" s="50"/>
      <c r="V215" s="50"/>
      <c r="W215" s="50"/>
      <c r="X215" s="50"/>
      <c r="Y215" s="50"/>
      <c r="Z215" s="50"/>
      <c r="AA215" s="50"/>
      <c r="AB215" s="50"/>
    </row>
    <row r="216" customFormat="false" ht="15.75" hidden="false" customHeight="false" outlineLevel="0" collapsed="false">
      <c r="A216" s="50"/>
      <c r="B216" s="50"/>
      <c r="C216" s="5"/>
      <c r="D216" s="48"/>
      <c r="E216" s="50"/>
      <c r="F216" s="5"/>
      <c r="G216" s="5"/>
      <c r="H216" s="5"/>
      <c r="I216" s="5"/>
      <c r="J216" s="5"/>
      <c r="K216" s="50"/>
      <c r="L216" s="50"/>
      <c r="M216" s="50"/>
      <c r="N216" s="50"/>
      <c r="O216" s="50"/>
      <c r="P216" s="50"/>
      <c r="Q216" s="50"/>
      <c r="R216" s="50"/>
      <c r="S216" s="50"/>
      <c r="T216" s="50"/>
      <c r="U216" s="50"/>
      <c r="V216" s="50"/>
      <c r="W216" s="50"/>
      <c r="X216" s="50"/>
      <c r="Y216" s="50"/>
      <c r="Z216" s="50"/>
      <c r="AA216" s="50"/>
      <c r="AB216" s="50"/>
    </row>
    <row r="217" customFormat="false" ht="15.75" hidden="false" customHeight="false" outlineLevel="0" collapsed="false">
      <c r="A217" s="50"/>
      <c r="B217" s="50"/>
      <c r="C217" s="5"/>
      <c r="D217" s="48"/>
      <c r="E217" s="50"/>
      <c r="F217" s="5"/>
      <c r="G217" s="5"/>
      <c r="H217" s="5"/>
      <c r="I217" s="5"/>
      <c r="J217" s="5"/>
      <c r="K217" s="50"/>
      <c r="L217" s="50"/>
      <c r="M217" s="50"/>
      <c r="N217" s="50"/>
      <c r="O217" s="50"/>
      <c r="P217" s="50"/>
      <c r="Q217" s="50"/>
      <c r="R217" s="50"/>
      <c r="S217" s="50"/>
      <c r="T217" s="50"/>
      <c r="U217" s="50"/>
      <c r="V217" s="50"/>
      <c r="W217" s="50"/>
      <c r="X217" s="50"/>
      <c r="Y217" s="50"/>
      <c r="Z217" s="50"/>
      <c r="AA217" s="50"/>
      <c r="AB217" s="50"/>
    </row>
    <row r="218" customFormat="false" ht="15.75" hidden="false" customHeight="false" outlineLevel="0" collapsed="false">
      <c r="A218" s="50"/>
      <c r="B218" s="50"/>
      <c r="C218" s="5"/>
      <c r="D218" s="48"/>
      <c r="E218" s="50"/>
      <c r="F218" s="5"/>
      <c r="G218" s="5"/>
      <c r="H218" s="5"/>
      <c r="I218" s="5"/>
      <c r="J218" s="5"/>
      <c r="K218" s="50"/>
      <c r="L218" s="50"/>
      <c r="M218" s="50"/>
      <c r="N218" s="50"/>
      <c r="O218" s="50"/>
      <c r="P218" s="50"/>
      <c r="Q218" s="50"/>
      <c r="R218" s="50"/>
      <c r="S218" s="50"/>
      <c r="T218" s="50"/>
      <c r="U218" s="50"/>
      <c r="V218" s="50"/>
      <c r="W218" s="50"/>
      <c r="X218" s="50"/>
      <c r="Y218" s="50"/>
      <c r="Z218" s="50"/>
      <c r="AA218" s="50"/>
      <c r="AB218" s="50"/>
    </row>
    <row r="219" customFormat="false" ht="15.75" hidden="false" customHeight="false" outlineLevel="0" collapsed="false">
      <c r="A219" s="50"/>
      <c r="B219" s="50"/>
      <c r="C219" s="5"/>
      <c r="D219" s="48"/>
      <c r="E219" s="50"/>
      <c r="F219" s="5"/>
      <c r="G219" s="5"/>
      <c r="H219" s="5"/>
      <c r="I219" s="5"/>
      <c r="J219" s="5"/>
      <c r="K219" s="50"/>
      <c r="L219" s="50"/>
      <c r="M219" s="50"/>
      <c r="N219" s="50"/>
      <c r="O219" s="50"/>
      <c r="P219" s="50"/>
      <c r="Q219" s="50"/>
      <c r="R219" s="50"/>
      <c r="S219" s="50"/>
      <c r="T219" s="50"/>
      <c r="U219" s="50"/>
      <c r="V219" s="50"/>
      <c r="W219" s="50"/>
      <c r="X219" s="50"/>
      <c r="Y219" s="50"/>
      <c r="Z219" s="50"/>
      <c r="AA219" s="50"/>
      <c r="AB219" s="50"/>
    </row>
    <row r="220" customFormat="false" ht="15.75" hidden="false" customHeight="false" outlineLevel="0" collapsed="false">
      <c r="A220" s="50"/>
      <c r="B220" s="50"/>
      <c r="C220" s="5"/>
      <c r="D220" s="48"/>
      <c r="E220" s="50"/>
      <c r="F220" s="5"/>
      <c r="G220" s="5"/>
      <c r="H220" s="5"/>
      <c r="I220" s="5"/>
      <c r="J220" s="5"/>
      <c r="K220" s="50"/>
      <c r="L220" s="50"/>
      <c r="M220" s="50"/>
      <c r="N220" s="50"/>
      <c r="O220" s="50"/>
      <c r="P220" s="50"/>
      <c r="Q220" s="50"/>
      <c r="R220" s="50"/>
      <c r="S220" s="50"/>
      <c r="T220" s="50"/>
      <c r="U220" s="50"/>
      <c r="V220" s="50"/>
      <c r="W220" s="50"/>
      <c r="X220" s="50"/>
      <c r="Y220" s="50"/>
      <c r="Z220" s="50"/>
      <c r="AA220" s="50"/>
      <c r="AB220" s="50"/>
    </row>
    <row r="221" customFormat="false" ht="15.75" hidden="false" customHeight="false" outlineLevel="0" collapsed="false">
      <c r="A221" s="50"/>
      <c r="B221" s="50"/>
      <c r="C221" s="5"/>
      <c r="D221" s="48"/>
      <c r="E221" s="50"/>
      <c r="F221" s="5"/>
      <c r="G221" s="5"/>
      <c r="H221" s="5"/>
      <c r="I221" s="5"/>
      <c r="J221" s="5"/>
      <c r="K221" s="50"/>
      <c r="L221" s="50"/>
      <c r="M221" s="50"/>
      <c r="N221" s="50"/>
      <c r="O221" s="50"/>
      <c r="P221" s="50"/>
      <c r="Q221" s="50"/>
      <c r="R221" s="50"/>
      <c r="S221" s="50"/>
      <c r="T221" s="50"/>
      <c r="U221" s="50"/>
      <c r="V221" s="50"/>
      <c r="W221" s="50"/>
      <c r="X221" s="50"/>
      <c r="Y221" s="50"/>
      <c r="Z221" s="50"/>
      <c r="AA221" s="50"/>
      <c r="AB221" s="50"/>
    </row>
    <row r="222" customFormat="false" ht="15.75" hidden="false" customHeight="false" outlineLevel="0" collapsed="false">
      <c r="A222" s="50"/>
      <c r="B222" s="50"/>
      <c r="C222" s="5"/>
      <c r="D222" s="48"/>
      <c r="E222" s="50"/>
      <c r="F222" s="5"/>
      <c r="G222" s="5"/>
      <c r="H222" s="5"/>
      <c r="I222" s="5"/>
      <c r="J222" s="5"/>
      <c r="K222" s="50"/>
      <c r="L222" s="50"/>
      <c r="M222" s="50"/>
      <c r="N222" s="50"/>
      <c r="O222" s="50"/>
      <c r="P222" s="50"/>
      <c r="Q222" s="50"/>
      <c r="R222" s="50"/>
      <c r="S222" s="50"/>
      <c r="T222" s="50"/>
      <c r="U222" s="50"/>
      <c r="V222" s="50"/>
      <c r="W222" s="50"/>
      <c r="X222" s="50"/>
      <c r="Y222" s="50"/>
      <c r="Z222" s="50"/>
      <c r="AA222" s="50"/>
      <c r="AB222" s="50"/>
    </row>
    <row r="223" customFormat="false" ht="15.75" hidden="false" customHeight="false" outlineLevel="0" collapsed="false">
      <c r="A223" s="50"/>
      <c r="B223" s="50"/>
      <c r="C223" s="5"/>
      <c r="D223" s="48"/>
      <c r="E223" s="50"/>
      <c r="F223" s="5"/>
      <c r="G223" s="5"/>
      <c r="H223" s="5"/>
      <c r="I223" s="5"/>
      <c r="J223" s="5"/>
      <c r="K223" s="50"/>
      <c r="L223" s="50"/>
      <c r="M223" s="50"/>
      <c r="N223" s="50"/>
      <c r="O223" s="50"/>
      <c r="P223" s="50"/>
      <c r="Q223" s="50"/>
      <c r="R223" s="50"/>
      <c r="S223" s="50"/>
      <c r="T223" s="50"/>
      <c r="U223" s="50"/>
      <c r="V223" s="50"/>
      <c r="W223" s="50"/>
      <c r="X223" s="50"/>
      <c r="Y223" s="50"/>
      <c r="Z223" s="50"/>
      <c r="AA223" s="50"/>
      <c r="AB223" s="50"/>
    </row>
    <row r="224" customFormat="false" ht="15.75" hidden="false" customHeight="false" outlineLevel="0" collapsed="false">
      <c r="A224" s="50"/>
      <c r="B224" s="50"/>
      <c r="C224" s="5"/>
      <c r="D224" s="48"/>
      <c r="E224" s="50"/>
      <c r="F224" s="5"/>
      <c r="G224" s="5"/>
      <c r="H224" s="5"/>
      <c r="I224" s="5"/>
      <c r="J224" s="5"/>
      <c r="K224" s="50"/>
      <c r="L224" s="50"/>
      <c r="M224" s="50"/>
      <c r="N224" s="50"/>
      <c r="O224" s="50"/>
      <c r="P224" s="50"/>
      <c r="Q224" s="50"/>
      <c r="R224" s="50"/>
      <c r="S224" s="50"/>
      <c r="T224" s="50"/>
      <c r="U224" s="50"/>
      <c r="V224" s="50"/>
      <c r="W224" s="50"/>
      <c r="X224" s="50"/>
      <c r="Y224" s="50"/>
      <c r="Z224" s="50"/>
      <c r="AA224" s="50"/>
      <c r="AB224" s="50"/>
    </row>
    <row r="225" customFormat="false" ht="15.75" hidden="false" customHeight="false" outlineLevel="0" collapsed="false">
      <c r="A225" s="50"/>
      <c r="B225" s="50"/>
      <c r="C225" s="5"/>
      <c r="D225" s="48"/>
      <c r="E225" s="50"/>
      <c r="F225" s="5"/>
      <c r="G225" s="5"/>
      <c r="H225" s="5"/>
      <c r="I225" s="5"/>
      <c r="J225" s="5"/>
      <c r="K225" s="50"/>
      <c r="L225" s="50"/>
      <c r="M225" s="50"/>
      <c r="N225" s="50"/>
      <c r="O225" s="50"/>
      <c r="P225" s="50"/>
      <c r="Q225" s="50"/>
      <c r="R225" s="50"/>
      <c r="S225" s="50"/>
      <c r="T225" s="50"/>
      <c r="U225" s="50"/>
      <c r="V225" s="50"/>
      <c r="W225" s="50"/>
      <c r="X225" s="50"/>
      <c r="Y225" s="50"/>
      <c r="Z225" s="50"/>
      <c r="AA225" s="50"/>
      <c r="AB225" s="50"/>
    </row>
    <row r="226" customFormat="false" ht="15.75" hidden="false" customHeight="false" outlineLevel="0" collapsed="false">
      <c r="A226" s="50"/>
      <c r="B226" s="50"/>
      <c r="C226" s="5"/>
      <c r="D226" s="48"/>
      <c r="E226" s="50"/>
      <c r="F226" s="5"/>
      <c r="G226" s="5"/>
      <c r="H226" s="5"/>
      <c r="I226" s="5"/>
      <c r="J226" s="5"/>
      <c r="K226" s="50"/>
      <c r="L226" s="50"/>
      <c r="M226" s="50"/>
      <c r="N226" s="50"/>
      <c r="O226" s="50"/>
      <c r="P226" s="50"/>
      <c r="Q226" s="50"/>
      <c r="R226" s="50"/>
      <c r="S226" s="50"/>
      <c r="T226" s="50"/>
      <c r="U226" s="50"/>
      <c r="V226" s="50"/>
      <c r="W226" s="50"/>
      <c r="X226" s="50"/>
      <c r="Y226" s="50"/>
      <c r="Z226" s="50"/>
      <c r="AA226" s="50"/>
      <c r="AB226" s="50"/>
    </row>
    <row r="227" customFormat="false" ht="15.75" hidden="false" customHeight="false" outlineLevel="0" collapsed="false">
      <c r="A227" s="50"/>
      <c r="B227" s="50"/>
      <c r="C227" s="5"/>
      <c r="D227" s="48"/>
      <c r="E227" s="50"/>
      <c r="F227" s="5"/>
      <c r="G227" s="5"/>
      <c r="H227" s="5"/>
      <c r="I227" s="5"/>
      <c r="J227" s="5"/>
      <c r="K227" s="50"/>
      <c r="L227" s="50"/>
      <c r="M227" s="50"/>
      <c r="N227" s="50"/>
      <c r="O227" s="50"/>
      <c r="P227" s="50"/>
      <c r="Q227" s="50"/>
      <c r="R227" s="50"/>
      <c r="S227" s="50"/>
      <c r="T227" s="50"/>
      <c r="U227" s="50"/>
      <c r="V227" s="50"/>
      <c r="W227" s="50"/>
      <c r="X227" s="50"/>
      <c r="Y227" s="50"/>
      <c r="Z227" s="50"/>
      <c r="AA227" s="50"/>
      <c r="AB227" s="50"/>
    </row>
    <row r="228" customFormat="false" ht="15.75" hidden="false" customHeight="false" outlineLevel="0" collapsed="false">
      <c r="A228" s="50"/>
      <c r="B228" s="50"/>
      <c r="C228" s="5"/>
      <c r="D228" s="48"/>
      <c r="E228" s="50"/>
      <c r="F228" s="5"/>
      <c r="G228" s="5"/>
      <c r="H228" s="5"/>
      <c r="I228" s="5"/>
      <c r="J228" s="5"/>
      <c r="K228" s="50"/>
      <c r="L228" s="50"/>
      <c r="M228" s="50"/>
      <c r="N228" s="50"/>
      <c r="O228" s="50"/>
      <c r="P228" s="50"/>
      <c r="Q228" s="50"/>
      <c r="R228" s="50"/>
      <c r="S228" s="50"/>
      <c r="T228" s="50"/>
      <c r="U228" s="50"/>
      <c r="V228" s="50"/>
      <c r="W228" s="50"/>
      <c r="X228" s="50"/>
      <c r="Y228" s="50"/>
      <c r="Z228" s="50"/>
      <c r="AA228" s="50"/>
      <c r="AB228" s="50"/>
    </row>
    <row r="229" customFormat="false" ht="15.75" hidden="false" customHeight="false" outlineLevel="0" collapsed="false">
      <c r="A229" s="50"/>
      <c r="B229" s="50"/>
      <c r="C229" s="5"/>
      <c r="D229" s="48"/>
      <c r="E229" s="50"/>
      <c r="F229" s="5"/>
      <c r="G229" s="5"/>
      <c r="H229" s="5"/>
      <c r="I229" s="5"/>
      <c r="J229" s="5"/>
      <c r="K229" s="50"/>
      <c r="L229" s="50"/>
      <c r="M229" s="50"/>
      <c r="N229" s="50"/>
      <c r="O229" s="50"/>
      <c r="P229" s="50"/>
      <c r="Q229" s="50"/>
      <c r="R229" s="50"/>
      <c r="S229" s="50"/>
      <c r="T229" s="50"/>
      <c r="U229" s="50"/>
      <c r="V229" s="50"/>
      <c r="W229" s="50"/>
      <c r="X229" s="50"/>
      <c r="Y229" s="50"/>
      <c r="Z229" s="50"/>
      <c r="AA229" s="50"/>
      <c r="AB229" s="50"/>
    </row>
    <row r="230" customFormat="false" ht="15.75" hidden="false" customHeight="false" outlineLevel="0" collapsed="false">
      <c r="A230" s="50"/>
      <c r="B230" s="50"/>
      <c r="C230" s="5"/>
      <c r="D230" s="48"/>
      <c r="E230" s="50"/>
      <c r="F230" s="5"/>
      <c r="G230" s="5"/>
      <c r="H230" s="5"/>
      <c r="I230" s="5"/>
      <c r="J230" s="5"/>
      <c r="K230" s="50"/>
      <c r="L230" s="50"/>
      <c r="M230" s="50"/>
      <c r="N230" s="50"/>
      <c r="O230" s="50"/>
      <c r="P230" s="50"/>
      <c r="Q230" s="50"/>
      <c r="R230" s="50"/>
      <c r="S230" s="50"/>
      <c r="T230" s="50"/>
      <c r="U230" s="50"/>
      <c r="V230" s="50"/>
      <c r="W230" s="50"/>
      <c r="X230" s="50"/>
      <c r="Y230" s="50"/>
      <c r="Z230" s="50"/>
      <c r="AA230" s="50"/>
      <c r="AB230" s="50"/>
    </row>
    <row r="231" customFormat="false" ht="15.75" hidden="false" customHeight="false" outlineLevel="0" collapsed="false">
      <c r="A231" s="50"/>
      <c r="B231" s="50"/>
      <c r="C231" s="5"/>
      <c r="D231" s="48"/>
      <c r="E231" s="50"/>
      <c r="F231" s="5"/>
      <c r="G231" s="5"/>
      <c r="H231" s="5"/>
      <c r="I231" s="5"/>
      <c r="J231" s="5"/>
      <c r="K231" s="50"/>
      <c r="L231" s="50"/>
      <c r="M231" s="50"/>
      <c r="N231" s="50"/>
      <c r="O231" s="50"/>
      <c r="P231" s="50"/>
      <c r="Q231" s="50"/>
      <c r="R231" s="50"/>
      <c r="S231" s="50"/>
      <c r="T231" s="50"/>
      <c r="U231" s="50"/>
      <c r="V231" s="50"/>
      <c r="W231" s="50"/>
      <c r="X231" s="50"/>
      <c r="Y231" s="50"/>
      <c r="Z231" s="50"/>
      <c r="AA231" s="50"/>
      <c r="AB231" s="50"/>
    </row>
    <row r="232" customFormat="false" ht="15.75" hidden="false" customHeight="false" outlineLevel="0" collapsed="false">
      <c r="A232" s="50"/>
      <c r="B232" s="50"/>
      <c r="C232" s="5"/>
      <c r="D232" s="48"/>
      <c r="E232" s="50"/>
      <c r="F232" s="5"/>
      <c r="G232" s="5"/>
      <c r="H232" s="5"/>
      <c r="I232" s="5"/>
      <c r="J232" s="5"/>
      <c r="K232" s="50"/>
      <c r="L232" s="50"/>
      <c r="M232" s="50"/>
      <c r="N232" s="50"/>
      <c r="O232" s="50"/>
      <c r="P232" s="50"/>
      <c r="Q232" s="50"/>
      <c r="R232" s="50"/>
      <c r="S232" s="50"/>
      <c r="T232" s="50"/>
      <c r="U232" s="50"/>
      <c r="V232" s="50"/>
      <c r="W232" s="50"/>
      <c r="X232" s="50"/>
      <c r="Y232" s="50"/>
      <c r="Z232" s="50"/>
      <c r="AA232" s="50"/>
      <c r="AB232" s="50"/>
    </row>
    <row r="233" customFormat="false" ht="15.75" hidden="false" customHeight="false" outlineLevel="0" collapsed="false">
      <c r="A233" s="50"/>
      <c r="B233" s="50"/>
      <c r="C233" s="5"/>
      <c r="D233" s="48"/>
      <c r="E233" s="50"/>
      <c r="F233" s="5"/>
      <c r="G233" s="5"/>
      <c r="H233" s="5"/>
      <c r="I233" s="5"/>
      <c r="J233" s="5"/>
      <c r="K233" s="50"/>
      <c r="L233" s="50"/>
      <c r="M233" s="50"/>
      <c r="N233" s="50"/>
      <c r="O233" s="50"/>
      <c r="P233" s="50"/>
      <c r="Q233" s="50"/>
      <c r="R233" s="50"/>
      <c r="S233" s="50"/>
      <c r="T233" s="50"/>
      <c r="U233" s="50"/>
      <c r="V233" s="50"/>
      <c r="W233" s="50"/>
      <c r="X233" s="50"/>
      <c r="Y233" s="50"/>
      <c r="Z233" s="50"/>
      <c r="AA233" s="50"/>
      <c r="AB233" s="50"/>
    </row>
    <row r="234" customFormat="false" ht="15.75" hidden="false" customHeight="false" outlineLevel="0" collapsed="false">
      <c r="A234" s="50"/>
      <c r="B234" s="50"/>
      <c r="C234" s="5"/>
      <c r="D234" s="48"/>
      <c r="E234" s="50"/>
      <c r="F234" s="5"/>
      <c r="G234" s="5"/>
      <c r="H234" s="5"/>
      <c r="I234" s="5"/>
      <c r="J234" s="5"/>
      <c r="K234" s="50"/>
      <c r="L234" s="50"/>
      <c r="M234" s="50"/>
      <c r="N234" s="50"/>
      <c r="O234" s="50"/>
      <c r="P234" s="50"/>
      <c r="Q234" s="50"/>
      <c r="R234" s="50"/>
      <c r="S234" s="50"/>
      <c r="T234" s="50"/>
      <c r="U234" s="50"/>
      <c r="V234" s="50"/>
      <c r="W234" s="50"/>
      <c r="X234" s="50"/>
      <c r="Y234" s="50"/>
      <c r="Z234" s="50"/>
      <c r="AA234" s="50"/>
      <c r="AB234" s="50"/>
    </row>
    <row r="235" customFormat="false" ht="15.75" hidden="false" customHeight="false" outlineLevel="0" collapsed="false">
      <c r="A235" s="50"/>
      <c r="B235" s="50"/>
      <c r="C235" s="5"/>
      <c r="D235" s="48"/>
      <c r="E235" s="50"/>
      <c r="F235" s="5"/>
      <c r="G235" s="5"/>
      <c r="H235" s="5"/>
      <c r="I235" s="5"/>
      <c r="J235" s="5"/>
      <c r="K235" s="50"/>
      <c r="L235" s="50"/>
      <c r="M235" s="50"/>
      <c r="N235" s="50"/>
      <c r="O235" s="50"/>
      <c r="P235" s="50"/>
      <c r="Q235" s="50"/>
      <c r="R235" s="50"/>
      <c r="S235" s="50"/>
      <c r="T235" s="50"/>
      <c r="U235" s="50"/>
      <c r="V235" s="50"/>
      <c r="W235" s="50"/>
      <c r="X235" s="50"/>
      <c r="Y235" s="50"/>
      <c r="Z235" s="50"/>
      <c r="AA235" s="50"/>
      <c r="AB235" s="50"/>
    </row>
    <row r="236" customFormat="false" ht="15.75" hidden="false" customHeight="false" outlineLevel="0" collapsed="false">
      <c r="A236" s="50"/>
      <c r="B236" s="50"/>
      <c r="C236" s="5"/>
      <c r="D236" s="48"/>
      <c r="E236" s="50"/>
      <c r="F236" s="5"/>
      <c r="G236" s="5"/>
      <c r="H236" s="5"/>
      <c r="I236" s="5"/>
      <c r="J236" s="5"/>
      <c r="K236" s="50"/>
      <c r="L236" s="50"/>
      <c r="M236" s="50"/>
      <c r="N236" s="50"/>
      <c r="O236" s="50"/>
      <c r="P236" s="50"/>
      <c r="Q236" s="50"/>
      <c r="R236" s="50"/>
      <c r="S236" s="50"/>
      <c r="T236" s="50"/>
      <c r="U236" s="50"/>
      <c r="V236" s="50"/>
      <c r="W236" s="50"/>
      <c r="X236" s="50"/>
      <c r="Y236" s="50"/>
      <c r="Z236" s="50"/>
      <c r="AA236" s="50"/>
      <c r="AB236" s="50"/>
    </row>
    <row r="237" customFormat="false" ht="15.75" hidden="false" customHeight="false" outlineLevel="0" collapsed="false">
      <c r="A237" s="50"/>
      <c r="B237" s="50"/>
      <c r="C237" s="5"/>
      <c r="D237" s="48"/>
      <c r="E237" s="50"/>
      <c r="F237" s="5"/>
      <c r="G237" s="5"/>
      <c r="H237" s="5"/>
      <c r="I237" s="5"/>
      <c r="J237" s="5"/>
      <c r="K237" s="50"/>
      <c r="L237" s="50"/>
      <c r="M237" s="50"/>
      <c r="N237" s="50"/>
      <c r="O237" s="50"/>
      <c r="P237" s="50"/>
      <c r="Q237" s="50"/>
      <c r="R237" s="50"/>
      <c r="S237" s="50"/>
      <c r="T237" s="50"/>
      <c r="U237" s="50"/>
      <c r="V237" s="50"/>
      <c r="W237" s="50"/>
      <c r="X237" s="50"/>
      <c r="Y237" s="50"/>
      <c r="Z237" s="50"/>
      <c r="AA237" s="50"/>
      <c r="AB237" s="50"/>
    </row>
    <row r="238" customFormat="false" ht="15.75" hidden="false" customHeight="false" outlineLevel="0" collapsed="false">
      <c r="A238" s="50"/>
      <c r="B238" s="50"/>
      <c r="C238" s="5"/>
      <c r="D238" s="48"/>
      <c r="E238" s="50"/>
      <c r="F238" s="5"/>
      <c r="G238" s="5"/>
      <c r="H238" s="5"/>
      <c r="I238" s="5"/>
      <c r="J238" s="5"/>
      <c r="K238" s="50"/>
      <c r="L238" s="50"/>
      <c r="M238" s="50"/>
      <c r="N238" s="50"/>
      <c r="O238" s="50"/>
      <c r="P238" s="50"/>
      <c r="Q238" s="50"/>
      <c r="R238" s="50"/>
      <c r="S238" s="50"/>
      <c r="T238" s="50"/>
      <c r="U238" s="50"/>
      <c r="V238" s="50"/>
      <c r="W238" s="50"/>
      <c r="X238" s="50"/>
      <c r="Y238" s="50"/>
      <c r="Z238" s="50"/>
      <c r="AA238" s="50"/>
      <c r="AB238" s="50"/>
    </row>
    <row r="239" customFormat="false" ht="15.75" hidden="false" customHeight="false" outlineLevel="0" collapsed="false">
      <c r="A239" s="50"/>
      <c r="B239" s="50"/>
      <c r="C239" s="5"/>
      <c r="D239" s="48"/>
      <c r="E239" s="50"/>
      <c r="F239" s="5"/>
      <c r="G239" s="5"/>
      <c r="H239" s="5"/>
      <c r="I239" s="5"/>
      <c r="J239" s="5"/>
      <c r="K239" s="50"/>
      <c r="L239" s="50"/>
      <c r="M239" s="50"/>
      <c r="N239" s="50"/>
      <c r="O239" s="50"/>
      <c r="P239" s="50"/>
      <c r="Q239" s="50"/>
      <c r="R239" s="50"/>
      <c r="S239" s="50"/>
      <c r="T239" s="50"/>
      <c r="U239" s="50"/>
      <c r="V239" s="50"/>
      <c r="W239" s="50"/>
      <c r="X239" s="50"/>
      <c r="Y239" s="50"/>
      <c r="Z239" s="50"/>
      <c r="AA239" s="50"/>
      <c r="AB239" s="50"/>
    </row>
    <row r="240" customFormat="false" ht="15.75" hidden="false" customHeight="false" outlineLevel="0" collapsed="false">
      <c r="A240" s="50"/>
      <c r="B240" s="50"/>
      <c r="C240" s="5"/>
      <c r="D240" s="48"/>
      <c r="E240" s="50"/>
      <c r="F240" s="5"/>
      <c r="G240" s="5"/>
      <c r="H240" s="5"/>
      <c r="I240" s="5"/>
      <c r="J240" s="5"/>
      <c r="K240" s="50"/>
      <c r="L240" s="50"/>
      <c r="M240" s="50"/>
      <c r="N240" s="50"/>
      <c r="O240" s="50"/>
      <c r="P240" s="50"/>
      <c r="Q240" s="50"/>
      <c r="R240" s="50"/>
      <c r="S240" s="50"/>
      <c r="T240" s="50"/>
      <c r="U240" s="50"/>
      <c r="V240" s="50"/>
      <c r="W240" s="50"/>
      <c r="X240" s="50"/>
      <c r="Y240" s="50"/>
      <c r="Z240" s="50"/>
      <c r="AA240" s="50"/>
      <c r="AB240" s="50"/>
    </row>
    <row r="241" customFormat="false" ht="15.75" hidden="false" customHeight="false" outlineLevel="0" collapsed="false">
      <c r="A241" s="50"/>
      <c r="B241" s="50"/>
      <c r="C241" s="5"/>
      <c r="D241" s="48"/>
      <c r="E241" s="50"/>
      <c r="F241" s="5"/>
      <c r="G241" s="5"/>
      <c r="H241" s="5"/>
      <c r="I241" s="5"/>
      <c r="J241" s="5"/>
      <c r="K241" s="50"/>
      <c r="L241" s="50"/>
      <c r="M241" s="50"/>
      <c r="N241" s="50"/>
      <c r="O241" s="50"/>
      <c r="P241" s="50"/>
      <c r="Q241" s="50"/>
      <c r="R241" s="50"/>
      <c r="S241" s="50"/>
      <c r="T241" s="50"/>
      <c r="U241" s="50"/>
      <c r="V241" s="50"/>
      <c r="W241" s="50"/>
      <c r="X241" s="50"/>
      <c r="Y241" s="50"/>
      <c r="Z241" s="50"/>
      <c r="AA241" s="50"/>
      <c r="AB241" s="50"/>
    </row>
    <row r="242" customFormat="false" ht="15.75" hidden="false" customHeight="false" outlineLevel="0" collapsed="false">
      <c r="A242" s="50"/>
      <c r="B242" s="50"/>
      <c r="C242" s="5"/>
      <c r="D242" s="48"/>
      <c r="E242" s="50"/>
      <c r="F242" s="5"/>
      <c r="G242" s="5"/>
      <c r="H242" s="5"/>
      <c r="I242" s="5"/>
      <c r="J242" s="5"/>
      <c r="K242" s="50"/>
      <c r="L242" s="50"/>
      <c r="M242" s="50"/>
      <c r="N242" s="50"/>
      <c r="O242" s="50"/>
      <c r="P242" s="50"/>
      <c r="Q242" s="50"/>
      <c r="R242" s="50"/>
      <c r="S242" s="50"/>
      <c r="T242" s="50"/>
      <c r="U242" s="50"/>
      <c r="V242" s="50"/>
      <c r="W242" s="50"/>
      <c r="X242" s="50"/>
      <c r="Y242" s="50"/>
      <c r="Z242" s="50"/>
      <c r="AA242" s="50"/>
      <c r="AB242" s="50"/>
    </row>
    <row r="243" customFormat="false" ht="15.75" hidden="false" customHeight="false" outlineLevel="0" collapsed="false">
      <c r="A243" s="50"/>
      <c r="B243" s="50"/>
      <c r="C243" s="5"/>
      <c r="D243" s="48"/>
      <c r="E243" s="50"/>
      <c r="F243" s="5"/>
      <c r="G243" s="5"/>
      <c r="H243" s="5"/>
      <c r="I243" s="5"/>
      <c r="J243" s="5"/>
      <c r="K243" s="50"/>
      <c r="L243" s="50"/>
      <c r="M243" s="50"/>
      <c r="N243" s="50"/>
      <c r="O243" s="50"/>
      <c r="P243" s="50"/>
      <c r="Q243" s="50"/>
      <c r="R243" s="50"/>
      <c r="S243" s="50"/>
      <c r="T243" s="50"/>
      <c r="U243" s="50"/>
      <c r="V243" s="50"/>
      <c r="W243" s="50"/>
      <c r="X243" s="50"/>
      <c r="Y243" s="50"/>
      <c r="Z243" s="50"/>
      <c r="AA243" s="50"/>
      <c r="AB243" s="50"/>
    </row>
    <row r="244" customFormat="false" ht="15.75" hidden="false" customHeight="false" outlineLevel="0" collapsed="false">
      <c r="A244" s="50"/>
      <c r="B244" s="50"/>
      <c r="C244" s="5"/>
      <c r="D244" s="48"/>
      <c r="E244" s="50"/>
      <c r="F244" s="5"/>
      <c r="G244" s="5"/>
      <c r="H244" s="5"/>
      <c r="I244" s="5"/>
      <c r="J244" s="5"/>
      <c r="K244" s="50"/>
      <c r="L244" s="50"/>
      <c r="M244" s="50"/>
      <c r="N244" s="50"/>
      <c r="O244" s="50"/>
      <c r="P244" s="50"/>
      <c r="Q244" s="50"/>
      <c r="R244" s="50"/>
      <c r="S244" s="50"/>
      <c r="T244" s="50"/>
      <c r="U244" s="50"/>
      <c r="V244" s="50"/>
      <c r="W244" s="50"/>
      <c r="X244" s="50"/>
      <c r="Y244" s="50"/>
      <c r="Z244" s="50"/>
      <c r="AA244" s="50"/>
      <c r="AB244" s="50"/>
    </row>
    <row r="245" customFormat="false" ht="15.75" hidden="false" customHeight="false" outlineLevel="0" collapsed="false">
      <c r="A245" s="50"/>
      <c r="B245" s="50"/>
      <c r="C245" s="5"/>
      <c r="D245" s="48"/>
      <c r="E245" s="50"/>
      <c r="F245" s="5"/>
      <c r="G245" s="5"/>
      <c r="H245" s="5"/>
      <c r="I245" s="5"/>
      <c r="J245" s="5"/>
      <c r="K245" s="50"/>
      <c r="L245" s="50"/>
      <c r="M245" s="50"/>
      <c r="N245" s="50"/>
      <c r="O245" s="50"/>
      <c r="P245" s="50"/>
      <c r="Q245" s="50"/>
      <c r="R245" s="50"/>
      <c r="S245" s="50"/>
      <c r="T245" s="50"/>
      <c r="U245" s="50"/>
      <c r="V245" s="50"/>
      <c r="W245" s="50"/>
      <c r="X245" s="50"/>
      <c r="Y245" s="50"/>
      <c r="Z245" s="50"/>
      <c r="AA245" s="50"/>
      <c r="AB245" s="50"/>
    </row>
    <row r="246" customFormat="false" ht="15.75" hidden="false" customHeight="false" outlineLevel="0" collapsed="false">
      <c r="A246" s="50"/>
      <c r="B246" s="50"/>
      <c r="C246" s="5"/>
      <c r="D246" s="48"/>
      <c r="E246" s="50"/>
      <c r="F246" s="5"/>
      <c r="G246" s="5"/>
      <c r="H246" s="5"/>
      <c r="I246" s="5"/>
      <c r="J246" s="5"/>
      <c r="K246" s="50"/>
      <c r="L246" s="50"/>
      <c r="M246" s="50"/>
      <c r="N246" s="50"/>
      <c r="O246" s="50"/>
      <c r="P246" s="50"/>
      <c r="Q246" s="50"/>
      <c r="R246" s="50"/>
      <c r="S246" s="50"/>
      <c r="T246" s="50"/>
      <c r="U246" s="50"/>
      <c r="V246" s="50"/>
      <c r="W246" s="50"/>
      <c r="X246" s="50"/>
      <c r="Y246" s="50"/>
      <c r="Z246" s="50"/>
      <c r="AA246" s="50"/>
      <c r="AB246" s="50"/>
    </row>
    <row r="247" customFormat="false" ht="15.75" hidden="false" customHeight="false" outlineLevel="0" collapsed="false">
      <c r="A247" s="50"/>
      <c r="B247" s="50"/>
      <c r="C247" s="5"/>
      <c r="D247" s="48"/>
      <c r="E247" s="50"/>
      <c r="F247" s="5"/>
      <c r="G247" s="5"/>
      <c r="H247" s="5"/>
      <c r="I247" s="5"/>
      <c r="J247" s="5"/>
      <c r="K247" s="50"/>
      <c r="L247" s="50"/>
      <c r="M247" s="50"/>
      <c r="N247" s="50"/>
      <c r="O247" s="50"/>
      <c r="P247" s="50"/>
      <c r="Q247" s="50"/>
      <c r="R247" s="50"/>
      <c r="S247" s="50"/>
      <c r="T247" s="50"/>
      <c r="U247" s="50"/>
      <c r="V247" s="50"/>
      <c r="W247" s="50"/>
      <c r="X247" s="50"/>
      <c r="Y247" s="50"/>
      <c r="Z247" s="50"/>
      <c r="AA247" s="50"/>
      <c r="AB247" s="50"/>
    </row>
    <row r="248" customFormat="false" ht="15.75" hidden="false" customHeight="false" outlineLevel="0" collapsed="false">
      <c r="A248" s="50"/>
      <c r="B248" s="50"/>
      <c r="C248" s="5"/>
      <c r="D248" s="48"/>
      <c r="E248" s="50"/>
      <c r="F248" s="5"/>
      <c r="G248" s="5"/>
      <c r="H248" s="5"/>
      <c r="I248" s="5"/>
      <c r="J248" s="5"/>
      <c r="K248" s="50"/>
      <c r="L248" s="50"/>
      <c r="M248" s="50"/>
      <c r="N248" s="50"/>
      <c r="O248" s="50"/>
      <c r="P248" s="50"/>
      <c r="Q248" s="50"/>
      <c r="R248" s="50"/>
      <c r="S248" s="50"/>
      <c r="T248" s="50"/>
      <c r="U248" s="50"/>
      <c r="V248" s="50"/>
      <c r="W248" s="50"/>
      <c r="X248" s="50"/>
      <c r="Y248" s="50"/>
      <c r="Z248" s="50"/>
      <c r="AA248" s="50"/>
      <c r="AB248" s="50"/>
    </row>
    <row r="249" customFormat="false" ht="15.75" hidden="false" customHeight="false" outlineLevel="0" collapsed="false">
      <c r="A249" s="50"/>
      <c r="B249" s="50"/>
      <c r="C249" s="5"/>
      <c r="D249" s="48"/>
      <c r="E249" s="50"/>
      <c r="F249" s="5"/>
      <c r="G249" s="5"/>
      <c r="H249" s="5"/>
      <c r="I249" s="5"/>
      <c r="J249" s="5"/>
      <c r="K249" s="50"/>
      <c r="L249" s="50"/>
      <c r="M249" s="50"/>
      <c r="N249" s="50"/>
      <c r="O249" s="50"/>
      <c r="P249" s="50"/>
      <c r="Q249" s="50"/>
      <c r="R249" s="50"/>
      <c r="S249" s="50"/>
      <c r="T249" s="50"/>
      <c r="U249" s="50"/>
      <c r="V249" s="50"/>
      <c r="W249" s="50"/>
      <c r="X249" s="50"/>
      <c r="Y249" s="50"/>
      <c r="Z249" s="50"/>
      <c r="AA249" s="50"/>
      <c r="AB249" s="50"/>
    </row>
    <row r="250" customFormat="false" ht="15.75" hidden="false" customHeight="false" outlineLevel="0" collapsed="false">
      <c r="A250" s="50"/>
      <c r="B250" s="50"/>
      <c r="C250" s="5"/>
      <c r="D250" s="48"/>
      <c r="E250" s="50"/>
      <c r="F250" s="5"/>
      <c r="G250" s="5"/>
      <c r="H250" s="5"/>
      <c r="I250" s="5"/>
      <c r="J250" s="5"/>
      <c r="K250" s="50"/>
      <c r="L250" s="50"/>
      <c r="M250" s="50"/>
      <c r="N250" s="50"/>
      <c r="O250" s="50"/>
      <c r="P250" s="50"/>
      <c r="Q250" s="50"/>
      <c r="R250" s="50"/>
      <c r="S250" s="50"/>
      <c r="T250" s="50"/>
      <c r="U250" s="50"/>
      <c r="V250" s="50"/>
      <c r="W250" s="50"/>
      <c r="X250" s="50"/>
      <c r="Y250" s="50"/>
      <c r="Z250" s="50"/>
      <c r="AA250" s="50"/>
      <c r="AB250" s="50"/>
    </row>
    <row r="251" customFormat="false" ht="15.75" hidden="false" customHeight="false" outlineLevel="0" collapsed="false">
      <c r="A251" s="50"/>
      <c r="B251" s="50"/>
      <c r="C251" s="5"/>
      <c r="D251" s="48"/>
      <c r="E251" s="50"/>
      <c r="F251" s="5"/>
      <c r="G251" s="5"/>
      <c r="H251" s="5"/>
      <c r="I251" s="5"/>
      <c r="J251" s="5"/>
      <c r="K251" s="50"/>
      <c r="L251" s="50"/>
      <c r="M251" s="50"/>
      <c r="N251" s="50"/>
      <c r="O251" s="50"/>
      <c r="P251" s="50"/>
      <c r="Q251" s="50"/>
      <c r="R251" s="50"/>
      <c r="S251" s="50"/>
      <c r="T251" s="50"/>
      <c r="U251" s="50"/>
      <c r="V251" s="50"/>
      <c r="W251" s="50"/>
      <c r="X251" s="50"/>
      <c r="Y251" s="50"/>
      <c r="Z251" s="50"/>
      <c r="AA251" s="50"/>
      <c r="AB251" s="50"/>
    </row>
    <row r="252" customFormat="false" ht="15.75" hidden="false" customHeight="false" outlineLevel="0" collapsed="false">
      <c r="A252" s="50"/>
      <c r="B252" s="50"/>
      <c r="C252" s="5"/>
      <c r="D252" s="48"/>
      <c r="E252" s="50"/>
      <c r="F252" s="5"/>
      <c r="G252" s="5"/>
      <c r="H252" s="5"/>
      <c r="I252" s="5"/>
      <c r="J252" s="5"/>
      <c r="K252" s="50"/>
      <c r="L252" s="50"/>
      <c r="M252" s="50"/>
      <c r="N252" s="50"/>
      <c r="O252" s="50"/>
      <c r="P252" s="50"/>
      <c r="Q252" s="50"/>
      <c r="R252" s="50"/>
      <c r="S252" s="50"/>
      <c r="T252" s="50"/>
      <c r="U252" s="50"/>
      <c r="V252" s="50"/>
      <c r="W252" s="50"/>
      <c r="X252" s="50"/>
      <c r="Y252" s="50"/>
      <c r="Z252" s="50"/>
      <c r="AA252" s="50"/>
      <c r="AB252" s="50"/>
    </row>
    <row r="253" customFormat="false" ht="15.75" hidden="false" customHeight="false" outlineLevel="0" collapsed="false">
      <c r="A253" s="50"/>
      <c r="B253" s="50"/>
      <c r="C253" s="5"/>
      <c r="D253" s="48"/>
      <c r="E253" s="50"/>
      <c r="F253" s="5"/>
      <c r="G253" s="5"/>
      <c r="H253" s="5"/>
      <c r="I253" s="5"/>
      <c r="J253" s="5"/>
      <c r="K253" s="50"/>
      <c r="L253" s="50"/>
      <c r="M253" s="50"/>
      <c r="N253" s="50"/>
      <c r="O253" s="50"/>
      <c r="P253" s="50"/>
      <c r="Q253" s="50"/>
      <c r="R253" s="50"/>
      <c r="S253" s="50"/>
      <c r="T253" s="50"/>
      <c r="U253" s="50"/>
      <c r="V253" s="50"/>
      <c r="W253" s="50"/>
      <c r="X253" s="50"/>
      <c r="Y253" s="50"/>
      <c r="Z253" s="50"/>
      <c r="AA253" s="50"/>
      <c r="AB253" s="50"/>
    </row>
    <row r="254" customFormat="false" ht="15.75" hidden="false" customHeight="false" outlineLevel="0" collapsed="false">
      <c r="A254" s="50"/>
      <c r="B254" s="50"/>
      <c r="C254" s="5"/>
      <c r="D254" s="48"/>
      <c r="E254" s="50"/>
      <c r="F254" s="5"/>
      <c r="G254" s="5"/>
      <c r="H254" s="5"/>
      <c r="I254" s="5"/>
      <c r="J254" s="5"/>
      <c r="K254" s="50"/>
      <c r="L254" s="50"/>
      <c r="M254" s="50"/>
      <c r="N254" s="50"/>
      <c r="O254" s="50"/>
      <c r="P254" s="50"/>
      <c r="Q254" s="50"/>
      <c r="R254" s="50"/>
      <c r="S254" s="50"/>
      <c r="T254" s="50"/>
      <c r="U254" s="50"/>
      <c r="V254" s="50"/>
      <c r="W254" s="50"/>
      <c r="X254" s="50"/>
      <c r="Y254" s="50"/>
      <c r="Z254" s="50"/>
      <c r="AA254" s="50"/>
      <c r="AB254" s="50"/>
    </row>
    <row r="255" customFormat="false" ht="15.75" hidden="false" customHeight="false" outlineLevel="0" collapsed="false">
      <c r="A255" s="50"/>
      <c r="B255" s="50"/>
      <c r="C255" s="5"/>
      <c r="D255" s="48"/>
      <c r="E255" s="50"/>
      <c r="F255" s="5"/>
      <c r="G255" s="5"/>
      <c r="H255" s="5"/>
      <c r="I255" s="5"/>
      <c r="J255" s="5"/>
      <c r="K255" s="50"/>
      <c r="L255" s="50"/>
      <c r="M255" s="50"/>
      <c r="N255" s="50"/>
      <c r="O255" s="50"/>
      <c r="P255" s="50"/>
      <c r="Q255" s="50"/>
      <c r="R255" s="50"/>
      <c r="S255" s="50"/>
      <c r="T255" s="50"/>
      <c r="U255" s="50"/>
      <c r="V255" s="50"/>
      <c r="W255" s="50"/>
      <c r="X255" s="50"/>
      <c r="Y255" s="50"/>
      <c r="Z255" s="50"/>
      <c r="AA255" s="50"/>
      <c r="AB255" s="50"/>
    </row>
    <row r="256" customFormat="false" ht="15.75" hidden="false" customHeight="false" outlineLevel="0" collapsed="false">
      <c r="A256" s="50"/>
      <c r="B256" s="50"/>
      <c r="C256" s="5"/>
      <c r="D256" s="48"/>
      <c r="E256" s="50"/>
      <c r="F256" s="5"/>
      <c r="G256" s="5"/>
      <c r="H256" s="5"/>
      <c r="I256" s="5"/>
      <c r="J256" s="5"/>
      <c r="K256" s="50"/>
      <c r="L256" s="50"/>
      <c r="M256" s="50"/>
      <c r="N256" s="50"/>
      <c r="O256" s="50"/>
      <c r="P256" s="50"/>
      <c r="Q256" s="50"/>
      <c r="R256" s="50"/>
      <c r="S256" s="50"/>
      <c r="T256" s="50"/>
      <c r="U256" s="50"/>
      <c r="V256" s="50"/>
      <c r="W256" s="50"/>
      <c r="X256" s="50"/>
      <c r="Y256" s="50"/>
      <c r="Z256" s="50"/>
      <c r="AA256" s="50"/>
      <c r="AB256" s="50"/>
    </row>
    <row r="257" customFormat="false" ht="15.75" hidden="false" customHeight="false" outlineLevel="0" collapsed="false">
      <c r="A257" s="50"/>
      <c r="B257" s="50"/>
      <c r="C257" s="5"/>
      <c r="D257" s="48"/>
      <c r="E257" s="50"/>
      <c r="F257" s="5"/>
      <c r="G257" s="5"/>
      <c r="H257" s="5"/>
      <c r="I257" s="5"/>
      <c r="J257" s="5"/>
      <c r="K257" s="50"/>
      <c r="L257" s="50"/>
      <c r="M257" s="50"/>
      <c r="N257" s="50"/>
      <c r="O257" s="50"/>
      <c r="P257" s="50"/>
      <c r="Q257" s="50"/>
      <c r="R257" s="50"/>
      <c r="S257" s="50"/>
      <c r="T257" s="50"/>
      <c r="U257" s="50"/>
      <c r="V257" s="50"/>
      <c r="W257" s="50"/>
      <c r="X257" s="50"/>
      <c r="Y257" s="50"/>
      <c r="Z257" s="50"/>
      <c r="AA257" s="50"/>
      <c r="AB257" s="50"/>
    </row>
    <row r="258" customFormat="false" ht="15.75" hidden="false" customHeight="false" outlineLevel="0" collapsed="false">
      <c r="A258" s="50"/>
      <c r="B258" s="50"/>
      <c r="C258" s="5"/>
      <c r="D258" s="48"/>
      <c r="E258" s="50"/>
      <c r="F258" s="5"/>
      <c r="G258" s="5"/>
      <c r="H258" s="5"/>
      <c r="I258" s="5"/>
      <c r="J258" s="5"/>
      <c r="K258" s="50"/>
      <c r="L258" s="50"/>
      <c r="M258" s="50"/>
      <c r="N258" s="50"/>
      <c r="O258" s="50"/>
      <c r="P258" s="50"/>
      <c r="Q258" s="50"/>
      <c r="R258" s="50"/>
      <c r="S258" s="50"/>
      <c r="T258" s="50"/>
      <c r="U258" s="50"/>
      <c r="V258" s="50"/>
      <c r="W258" s="50"/>
      <c r="X258" s="50"/>
      <c r="Y258" s="50"/>
      <c r="Z258" s="50"/>
      <c r="AA258" s="50"/>
      <c r="AB258" s="50"/>
    </row>
    <row r="259" customFormat="false" ht="15.75" hidden="false" customHeight="false" outlineLevel="0" collapsed="false">
      <c r="A259" s="50"/>
      <c r="B259" s="50"/>
      <c r="C259" s="5"/>
      <c r="D259" s="48"/>
      <c r="E259" s="50"/>
      <c r="F259" s="5"/>
      <c r="G259" s="5"/>
      <c r="H259" s="5"/>
      <c r="I259" s="5"/>
      <c r="J259" s="5"/>
      <c r="K259" s="50"/>
      <c r="L259" s="50"/>
      <c r="M259" s="50"/>
      <c r="N259" s="50"/>
      <c r="O259" s="50"/>
      <c r="P259" s="50"/>
      <c r="Q259" s="50"/>
      <c r="R259" s="50"/>
      <c r="S259" s="50"/>
      <c r="T259" s="50"/>
      <c r="U259" s="50"/>
      <c r="V259" s="50"/>
      <c r="W259" s="50"/>
      <c r="X259" s="50"/>
      <c r="Y259" s="50"/>
      <c r="Z259" s="50"/>
      <c r="AA259" s="50"/>
      <c r="AB259" s="50"/>
    </row>
    <row r="260" customFormat="false" ht="15.75" hidden="false" customHeight="false" outlineLevel="0" collapsed="false">
      <c r="A260" s="50"/>
      <c r="B260" s="50"/>
      <c r="C260" s="5"/>
      <c r="D260" s="48"/>
      <c r="E260" s="50"/>
      <c r="F260" s="5"/>
      <c r="G260" s="5"/>
      <c r="H260" s="5"/>
      <c r="I260" s="5"/>
      <c r="J260" s="5"/>
      <c r="K260" s="50"/>
      <c r="L260" s="50"/>
      <c r="M260" s="50"/>
      <c r="N260" s="50"/>
      <c r="O260" s="50"/>
      <c r="P260" s="50"/>
      <c r="Q260" s="50"/>
      <c r="R260" s="50"/>
      <c r="S260" s="50"/>
      <c r="T260" s="50"/>
      <c r="U260" s="50"/>
      <c r="V260" s="50"/>
      <c r="W260" s="50"/>
      <c r="X260" s="50"/>
      <c r="Y260" s="50"/>
      <c r="Z260" s="50"/>
      <c r="AA260" s="50"/>
      <c r="AB260" s="50"/>
    </row>
    <row r="261" customFormat="false" ht="15.75" hidden="false" customHeight="false" outlineLevel="0" collapsed="false">
      <c r="A261" s="50"/>
      <c r="B261" s="50"/>
      <c r="C261" s="5"/>
      <c r="D261" s="48"/>
      <c r="E261" s="50"/>
      <c r="F261" s="5"/>
      <c r="G261" s="5"/>
      <c r="H261" s="5"/>
      <c r="I261" s="5"/>
      <c r="J261" s="5"/>
      <c r="K261" s="50"/>
      <c r="L261" s="50"/>
      <c r="M261" s="50"/>
      <c r="N261" s="50"/>
      <c r="O261" s="50"/>
      <c r="P261" s="50"/>
      <c r="Q261" s="50"/>
      <c r="R261" s="50"/>
      <c r="S261" s="50"/>
      <c r="T261" s="50"/>
      <c r="U261" s="50"/>
      <c r="V261" s="50"/>
      <c r="W261" s="50"/>
      <c r="X261" s="50"/>
      <c r="Y261" s="50"/>
      <c r="Z261" s="50"/>
      <c r="AA261" s="50"/>
      <c r="AB261" s="50"/>
    </row>
    <row r="262" customFormat="false" ht="15.75" hidden="false" customHeight="false" outlineLevel="0" collapsed="false">
      <c r="A262" s="50"/>
      <c r="B262" s="50"/>
      <c r="C262" s="5"/>
      <c r="D262" s="48"/>
      <c r="E262" s="50"/>
      <c r="F262" s="5"/>
      <c r="G262" s="5"/>
      <c r="H262" s="5"/>
      <c r="I262" s="5"/>
      <c r="J262" s="5"/>
      <c r="K262" s="50"/>
      <c r="L262" s="50"/>
      <c r="M262" s="50"/>
      <c r="N262" s="50"/>
      <c r="O262" s="50"/>
      <c r="P262" s="50"/>
      <c r="Q262" s="50"/>
      <c r="R262" s="50"/>
      <c r="S262" s="50"/>
      <c r="T262" s="50"/>
      <c r="U262" s="50"/>
      <c r="V262" s="50"/>
      <c r="W262" s="50"/>
      <c r="X262" s="50"/>
      <c r="Y262" s="50"/>
      <c r="Z262" s="50"/>
      <c r="AA262" s="50"/>
      <c r="AB262" s="50"/>
    </row>
    <row r="263" customFormat="false" ht="15.75" hidden="false" customHeight="false" outlineLevel="0" collapsed="false">
      <c r="A263" s="50"/>
      <c r="B263" s="50"/>
      <c r="C263" s="5"/>
      <c r="D263" s="48"/>
      <c r="E263" s="50"/>
      <c r="F263" s="5"/>
      <c r="G263" s="5"/>
      <c r="H263" s="5"/>
      <c r="I263" s="5"/>
      <c r="J263" s="5"/>
      <c r="K263" s="50"/>
      <c r="L263" s="50"/>
      <c r="M263" s="50"/>
      <c r="N263" s="50"/>
      <c r="O263" s="50"/>
      <c r="P263" s="50"/>
      <c r="Q263" s="50"/>
      <c r="R263" s="50"/>
      <c r="S263" s="50"/>
      <c r="T263" s="50"/>
      <c r="U263" s="50"/>
      <c r="V263" s="50"/>
      <c r="W263" s="50"/>
      <c r="X263" s="50"/>
      <c r="Y263" s="50"/>
      <c r="Z263" s="50"/>
      <c r="AA263" s="50"/>
      <c r="AB263" s="50"/>
    </row>
    <row r="264" customFormat="false" ht="15.75" hidden="false" customHeight="false" outlineLevel="0" collapsed="false">
      <c r="A264" s="50"/>
      <c r="B264" s="50"/>
      <c r="C264" s="5"/>
      <c r="D264" s="48"/>
      <c r="E264" s="50"/>
      <c r="F264" s="5"/>
      <c r="G264" s="5"/>
      <c r="H264" s="5"/>
      <c r="I264" s="5"/>
      <c r="J264" s="5"/>
      <c r="K264" s="50"/>
      <c r="L264" s="50"/>
      <c r="M264" s="50"/>
      <c r="N264" s="50"/>
      <c r="O264" s="50"/>
      <c r="P264" s="50"/>
      <c r="Q264" s="50"/>
      <c r="R264" s="50"/>
      <c r="S264" s="50"/>
      <c r="T264" s="50"/>
      <c r="U264" s="50"/>
      <c r="V264" s="50"/>
      <c r="W264" s="50"/>
      <c r="X264" s="50"/>
      <c r="Y264" s="50"/>
      <c r="Z264" s="50"/>
      <c r="AA264" s="50"/>
      <c r="AB264" s="50"/>
    </row>
    <row r="265" customFormat="false" ht="15.75" hidden="false" customHeight="false" outlineLevel="0" collapsed="false">
      <c r="A265" s="50"/>
      <c r="B265" s="50"/>
      <c r="C265" s="5"/>
      <c r="D265" s="48"/>
      <c r="E265" s="50"/>
      <c r="F265" s="5"/>
      <c r="G265" s="5"/>
      <c r="H265" s="5"/>
      <c r="I265" s="5"/>
      <c r="J265" s="5"/>
      <c r="K265" s="50"/>
      <c r="L265" s="50"/>
      <c r="M265" s="50"/>
      <c r="N265" s="50"/>
      <c r="O265" s="50"/>
      <c r="P265" s="50"/>
      <c r="Q265" s="50"/>
      <c r="R265" s="50"/>
      <c r="S265" s="50"/>
      <c r="T265" s="50"/>
      <c r="U265" s="50"/>
      <c r="V265" s="50"/>
      <c r="W265" s="50"/>
      <c r="X265" s="50"/>
      <c r="Y265" s="50"/>
      <c r="Z265" s="50"/>
      <c r="AA265" s="50"/>
      <c r="AB265" s="50"/>
    </row>
    <row r="266" customFormat="false" ht="15.75" hidden="false" customHeight="false" outlineLevel="0" collapsed="false">
      <c r="A266" s="50"/>
      <c r="B266" s="50"/>
      <c r="C266" s="5"/>
      <c r="D266" s="48"/>
      <c r="E266" s="50"/>
      <c r="F266" s="5"/>
      <c r="G266" s="5"/>
      <c r="H266" s="5"/>
      <c r="I266" s="5"/>
      <c r="J266" s="5"/>
      <c r="K266" s="50"/>
      <c r="L266" s="50"/>
      <c r="M266" s="50"/>
      <c r="N266" s="50"/>
      <c r="O266" s="50"/>
      <c r="P266" s="50"/>
      <c r="Q266" s="50"/>
      <c r="R266" s="50"/>
      <c r="S266" s="50"/>
      <c r="T266" s="50"/>
      <c r="U266" s="50"/>
      <c r="V266" s="50"/>
      <c r="W266" s="50"/>
      <c r="X266" s="50"/>
      <c r="Y266" s="50"/>
      <c r="Z266" s="50"/>
      <c r="AA266" s="50"/>
      <c r="AB266" s="50"/>
    </row>
    <row r="267" customFormat="false" ht="15.75" hidden="false" customHeight="false" outlineLevel="0" collapsed="false">
      <c r="A267" s="50"/>
      <c r="B267" s="50"/>
      <c r="C267" s="5"/>
      <c r="D267" s="48"/>
      <c r="E267" s="50"/>
      <c r="F267" s="5"/>
      <c r="G267" s="5"/>
      <c r="H267" s="5"/>
      <c r="I267" s="5"/>
      <c r="J267" s="5"/>
      <c r="K267" s="50"/>
      <c r="L267" s="50"/>
      <c r="M267" s="50"/>
      <c r="N267" s="50"/>
      <c r="O267" s="50"/>
      <c r="P267" s="50"/>
      <c r="Q267" s="50"/>
      <c r="R267" s="50"/>
      <c r="S267" s="50"/>
      <c r="T267" s="50"/>
      <c r="U267" s="50"/>
      <c r="V267" s="50"/>
      <c r="W267" s="50"/>
      <c r="X267" s="50"/>
      <c r="Y267" s="50"/>
      <c r="Z267" s="50"/>
      <c r="AA267" s="50"/>
      <c r="AB267" s="50"/>
    </row>
    <row r="268" customFormat="false" ht="15.75" hidden="false" customHeight="false" outlineLevel="0" collapsed="false">
      <c r="A268" s="50"/>
      <c r="B268" s="50"/>
      <c r="C268" s="5"/>
      <c r="D268" s="48"/>
      <c r="E268" s="50"/>
      <c r="F268" s="5"/>
      <c r="G268" s="5"/>
      <c r="H268" s="5"/>
      <c r="I268" s="5"/>
      <c r="J268" s="5"/>
      <c r="K268" s="50"/>
      <c r="L268" s="50"/>
      <c r="M268" s="50"/>
      <c r="N268" s="50"/>
      <c r="O268" s="50"/>
      <c r="P268" s="50"/>
      <c r="Q268" s="50"/>
      <c r="R268" s="50"/>
      <c r="S268" s="50"/>
      <c r="T268" s="50"/>
      <c r="U268" s="50"/>
      <c r="V268" s="50"/>
      <c r="W268" s="50"/>
      <c r="X268" s="50"/>
      <c r="Y268" s="50"/>
      <c r="Z268" s="50"/>
      <c r="AA268" s="50"/>
      <c r="AB268" s="50"/>
    </row>
    <row r="269" customFormat="false" ht="15.75" hidden="false" customHeight="false" outlineLevel="0" collapsed="false">
      <c r="A269" s="50"/>
      <c r="B269" s="50"/>
      <c r="C269" s="5"/>
      <c r="D269" s="48"/>
      <c r="E269" s="50"/>
      <c r="F269" s="5"/>
      <c r="G269" s="5"/>
      <c r="H269" s="5"/>
      <c r="I269" s="5"/>
      <c r="J269" s="5"/>
      <c r="K269" s="50"/>
      <c r="L269" s="50"/>
      <c r="M269" s="50"/>
      <c r="N269" s="50"/>
      <c r="O269" s="50"/>
      <c r="P269" s="50"/>
      <c r="Q269" s="50"/>
      <c r="R269" s="50"/>
      <c r="S269" s="50"/>
      <c r="T269" s="50"/>
      <c r="U269" s="50"/>
      <c r="V269" s="50"/>
      <c r="W269" s="50"/>
      <c r="X269" s="50"/>
      <c r="Y269" s="50"/>
      <c r="Z269" s="50"/>
      <c r="AA269" s="50"/>
      <c r="AB269" s="50"/>
    </row>
    <row r="270" customFormat="false" ht="15.75" hidden="false" customHeight="false" outlineLevel="0" collapsed="false">
      <c r="A270" s="50"/>
      <c r="B270" s="50"/>
      <c r="C270" s="5"/>
      <c r="D270" s="48"/>
      <c r="E270" s="50"/>
      <c r="F270" s="5"/>
      <c r="G270" s="5"/>
      <c r="H270" s="5"/>
      <c r="I270" s="5"/>
      <c r="J270" s="5"/>
      <c r="K270" s="50"/>
      <c r="L270" s="50"/>
      <c r="M270" s="50"/>
      <c r="N270" s="50"/>
      <c r="O270" s="50"/>
      <c r="P270" s="50"/>
      <c r="Q270" s="50"/>
      <c r="R270" s="50"/>
      <c r="S270" s="50"/>
      <c r="T270" s="50"/>
      <c r="U270" s="50"/>
      <c r="V270" s="50"/>
      <c r="W270" s="50"/>
      <c r="X270" s="50"/>
      <c r="Y270" s="50"/>
      <c r="Z270" s="50"/>
      <c r="AA270" s="50"/>
      <c r="AB270" s="50"/>
    </row>
    <row r="271" customFormat="false" ht="15.75" hidden="false" customHeight="false" outlineLevel="0" collapsed="false">
      <c r="A271" s="50"/>
      <c r="B271" s="50"/>
      <c r="C271" s="5"/>
      <c r="D271" s="48"/>
      <c r="E271" s="50"/>
      <c r="F271" s="5"/>
      <c r="G271" s="5"/>
      <c r="H271" s="5"/>
      <c r="I271" s="5"/>
      <c r="J271" s="5"/>
      <c r="K271" s="50"/>
      <c r="L271" s="50"/>
      <c r="M271" s="50"/>
      <c r="N271" s="50"/>
      <c r="O271" s="50"/>
      <c r="P271" s="50"/>
      <c r="Q271" s="50"/>
      <c r="R271" s="50"/>
      <c r="S271" s="50"/>
      <c r="T271" s="50"/>
      <c r="U271" s="50"/>
      <c r="V271" s="50"/>
      <c r="W271" s="50"/>
      <c r="X271" s="50"/>
      <c r="Y271" s="50"/>
      <c r="Z271" s="50"/>
      <c r="AA271" s="50"/>
      <c r="AB271" s="50"/>
    </row>
    <row r="272" customFormat="false" ht="15.75" hidden="false" customHeight="false" outlineLevel="0" collapsed="false">
      <c r="A272" s="50"/>
      <c r="B272" s="50"/>
      <c r="C272" s="5"/>
      <c r="D272" s="48"/>
      <c r="E272" s="50"/>
      <c r="F272" s="5"/>
      <c r="G272" s="5"/>
      <c r="H272" s="5"/>
      <c r="I272" s="5"/>
      <c r="J272" s="5"/>
      <c r="K272" s="50"/>
      <c r="L272" s="50"/>
      <c r="M272" s="50"/>
      <c r="N272" s="50"/>
      <c r="O272" s="50"/>
      <c r="P272" s="50"/>
      <c r="Q272" s="50"/>
      <c r="R272" s="50"/>
      <c r="S272" s="50"/>
      <c r="T272" s="50"/>
      <c r="U272" s="50"/>
      <c r="V272" s="50"/>
      <c r="W272" s="50"/>
      <c r="X272" s="50"/>
      <c r="Y272" s="50"/>
      <c r="Z272" s="50"/>
      <c r="AA272" s="50"/>
      <c r="AB272" s="50"/>
    </row>
    <row r="273" customFormat="false" ht="15.75" hidden="false" customHeight="false" outlineLevel="0" collapsed="false">
      <c r="A273" s="50"/>
      <c r="B273" s="50"/>
      <c r="C273" s="5"/>
      <c r="D273" s="48"/>
      <c r="E273" s="50"/>
      <c r="F273" s="5"/>
      <c r="G273" s="5"/>
      <c r="H273" s="5"/>
      <c r="I273" s="5"/>
      <c r="J273" s="5"/>
      <c r="K273" s="50"/>
      <c r="L273" s="50"/>
      <c r="M273" s="50"/>
      <c r="N273" s="50"/>
      <c r="O273" s="50"/>
      <c r="P273" s="50"/>
      <c r="Q273" s="50"/>
      <c r="R273" s="50"/>
      <c r="S273" s="50"/>
      <c r="T273" s="50"/>
      <c r="U273" s="50"/>
      <c r="V273" s="50"/>
      <c r="W273" s="50"/>
      <c r="X273" s="50"/>
      <c r="Y273" s="50"/>
      <c r="Z273" s="50"/>
      <c r="AA273" s="50"/>
      <c r="AB273" s="50"/>
    </row>
    <row r="274" customFormat="false" ht="15.75" hidden="false" customHeight="false" outlineLevel="0" collapsed="false">
      <c r="A274" s="50"/>
      <c r="B274" s="50"/>
      <c r="C274" s="5"/>
      <c r="D274" s="48"/>
      <c r="E274" s="50"/>
      <c r="F274" s="5"/>
      <c r="G274" s="5"/>
      <c r="H274" s="5"/>
      <c r="I274" s="5"/>
      <c r="J274" s="5"/>
      <c r="K274" s="50"/>
      <c r="L274" s="50"/>
      <c r="M274" s="50"/>
      <c r="N274" s="50"/>
      <c r="O274" s="50"/>
      <c r="P274" s="50"/>
      <c r="Q274" s="50"/>
      <c r="R274" s="50"/>
      <c r="S274" s="50"/>
      <c r="T274" s="50"/>
      <c r="U274" s="50"/>
      <c r="V274" s="50"/>
      <c r="W274" s="50"/>
      <c r="X274" s="50"/>
      <c r="Y274" s="50"/>
      <c r="Z274" s="50"/>
      <c r="AA274" s="50"/>
      <c r="AB274" s="50"/>
    </row>
    <row r="275" customFormat="false" ht="15.75" hidden="false" customHeight="false" outlineLevel="0" collapsed="false">
      <c r="A275" s="50"/>
      <c r="B275" s="50"/>
      <c r="C275" s="5"/>
      <c r="D275" s="48"/>
      <c r="E275" s="50"/>
      <c r="F275" s="5"/>
      <c r="G275" s="5"/>
      <c r="H275" s="5"/>
      <c r="I275" s="5"/>
      <c r="J275" s="5"/>
      <c r="K275" s="50"/>
      <c r="L275" s="50"/>
      <c r="M275" s="50"/>
      <c r="N275" s="50"/>
      <c r="O275" s="50"/>
      <c r="P275" s="50"/>
      <c r="Q275" s="50"/>
      <c r="R275" s="50"/>
      <c r="S275" s="50"/>
      <c r="T275" s="50"/>
      <c r="U275" s="50"/>
      <c r="V275" s="50"/>
      <c r="W275" s="50"/>
      <c r="X275" s="50"/>
      <c r="Y275" s="50"/>
      <c r="Z275" s="50"/>
      <c r="AA275" s="50"/>
      <c r="AB275" s="50"/>
    </row>
    <row r="276" customFormat="false" ht="15.75" hidden="false" customHeight="false" outlineLevel="0" collapsed="false">
      <c r="A276" s="50"/>
      <c r="B276" s="50"/>
      <c r="C276" s="5"/>
      <c r="D276" s="48"/>
      <c r="E276" s="50"/>
      <c r="F276" s="5"/>
      <c r="G276" s="5"/>
      <c r="H276" s="5"/>
      <c r="I276" s="5"/>
      <c r="J276" s="5"/>
      <c r="K276" s="50"/>
      <c r="L276" s="50"/>
      <c r="M276" s="50"/>
      <c r="N276" s="50"/>
      <c r="O276" s="50"/>
      <c r="P276" s="50"/>
      <c r="Q276" s="50"/>
      <c r="R276" s="50"/>
      <c r="S276" s="50"/>
      <c r="T276" s="50"/>
      <c r="U276" s="50"/>
      <c r="V276" s="50"/>
      <c r="W276" s="50"/>
      <c r="X276" s="50"/>
      <c r="Y276" s="50"/>
      <c r="Z276" s="50"/>
      <c r="AA276" s="50"/>
      <c r="AB276" s="50"/>
    </row>
    <row r="277" customFormat="false" ht="15.75" hidden="false" customHeight="false" outlineLevel="0" collapsed="false">
      <c r="A277" s="50"/>
      <c r="B277" s="50"/>
      <c r="C277" s="5"/>
      <c r="D277" s="48"/>
      <c r="E277" s="50"/>
      <c r="F277" s="5"/>
      <c r="G277" s="5"/>
      <c r="H277" s="5"/>
      <c r="I277" s="5"/>
      <c r="J277" s="5"/>
      <c r="K277" s="50"/>
      <c r="L277" s="50"/>
      <c r="M277" s="50"/>
      <c r="N277" s="50"/>
      <c r="O277" s="50"/>
      <c r="P277" s="50"/>
      <c r="Q277" s="50"/>
      <c r="R277" s="50"/>
      <c r="S277" s="50"/>
      <c r="T277" s="50"/>
      <c r="U277" s="50"/>
      <c r="V277" s="50"/>
      <c r="W277" s="50"/>
      <c r="X277" s="50"/>
      <c r="Y277" s="50"/>
      <c r="Z277" s="50"/>
      <c r="AA277" s="50"/>
      <c r="AB277" s="50"/>
    </row>
    <row r="278" customFormat="false" ht="15.75" hidden="false" customHeight="false" outlineLevel="0" collapsed="false">
      <c r="A278" s="50"/>
      <c r="B278" s="50"/>
      <c r="C278" s="5"/>
      <c r="D278" s="48"/>
      <c r="E278" s="50"/>
      <c r="F278" s="5"/>
      <c r="G278" s="5"/>
      <c r="H278" s="5"/>
      <c r="I278" s="5"/>
      <c r="J278" s="5"/>
      <c r="K278" s="50"/>
      <c r="L278" s="50"/>
      <c r="M278" s="50"/>
      <c r="N278" s="50"/>
      <c r="O278" s="50"/>
      <c r="P278" s="50"/>
      <c r="Q278" s="50"/>
      <c r="R278" s="50"/>
      <c r="S278" s="50"/>
      <c r="T278" s="50"/>
      <c r="U278" s="50"/>
      <c r="V278" s="50"/>
      <c r="W278" s="50"/>
      <c r="X278" s="50"/>
      <c r="Y278" s="50"/>
      <c r="Z278" s="50"/>
      <c r="AA278" s="50"/>
      <c r="AB278" s="50"/>
    </row>
    <row r="279" customFormat="false" ht="15.75" hidden="false" customHeight="false" outlineLevel="0" collapsed="false">
      <c r="A279" s="50"/>
      <c r="B279" s="50"/>
      <c r="C279" s="5"/>
      <c r="D279" s="48"/>
      <c r="E279" s="50"/>
      <c r="F279" s="5"/>
      <c r="G279" s="5"/>
      <c r="H279" s="5"/>
      <c r="I279" s="5"/>
      <c r="J279" s="5"/>
      <c r="K279" s="50"/>
      <c r="L279" s="50"/>
      <c r="M279" s="50"/>
      <c r="N279" s="50"/>
      <c r="O279" s="50"/>
      <c r="P279" s="50"/>
      <c r="Q279" s="50"/>
      <c r="R279" s="50"/>
      <c r="S279" s="50"/>
      <c r="T279" s="50"/>
      <c r="U279" s="50"/>
      <c r="V279" s="50"/>
      <c r="W279" s="50"/>
      <c r="X279" s="50"/>
      <c r="Y279" s="50"/>
      <c r="Z279" s="50"/>
      <c r="AA279" s="50"/>
      <c r="AB279" s="50"/>
    </row>
    <row r="280" customFormat="false" ht="15.75" hidden="false" customHeight="false" outlineLevel="0" collapsed="false">
      <c r="A280" s="50"/>
      <c r="B280" s="50"/>
      <c r="C280" s="5"/>
      <c r="D280" s="48"/>
      <c r="E280" s="50"/>
      <c r="F280" s="5"/>
      <c r="G280" s="5"/>
      <c r="H280" s="5"/>
      <c r="I280" s="5"/>
      <c r="J280" s="5"/>
      <c r="K280" s="50"/>
      <c r="L280" s="50"/>
      <c r="M280" s="50"/>
      <c r="N280" s="50"/>
      <c r="O280" s="50"/>
      <c r="P280" s="50"/>
      <c r="Q280" s="50"/>
      <c r="R280" s="50"/>
      <c r="S280" s="50"/>
      <c r="T280" s="50"/>
      <c r="U280" s="50"/>
      <c r="V280" s="50"/>
      <c r="W280" s="50"/>
      <c r="X280" s="50"/>
      <c r="Y280" s="50"/>
      <c r="Z280" s="50"/>
      <c r="AA280" s="50"/>
      <c r="AB280" s="50"/>
    </row>
    <row r="281" customFormat="false" ht="15.75" hidden="false" customHeight="false" outlineLevel="0" collapsed="false">
      <c r="A281" s="50"/>
      <c r="B281" s="50"/>
      <c r="C281" s="5"/>
      <c r="D281" s="48"/>
      <c r="E281" s="50"/>
      <c r="F281" s="5"/>
      <c r="G281" s="5"/>
      <c r="H281" s="5"/>
      <c r="I281" s="5"/>
      <c r="J281" s="5"/>
      <c r="K281" s="50"/>
      <c r="L281" s="50"/>
      <c r="M281" s="50"/>
      <c r="N281" s="50"/>
      <c r="O281" s="50"/>
      <c r="P281" s="50"/>
      <c r="Q281" s="50"/>
      <c r="R281" s="50"/>
      <c r="S281" s="50"/>
      <c r="T281" s="50"/>
      <c r="U281" s="50"/>
      <c r="V281" s="50"/>
      <c r="W281" s="50"/>
      <c r="X281" s="50"/>
      <c r="Y281" s="50"/>
      <c r="Z281" s="50"/>
      <c r="AA281" s="50"/>
      <c r="AB281" s="50"/>
    </row>
    <row r="282" customFormat="false" ht="15.75" hidden="false" customHeight="false" outlineLevel="0" collapsed="false">
      <c r="A282" s="50"/>
      <c r="B282" s="50"/>
      <c r="C282" s="5"/>
      <c r="D282" s="48"/>
      <c r="E282" s="50"/>
      <c r="F282" s="5"/>
      <c r="G282" s="5"/>
      <c r="H282" s="5"/>
      <c r="I282" s="5"/>
      <c r="J282" s="5"/>
      <c r="K282" s="50"/>
      <c r="L282" s="50"/>
      <c r="M282" s="50"/>
      <c r="N282" s="50"/>
      <c r="O282" s="50"/>
      <c r="P282" s="50"/>
      <c r="Q282" s="50"/>
      <c r="R282" s="50"/>
      <c r="S282" s="50"/>
      <c r="T282" s="50"/>
      <c r="U282" s="50"/>
      <c r="V282" s="50"/>
      <c r="W282" s="50"/>
      <c r="X282" s="50"/>
      <c r="Y282" s="50"/>
      <c r="Z282" s="50"/>
      <c r="AA282" s="50"/>
      <c r="AB282" s="50"/>
    </row>
    <row r="283" customFormat="false" ht="15.75" hidden="false" customHeight="false" outlineLevel="0" collapsed="false">
      <c r="A283" s="50"/>
      <c r="B283" s="50"/>
      <c r="C283" s="5"/>
      <c r="D283" s="48"/>
      <c r="E283" s="50"/>
      <c r="F283" s="5"/>
      <c r="G283" s="5"/>
      <c r="H283" s="5"/>
      <c r="I283" s="5"/>
      <c r="J283" s="5"/>
      <c r="K283" s="50"/>
      <c r="L283" s="50"/>
      <c r="M283" s="50"/>
      <c r="N283" s="50"/>
      <c r="O283" s="50"/>
      <c r="P283" s="50"/>
      <c r="Q283" s="50"/>
      <c r="R283" s="50"/>
      <c r="S283" s="50"/>
      <c r="T283" s="50"/>
      <c r="U283" s="50"/>
      <c r="V283" s="50"/>
      <c r="W283" s="50"/>
      <c r="X283" s="50"/>
      <c r="Y283" s="50"/>
      <c r="Z283" s="50"/>
      <c r="AA283" s="50"/>
      <c r="AB283" s="50"/>
    </row>
    <row r="284" customFormat="false" ht="15.75" hidden="false" customHeight="false" outlineLevel="0" collapsed="false">
      <c r="A284" s="50"/>
      <c r="B284" s="50"/>
      <c r="C284" s="5"/>
      <c r="D284" s="48"/>
      <c r="E284" s="50"/>
      <c r="F284" s="5"/>
      <c r="G284" s="5"/>
      <c r="H284" s="5"/>
      <c r="I284" s="5"/>
      <c r="J284" s="5"/>
      <c r="K284" s="50"/>
      <c r="L284" s="50"/>
      <c r="M284" s="50"/>
      <c r="N284" s="50"/>
      <c r="O284" s="50"/>
      <c r="P284" s="50"/>
      <c r="Q284" s="50"/>
      <c r="R284" s="50"/>
      <c r="S284" s="50"/>
      <c r="T284" s="50"/>
      <c r="U284" s="50"/>
      <c r="V284" s="50"/>
      <c r="W284" s="50"/>
      <c r="X284" s="50"/>
      <c r="Y284" s="50"/>
      <c r="Z284" s="50"/>
      <c r="AA284" s="50"/>
      <c r="AB284" s="50"/>
    </row>
    <row r="285" customFormat="false" ht="15.75" hidden="false" customHeight="false" outlineLevel="0" collapsed="false">
      <c r="A285" s="50"/>
      <c r="B285" s="50"/>
      <c r="C285" s="5"/>
      <c r="D285" s="48"/>
      <c r="E285" s="50"/>
      <c r="F285" s="5"/>
      <c r="G285" s="5"/>
      <c r="H285" s="5"/>
      <c r="I285" s="5"/>
      <c r="J285" s="5"/>
      <c r="K285" s="50"/>
      <c r="L285" s="50"/>
      <c r="M285" s="50"/>
      <c r="N285" s="50"/>
      <c r="O285" s="50"/>
      <c r="P285" s="50"/>
      <c r="Q285" s="50"/>
      <c r="R285" s="50"/>
      <c r="S285" s="50"/>
      <c r="T285" s="50"/>
      <c r="U285" s="50"/>
      <c r="V285" s="50"/>
      <c r="W285" s="50"/>
      <c r="X285" s="50"/>
      <c r="Y285" s="50"/>
      <c r="Z285" s="50"/>
      <c r="AA285" s="50"/>
      <c r="AB285" s="50"/>
    </row>
    <row r="286" customFormat="false" ht="15.75" hidden="false" customHeight="false" outlineLevel="0" collapsed="false">
      <c r="A286" s="50"/>
      <c r="B286" s="50"/>
      <c r="C286" s="5"/>
      <c r="D286" s="48"/>
      <c r="E286" s="50"/>
      <c r="F286" s="5"/>
      <c r="G286" s="5"/>
      <c r="H286" s="5"/>
      <c r="I286" s="5"/>
      <c r="J286" s="5"/>
      <c r="K286" s="50"/>
      <c r="L286" s="50"/>
      <c r="M286" s="50"/>
      <c r="N286" s="50"/>
      <c r="O286" s="50"/>
      <c r="P286" s="50"/>
      <c r="Q286" s="50"/>
      <c r="R286" s="50"/>
      <c r="S286" s="50"/>
      <c r="T286" s="50"/>
      <c r="U286" s="50"/>
      <c r="V286" s="50"/>
      <c r="W286" s="50"/>
      <c r="X286" s="50"/>
      <c r="Y286" s="50"/>
      <c r="Z286" s="50"/>
      <c r="AA286" s="50"/>
      <c r="AB286" s="50"/>
    </row>
    <row r="287" customFormat="false" ht="15.75" hidden="false" customHeight="false" outlineLevel="0" collapsed="false">
      <c r="A287" s="50"/>
      <c r="B287" s="50"/>
      <c r="C287" s="5"/>
      <c r="D287" s="48"/>
      <c r="E287" s="50"/>
      <c r="F287" s="5"/>
      <c r="G287" s="5"/>
      <c r="H287" s="5"/>
      <c r="I287" s="5"/>
      <c r="J287" s="5"/>
      <c r="K287" s="50"/>
      <c r="L287" s="50"/>
      <c r="M287" s="50"/>
      <c r="N287" s="50"/>
      <c r="O287" s="50"/>
      <c r="P287" s="50"/>
      <c r="Q287" s="50"/>
      <c r="R287" s="50"/>
      <c r="S287" s="50"/>
      <c r="T287" s="50"/>
      <c r="U287" s="50"/>
      <c r="V287" s="50"/>
      <c r="W287" s="50"/>
      <c r="X287" s="50"/>
      <c r="Y287" s="50"/>
      <c r="Z287" s="50"/>
      <c r="AA287" s="50"/>
      <c r="AB287" s="50"/>
    </row>
    <row r="288" customFormat="false" ht="15.75" hidden="false" customHeight="false" outlineLevel="0" collapsed="false">
      <c r="A288" s="50"/>
      <c r="B288" s="50"/>
      <c r="C288" s="5"/>
      <c r="D288" s="48"/>
      <c r="E288" s="50"/>
      <c r="F288" s="5"/>
      <c r="G288" s="5"/>
      <c r="H288" s="5"/>
      <c r="I288" s="5"/>
      <c r="J288" s="5"/>
      <c r="K288" s="50"/>
      <c r="L288" s="50"/>
      <c r="M288" s="50"/>
      <c r="N288" s="50"/>
      <c r="O288" s="50"/>
      <c r="P288" s="50"/>
      <c r="Q288" s="50"/>
      <c r="R288" s="50"/>
      <c r="S288" s="50"/>
      <c r="T288" s="50"/>
      <c r="U288" s="50"/>
      <c r="V288" s="50"/>
      <c r="W288" s="50"/>
      <c r="X288" s="50"/>
      <c r="Y288" s="50"/>
      <c r="Z288" s="50"/>
      <c r="AA288" s="50"/>
      <c r="AB288" s="50"/>
    </row>
    <row r="289" customFormat="false" ht="15.75" hidden="false" customHeight="false" outlineLevel="0" collapsed="false">
      <c r="A289" s="50"/>
      <c r="B289" s="50"/>
      <c r="C289" s="5"/>
      <c r="D289" s="48"/>
      <c r="E289" s="50"/>
      <c r="F289" s="5"/>
      <c r="G289" s="5"/>
      <c r="H289" s="5"/>
      <c r="I289" s="5"/>
      <c r="J289" s="5"/>
      <c r="K289" s="50"/>
      <c r="L289" s="50"/>
      <c r="M289" s="50"/>
      <c r="N289" s="50"/>
      <c r="O289" s="50"/>
      <c r="P289" s="50"/>
      <c r="Q289" s="50"/>
      <c r="R289" s="50"/>
      <c r="S289" s="50"/>
      <c r="T289" s="50"/>
      <c r="U289" s="50"/>
      <c r="V289" s="50"/>
      <c r="W289" s="50"/>
      <c r="X289" s="50"/>
      <c r="Y289" s="50"/>
      <c r="Z289" s="50"/>
      <c r="AA289" s="50"/>
      <c r="AB289" s="50"/>
    </row>
    <row r="290" customFormat="false" ht="15.75" hidden="false" customHeight="false" outlineLevel="0" collapsed="false">
      <c r="A290" s="50"/>
      <c r="B290" s="50"/>
      <c r="C290" s="5"/>
      <c r="D290" s="48"/>
      <c r="E290" s="50"/>
      <c r="F290" s="5"/>
      <c r="G290" s="5"/>
      <c r="H290" s="5"/>
      <c r="I290" s="5"/>
      <c r="J290" s="5"/>
      <c r="K290" s="50"/>
      <c r="L290" s="50"/>
      <c r="M290" s="50"/>
      <c r="N290" s="50"/>
      <c r="O290" s="50"/>
      <c r="P290" s="50"/>
      <c r="Q290" s="50"/>
      <c r="R290" s="50"/>
      <c r="S290" s="50"/>
      <c r="T290" s="50"/>
      <c r="U290" s="50"/>
      <c r="V290" s="50"/>
      <c r="W290" s="50"/>
      <c r="X290" s="50"/>
      <c r="Y290" s="50"/>
      <c r="Z290" s="50"/>
      <c r="AA290" s="50"/>
      <c r="AB290" s="50"/>
    </row>
    <row r="291" customFormat="false" ht="15.75" hidden="false" customHeight="false" outlineLevel="0" collapsed="false">
      <c r="A291" s="50"/>
      <c r="B291" s="50"/>
      <c r="C291" s="5"/>
      <c r="D291" s="48"/>
      <c r="E291" s="50"/>
      <c r="F291" s="5"/>
      <c r="G291" s="5"/>
      <c r="H291" s="5"/>
      <c r="I291" s="5"/>
      <c r="J291" s="5"/>
      <c r="K291" s="50"/>
      <c r="L291" s="50"/>
      <c r="M291" s="50"/>
      <c r="N291" s="50"/>
      <c r="O291" s="50"/>
      <c r="P291" s="50"/>
      <c r="Q291" s="50"/>
      <c r="R291" s="50"/>
      <c r="S291" s="50"/>
      <c r="T291" s="50"/>
      <c r="U291" s="50"/>
      <c r="V291" s="50"/>
      <c r="W291" s="50"/>
      <c r="X291" s="50"/>
      <c r="Y291" s="50"/>
      <c r="Z291" s="50"/>
      <c r="AA291" s="50"/>
      <c r="AB291" s="50"/>
    </row>
    <row r="292" customFormat="false" ht="15.75" hidden="false" customHeight="false" outlineLevel="0" collapsed="false">
      <c r="A292" s="50"/>
      <c r="B292" s="50"/>
      <c r="C292" s="5"/>
      <c r="D292" s="48"/>
      <c r="E292" s="50"/>
      <c r="F292" s="5"/>
      <c r="G292" s="5"/>
      <c r="H292" s="5"/>
      <c r="I292" s="5"/>
      <c r="J292" s="5"/>
      <c r="K292" s="50"/>
      <c r="L292" s="50"/>
      <c r="M292" s="50"/>
      <c r="N292" s="50"/>
      <c r="O292" s="50"/>
      <c r="P292" s="50"/>
      <c r="Q292" s="50"/>
      <c r="R292" s="50"/>
      <c r="S292" s="50"/>
      <c r="T292" s="50"/>
      <c r="U292" s="50"/>
      <c r="V292" s="50"/>
      <c r="W292" s="50"/>
      <c r="X292" s="50"/>
      <c r="Y292" s="50"/>
      <c r="Z292" s="50"/>
      <c r="AA292" s="50"/>
      <c r="AB292" s="50"/>
    </row>
    <row r="293" customFormat="false" ht="15.75" hidden="false" customHeight="false" outlineLevel="0" collapsed="false">
      <c r="A293" s="50"/>
      <c r="B293" s="50"/>
      <c r="C293" s="5"/>
      <c r="D293" s="48"/>
      <c r="E293" s="50"/>
      <c r="F293" s="5"/>
      <c r="G293" s="5"/>
      <c r="H293" s="5"/>
      <c r="I293" s="5"/>
      <c r="J293" s="5"/>
      <c r="K293" s="50"/>
      <c r="L293" s="50"/>
      <c r="M293" s="50"/>
      <c r="N293" s="50"/>
      <c r="O293" s="50"/>
      <c r="P293" s="50"/>
      <c r="Q293" s="50"/>
      <c r="R293" s="50"/>
      <c r="S293" s="50"/>
      <c r="T293" s="50"/>
      <c r="U293" s="50"/>
      <c r="V293" s="50"/>
      <c r="W293" s="50"/>
      <c r="X293" s="50"/>
      <c r="Y293" s="50"/>
      <c r="Z293" s="50"/>
      <c r="AA293" s="50"/>
      <c r="AB293" s="50"/>
    </row>
    <row r="294" customFormat="false" ht="15.75" hidden="false" customHeight="false" outlineLevel="0" collapsed="false">
      <c r="A294" s="50"/>
      <c r="B294" s="50"/>
      <c r="C294" s="5"/>
      <c r="D294" s="48"/>
      <c r="E294" s="50"/>
      <c r="F294" s="5"/>
      <c r="G294" s="5"/>
      <c r="H294" s="5"/>
      <c r="I294" s="5"/>
      <c r="J294" s="5"/>
      <c r="K294" s="50"/>
      <c r="L294" s="50"/>
      <c r="M294" s="50"/>
      <c r="N294" s="50"/>
      <c r="O294" s="50"/>
      <c r="P294" s="50"/>
      <c r="Q294" s="50"/>
      <c r="R294" s="50"/>
      <c r="S294" s="50"/>
      <c r="T294" s="50"/>
      <c r="U294" s="50"/>
      <c r="V294" s="50"/>
      <c r="W294" s="50"/>
      <c r="X294" s="50"/>
      <c r="Y294" s="50"/>
      <c r="Z294" s="50"/>
      <c r="AA294" s="50"/>
      <c r="AB294" s="50"/>
    </row>
    <row r="295" customFormat="false" ht="15.75" hidden="false" customHeight="false" outlineLevel="0" collapsed="false">
      <c r="A295" s="50"/>
      <c r="B295" s="50"/>
      <c r="C295" s="5"/>
      <c r="D295" s="48"/>
      <c r="E295" s="50"/>
      <c r="F295" s="5"/>
      <c r="G295" s="5"/>
      <c r="H295" s="5"/>
      <c r="I295" s="5"/>
      <c r="J295" s="5"/>
      <c r="K295" s="50"/>
      <c r="L295" s="50"/>
      <c r="M295" s="50"/>
      <c r="N295" s="50"/>
      <c r="O295" s="50"/>
      <c r="P295" s="50"/>
      <c r="Q295" s="50"/>
      <c r="R295" s="50"/>
      <c r="S295" s="50"/>
      <c r="T295" s="50"/>
      <c r="U295" s="50"/>
      <c r="V295" s="50"/>
      <c r="W295" s="50"/>
      <c r="X295" s="50"/>
      <c r="Y295" s="50"/>
      <c r="Z295" s="50"/>
      <c r="AA295" s="50"/>
      <c r="AB295" s="50"/>
    </row>
    <row r="296" customFormat="false" ht="15.75" hidden="false" customHeight="false" outlineLevel="0" collapsed="false">
      <c r="A296" s="50"/>
      <c r="B296" s="50"/>
      <c r="C296" s="5"/>
      <c r="D296" s="48"/>
      <c r="E296" s="50"/>
      <c r="F296" s="5"/>
      <c r="G296" s="5"/>
      <c r="H296" s="5"/>
      <c r="I296" s="5"/>
      <c r="J296" s="5"/>
      <c r="K296" s="50"/>
      <c r="L296" s="50"/>
      <c r="M296" s="50"/>
      <c r="N296" s="50"/>
      <c r="O296" s="50"/>
      <c r="P296" s="50"/>
      <c r="Q296" s="50"/>
      <c r="R296" s="50"/>
      <c r="S296" s="50"/>
      <c r="T296" s="50"/>
      <c r="U296" s="50"/>
      <c r="V296" s="50"/>
      <c r="W296" s="50"/>
      <c r="X296" s="50"/>
      <c r="Y296" s="50"/>
      <c r="Z296" s="50"/>
      <c r="AA296" s="50"/>
      <c r="AB296" s="50"/>
    </row>
    <row r="297" customFormat="false" ht="15.75" hidden="false" customHeight="false" outlineLevel="0" collapsed="false">
      <c r="A297" s="50"/>
      <c r="B297" s="50"/>
      <c r="C297" s="5"/>
      <c r="D297" s="48"/>
      <c r="E297" s="50"/>
      <c r="F297" s="5"/>
      <c r="G297" s="5"/>
      <c r="H297" s="5"/>
      <c r="I297" s="5"/>
      <c r="J297" s="5"/>
      <c r="K297" s="50"/>
      <c r="L297" s="50"/>
      <c r="M297" s="50"/>
      <c r="N297" s="50"/>
      <c r="O297" s="50"/>
      <c r="P297" s="50"/>
      <c r="Q297" s="50"/>
      <c r="R297" s="50"/>
      <c r="S297" s="50"/>
      <c r="T297" s="50"/>
      <c r="U297" s="50"/>
      <c r="V297" s="50"/>
      <c r="W297" s="50"/>
      <c r="X297" s="50"/>
      <c r="Y297" s="50"/>
      <c r="Z297" s="50"/>
      <c r="AA297" s="50"/>
      <c r="AB297" s="50"/>
    </row>
    <row r="298" customFormat="false" ht="15.75" hidden="false" customHeight="false" outlineLevel="0" collapsed="false">
      <c r="A298" s="50"/>
      <c r="B298" s="50"/>
      <c r="C298" s="5"/>
      <c r="D298" s="48"/>
      <c r="E298" s="50"/>
      <c r="F298" s="5"/>
      <c r="G298" s="5"/>
      <c r="H298" s="5"/>
      <c r="I298" s="5"/>
      <c r="J298" s="5"/>
      <c r="K298" s="50"/>
      <c r="L298" s="50"/>
      <c r="M298" s="50"/>
      <c r="N298" s="50"/>
      <c r="O298" s="50"/>
      <c r="P298" s="50"/>
      <c r="Q298" s="50"/>
      <c r="R298" s="50"/>
      <c r="S298" s="50"/>
      <c r="T298" s="50"/>
      <c r="U298" s="50"/>
      <c r="V298" s="50"/>
      <c r="W298" s="50"/>
      <c r="X298" s="50"/>
      <c r="Y298" s="50"/>
      <c r="Z298" s="50"/>
      <c r="AA298" s="50"/>
      <c r="AB298" s="50"/>
    </row>
    <row r="299" customFormat="false" ht="15.75" hidden="false" customHeight="false" outlineLevel="0" collapsed="false">
      <c r="A299" s="50"/>
      <c r="B299" s="50"/>
      <c r="C299" s="5"/>
      <c r="D299" s="48"/>
      <c r="E299" s="50"/>
      <c r="F299" s="5"/>
      <c r="G299" s="5"/>
      <c r="H299" s="5"/>
      <c r="I299" s="5"/>
      <c r="J299" s="5"/>
      <c r="K299" s="50"/>
      <c r="L299" s="50"/>
      <c r="M299" s="50"/>
      <c r="N299" s="50"/>
      <c r="O299" s="50"/>
      <c r="P299" s="50"/>
      <c r="Q299" s="50"/>
      <c r="R299" s="50"/>
      <c r="S299" s="50"/>
      <c r="T299" s="50"/>
      <c r="U299" s="50"/>
      <c r="V299" s="50"/>
      <c r="W299" s="50"/>
      <c r="X299" s="50"/>
      <c r="Y299" s="50"/>
      <c r="Z299" s="50"/>
      <c r="AA299" s="50"/>
      <c r="AB299" s="50"/>
    </row>
    <row r="300" customFormat="false" ht="15.75" hidden="false" customHeight="false" outlineLevel="0" collapsed="false">
      <c r="A300" s="50"/>
      <c r="B300" s="50"/>
      <c r="C300" s="5"/>
      <c r="D300" s="48"/>
      <c r="E300" s="50"/>
      <c r="F300" s="5"/>
      <c r="G300" s="5"/>
      <c r="H300" s="5"/>
      <c r="I300" s="5"/>
      <c r="J300" s="5"/>
      <c r="K300" s="50"/>
      <c r="L300" s="50"/>
      <c r="M300" s="50"/>
      <c r="N300" s="50"/>
      <c r="O300" s="50"/>
      <c r="P300" s="50"/>
      <c r="Q300" s="50"/>
      <c r="R300" s="50"/>
      <c r="S300" s="50"/>
      <c r="T300" s="50"/>
      <c r="U300" s="50"/>
      <c r="V300" s="50"/>
      <c r="W300" s="50"/>
      <c r="X300" s="50"/>
      <c r="Y300" s="50"/>
      <c r="Z300" s="50"/>
      <c r="AA300" s="50"/>
      <c r="AB300" s="50"/>
    </row>
    <row r="301" customFormat="false" ht="15.75" hidden="false" customHeight="false" outlineLevel="0" collapsed="false">
      <c r="A301" s="50"/>
      <c r="B301" s="50"/>
      <c r="C301" s="5"/>
      <c r="D301" s="48"/>
      <c r="E301" s="50"/>
      <c r="F301" s="5"/>
      <c r="G301" s="5"/>
      <c r="H301" s="5"/>
      <c r="I301" s="5"/>
      <c r="J301" s="5"/>
      <c r="K301" s="50"/>
      <c r="L301" s="50"/>
      <c r="M301" s="50"/>
      <c r="N301" s="50"/>
      <c r="O301" s="50"/>
      <c r="P301" s="50"/>
      <c r="Q301" s="50"/>
      <c r="R301" s="50"/>
      <c r="S301" s="50"/>
      <c r="T301" s="50"/>
      <c r="U301" s="50"/>
      <c r="V301" s="50"/>
      <c r="W301" s="50"/>
      <c r="X301" s="50"/>
      <c r="Y301" s="50"/>
      <c r="Z301" s="50"/>
      <c r="AA301" s="50"/>
      <c r="AB301" s="50"/>
    </row>
    <row r="302" customFormat="false" ht="15.75" hidden="false" customHeight="false" outlineLevel="0" collapsed="false">
      <c r="A302" s="50"/>
      <c r="B302" s="50"/>
      <c r="C302" s="5"/>
      <c r="D302" s="48"/>
      <c r="E302" s="50"/>
      <c r="F302" s="5"/>
      <c r="G302" s="5"/>
      <c r="H302" s="5"/>
      <c r="I302" s="5"/>
      <c r="J302" s="5"/>
      <c r="K302" s="50"/>
      <c r="L302" s="50"/>
      <c r="M302" s="50"/>
      <c r="N302" s="50"/>
      <c r="O302" s="50"/>
      <c r="P302" s="50"/>
      <c r="Q302" s="50"/>
      <c r="R302" s="50"/>
      <c r="S302" s="50"/>
      <c r="T302" s="50"/>
      <c r="U302" s="50"/>
      <c r="V302" s="50"/>
      <c r="W302" s="50"/>
      <c r="X302" s="50"/>
      <c r="Y302" s="50"/>
      <c r="Z302" s="50"/>
      <c r="AA302" s="50"/>
      <c r="AB302" s="50"/>
    </row>
    <row r="303" customFormat="false" ht="15.75" hidden="false" customHeight="false" outlineLevel="0" collapsed="false">
      <c r="A303" s="50"/>
      <c r="B303" s="50"/>
      <c r="C303" s="5"/>
      <c r="D303" s="48"/>
      <c r="E303" s="50"/>
      <c r="F303" s="5"/>
      <c r="G303" s="5"/>
      <c r="H303" s="5"/>
      <c r="I303" s="5"/>
      <c r="J303" s="5"/>
      <c r="K303" s="50"/>
      <c r="L303" s="50"/>
      <c r="M303" s="50"/>
      <c r="N303" s="50"/>
      <c r="O303" s="50"/>
      <c r="P303" s="50"/>
      <c r="Q303" s="50"/>
      <c r="R303" s="50"/>
      <c r="S303" s="50"/>
      <c r="T303" s="50"/>
      <c r="U303" s="50"/>
      <c r="V303" s="50"/>
      <c r="W303" s="50"/>
      <c r="X303" s="50"/>
      <c r="Y303" s="50"/>
      <c r="Z303" s="50"/>
      <c r="AA303" s="50"/>
      <c r="AB303" s="50"/>
    </row>
    <row r="304" customFormat="false" ht="15.75" hidden="false" customHeight="false" outlineLevel="0" collapsed="false">
      <c r="A304" s="50"/>
      <c r="B304" s="50"/>
      <c r="C304" s="5"/>
      <c r="D304" s="48"/>
      <c r="E304" s="50"/>
      <c r="F304" s="5"/>
      <c r="G304" s="5"/>
      <c r="H304" s="5"/>
      <c r="I304" s="5"/>
      <c r="J304" s="5"/>
      <c r="K304" s="50"/>
      <c r="L304" s="50"/>
      <c r="M304" s="50"/>
      <c r="N304" s="50"/>
      <c r="O304" s="50"/>
      <c r="P304" s="50"/>
      <c r="Q304" s="50"/>
      <c r="R304" s="50"/>
      <c r="S304" s="50"/>
      <c r="T304" s="50"/>
      <c r="U304" s="50"/>
      <c r="V304" s="50"/>
      <c r="W304" s="50"/>
      <c r="X304" s="50"/>
      <c r="Y304" s="50"/>
      <c r="Z304" s="50"/>
      <c r="AA304" s="50"/>
      <c r="AB304" s="50"/>
    </row>
    <row r="305" customFormat="false" ht="15.75" hidden="false" customHeight="false" outlineLevel="0" collapsed="false">
      <c r="A305" s="50"/>
      <c r="B305" s="50"/>
      <c r="C305" s="5"/>
      <c r="D305" s="48"/>
      <c r="E305" s="50"/>
      <c r="F305" s="5"/>
      <c r="G305" s="5"/>
      <c r="H305" s="5"/>
      <c r="I305" s="5"/>
      <c r="J305" s="5"/>
      <c r="K305" s="50"/>
      <c r="L305" s="50"/>
      <c r="M305" s="50"/>
      <c r="N305" s="50"/>
      <c r="O305" s="50"/>
      <c r="P305" s="50"/>
      <c r="Q305" s="50"/>
      <c r="R305" s="50"/>
      <c r="S305" s="50"/>
      <c r="T305" s="50"/>
      <c r="U305" s="50"/>
      <c r="V305" s="50"/>
      <c r="W305" s="50"/>
      <c r="X305" s="50"/>
      <c r="Y305" s="50"/>
      <c r="Z305" s="50"/>
      <c r="AA305" s="50"/>
      <c r="AB305" s="50"/>
    </row>
    <row r="306" customFormat="false" ht="15.75" hidden="false" customHeight="false" outlineLevel="0" collapsed="false">
      <c r="A306" s="50"/>
      <c r="B306" s="50"/>
      <c r="C306" s="5"/>
      <c r="D306" s="48"/>
      <c r="E306" s="50"/>
      <c r="F306" s="5"/>
      <c r="G306" s="5"/>
      <c r="H306" s="5"/>
      <c r="I306" s="5"/>
      <c r="J306" s="5"/>
      <c r="K306" s="50"/>
      <c r="L306" s="50"/>
      <c r="M306" s="50"/>
      <c r="N306" s="50"/>
      <c r="O306" s="50"/>
      <c r="P306" s="50"/>
      <c r="Q306" s="50"/>
      <c r="R306" s="50"/>
      <c r="S306" s="50"/>
      <c r="T306" s="50"/>
      <c r="U306" s="50"/>
      <c r="V306" s="50"/>
      <c r="W306" s="50"/>
      <c r="X306" s="50"/>
      <c r="Y306" s="50"/>
      <c r="Z306" s="50"/>
      <c r="AA306" s="50"/>
      <c r="AB306" s="50"/>
    </row>
    <row r="307" customFormat="false" ht="15.75" hidden="false" customHeight="false" outlineLevel="0" collapsed="false">
      <c r="A307" s="50"/>
      <c r="B307" s="50"/>
      <c r="C307" s="5"/>
      <c r="D307" s="48"/>
      <c r="E307" s="50"/>
      <c r="F307" s="5"/>
      <c r="G307" s="5"/>
      <c r="H307" s="5"/>
      <c r="I307" s="5"/>
      <c r="J307" s="5"/>
      <c r="K307" s="50"/>
      <c r="L307" s="50"/>
      <c r="M307" s="50"/>
      <c r="N307" s="50"/>
      <c r="O307" s="50"/>
      <c r="P307" s="50"/>
      <c r="Q307" s="50"/>
      <c r="R307" s="50"/>
      <c r="S307" s="50"/>
      <c r="T307" s="50"/>
      <c r="U307" s="50"/>
      <c r="V307" s="50"/>
      <c r="W307" s="50"/>
      <c r="X307" s="50"/>
      <c r="Y307" s="50"/>
      <c r="Z307" s="50"/>
      <c r="AA307" s="50"/>
      <c r="AB307" s="50"/>
    </row>
    <row r="308" customFormat="false" ht="15.75" hidden="false" customHeight="false" outlineLevel="0" collapsed="false">
      <c r="A308" s="50"/>
      <c r="B308" s="50"/>
      <c r="C308" s="5"/>
      <c r="D308" s="48"/>
      <c r="E308" s="50"/>
      <c r="F308" s="5"/>
      <c r="G308" s="5"/>
      <c r="H308" s="5"/>
      <c r="I308" s="5"/>
      <c r="J308" s="5"/>
      <c r="K308" s="50"/>
      <c r="L308" s="50"/>
      <c r="M308" s="50"/>
      <c r="N308" s="50"/>
      <c r="O308" s="50"/>
      <c r="P308" s="50"/>
      <c r="Q308" s="50"/>
      <c r="R308" s="50"/>
      <c r="S308" s="50"/>
      <c r="T308" s="50"/>
      <c r="U308" s="50"/>
      <c r="V308" s="50"/>
      <c r="W308" s="50"/>
      <c r="X308" s="50"/>
      <c r="Y308" s="50"/>
      <c r="Z308" s="50"/>
      <c r="AA308" s="50"/>
      <c r="AB308" s="50"/>
    </row>
    <row r="309" customFormat="false" ht="15.75" hidden="false" customHeight="false" outlineLevel="0" collapsed="false">
      <c r="A309" s="50"/>
      <c r="B309" s="50"/>
      <c r="C309" s="5"/>
      <c r="D309" s="48"/>
      <c r="E309" s="50"/>
      <c r="F309" s="5"/>
      <c r="G309" s="5"/>
      <c r="H309" s="5"/>
      <c r="I309" s="5"/>
      <c r="J309" s="5"/>
      <c r="K309" s="50"/>
      <c r="L309" s="50"/>
      <c r="M309" s="50"/>
      <c r="N309" s="50"/>
      <c r="O309" s="50"/>
      <c r="P309" s="50"/>
      <c r="Q309" s="50"/>
      <c r="R309" s="50"/>
      <c r="S309" s="50"/>
      <c r="T309" s="50"/>
      <c r="U309" s="50"/>
      <c r="V309" s="50"/>
      <c r="W309" s="50"/>
      <c r="X309" s="50"/>
      <c r="Y309" s="50"/>
      <c r="Z309" s="50"/>
      <c r="AA309" s="50"/>
      <c r="AB309" s="50"/>
    </row>
    <row r="310" customFormat="false" ht="15.75" hidden="false" customHeight="false" outlineLevel="0" collapsed="false">
      <c r="A310" s="50"/>
      <c r="B310" s="50"/>
      <c r="C310" s="5"/>
      <c r="D310" s="48"/>
      <c r="E310" s="50"/>
      <c r="F310" s="5"/>
      <c r="G310" s="5"/>
      <c r="H310" s="5"/>
      <c r="I310" s="5"/>
      <c r="J310" s="5"/>
      <c r="K310" s="50"/>
      <c r="L310" s="50"/>
      <c r="M310" s="50"/>
      <c r="N310" s="50"/>
      <c r="O310" s="50"/>
      <c r="P310" s="50"/>
      <c r="Q310" s="50"/>
      <c r="R310" s="50"/>
      <c r="S310" s="50"/>
      <c r="T310" s="50"/>
      <c r="U310" s="50"/>
      <c r="V310" s="50"/>
      <c r="W310" s="50"/>
      <c r="X310" s="50"/>
      <c r="Y310" s="50"/>
      <c r="Z310" s="50"/>
      <c r="AA310" s="50"/>
      <c r="AB310" s="50"/>
    </row>
    <row r="311" customFormat="false" ht="15.75" hidden="false" customHeight="false" outlineLevel="0" collapsed="false">
      <c r="A311" s="50"/>
      <c r="B311" s="50"/>
      <c r="C311" s="5"/>
      <c r="D311" s="48"/>
      <c r="E311" s="50"/>
      <c r="F311" s="5"/>
      <c r="G311" s="5"/>
      <c r="H311" s="5"/>
      <c r="I311" s="5"/>
      <c r="J311" s="5"/>
      <c r="K311" s="50"/>
      <c r="L311" s="50"/>
      <c r="M311" s="50"/>
      <c r="N311" s="50"/>
      <c r="O311" s="50"/>
      <c r="P311" s="50"/>
      <c r="Q311" s="50"/>
      <c r="R311" s="50"/>
      <c r="S311" s="50"/>
      <c r="T311" s="50"/>
      <c r="U311" s="50"/>
      <c r="V311" s="50"/>
      <c r="W311" s="50"/>
      <c r="X311" s="50"/>
      <c r="Y311" s="50"/>
      <c r="Z311" s="50"/>
      <c r="AA311" s="50"/>
      <c r="AB311" s="50"/>
    </row>
    <row r="312" customFormat="false" ht="15.75" hidden="false" customHeight="false" outlineLevel="0" collapsed="false">
      <c r="A312" s="50"/>
      <c r="B312" s="50"/>
      <c r="C312" s="5"/>
      <c r="D312" s="48"/>
      <c r="E312" s="50"/>
      <c r="F312" s="5"/>
      <c r="G312" s="5"/>
      <c r="H312" s="5"/>
      <c r="I312" s="5"/>
      <c r="J312" s="5"/>
      <c r="K312" s="50"/>
      <c r="L312" s="50"/>
      <c r="M312" s="50"/>
      <c r="N312" s="50"/>
      <c r="O312" s="50"/>
      <c r="P312" s="50"/>
      <c r="Q312" s="50"/>
      <c r="R312" s="50"/>
      <c r="S312" s="50"/>
      <c r="T312" s="50"/>
      <c r="U312" s="50"/>
      <c r="V312" s="50"/>
      <c r="W312" s="50"/>
      <c r="X312" s="50"/>
      <c r="Y312" s="50"/>
      <c r="Z312" s="50"/>
      <c r="AA312" s="50"/>
      <c r="AB312" s="50"/>
    </row>
    <row r="313" customFormat="false" ht="15.75" hidden="false" customHeight="false" outlineLevel="0" collapsed="false">
      <c r="A313" s="50"/>
      <c r="B313" s="50"/>
      <c r="C313" s="5"/>
      <c r="D313" s="48"/>
      <c r="E313" s="50"/>
      <c r="F313" s="5"/>
      <c r="G313" s="5"/>
      <c r="H313" s="5"/>
      <c r="I313" s="5"/>
      <c r="J313" s="5"/>
      <c r="K313" s="50"/>
      <c r="L313" s="50"/>
      <c r="M313" s="50"/>
      <c r="N313" s="50"/>
      <c r="O313" s="50"/>
      <c r="P313" s="50"/>
      <c r="Q313" s="50"/>
      <c r="R313" s="50"/>
      <c r="S313" s="50"/>
      <c r="T313" s="50"/>
      <c r="U313" s="50"/>
      <c r="V313" s="50"/>
      <c r="W313" s="50"/>
      <c r="X313" s="50"/>
      <c r="Y313" s="50"/>
      <c r="Z313" s="50"/>
      <c r="AA313" s="50"/>
      <c r="AB313" s="50"/>
    </row>
    <row r="314" customFormat="false" ht="15.75" hidden="false" customHeight="false" outlineLevel="0" collapsed="false">
      <c r="A314" s="50"/>
      <c r="B314" s="50"/>
      <c r="C314" s="5"/>
      <c r="D314" s="48"/>
      <c r="E314" s="50"/>
      <c r="F314" s="5"/>
      <c r="G314" s="5"/>
      <c r="H314" s="5"/>
      <c r="I314" s="5"/>
      <c r="J314" s="5"/>
      <c r="K314" s="50"/>
      <c r="L314" s="50"/>
      <c r="M314" s="50"/>
      <c r="N314" s="50"/>
      <c r="O314" s="50"/>
      <c r="P314" s="50"/>
      <c r="Q314" s="50"/>
      <c r="R314" s="50"/>
      <c r="S314" s="50"/>
      <c r="T314" s="50"/>
      <c r="U314" s="50"/>
      <c r="V314" s="50"/>
      <c r="W314" s="50"/>
      <c r="X314" s="50"/>
      <c r="Y314" s="50"/>
      <c r="Z314" s="50"/>
      <c r="AA314" s="50"/>
      <c r="AB314" s="50"/>
    </row>
    <row r="315" customFormat="false" ht="15.75" hidden="false" customHeight="false" outlineLevel="0" collapsed="false">
      <c r="A315" s="50"/>
      <c r="B315" s="50"/>
      <c r="C315" s="5"/>
      <c r="D315" s="48"/>
      <c r="E315" s="50"/>
      <c r="F315" s="5"/>
      <c r="G315" s="5"/>
      <c r="H315" s="5"/>
      <c r="I315" s="5"/>
      <c r="J315" s="5"/>
      <c r="K315" s="50"/>
      <c r="L315" s="50"/>
      <c r="M315" s="50"/>
      <c r="N315" s="50"/>
      <c r="O315" s="50"/>
      <c r="P315" s="50"/>
      <c r="Q315" s="50"/>
      <c r="R315" s="50"/>
      <c r="S315" s="50"/>
      <c r="T315" s="50"/>
      <c r="U315" s="50"/>
      <c r="V315" s="50"/>
      <c r="W315" s="50"/>
      <c r="X315" s="50"/>
      <c r="Y315" s="50"/>
      <c r="Z315" s="50"/>
      <c r="AA315" s="50"/>
      <c r="AB315" s="50"/>
    </row>
    <row r="316" customFormat="false" ht="15.75" hidden="false" customHeight="false" outlineLevel="0" collapsed="false">
      <c r="A316" s="50"/>
      <c r="B316" s="50"/>
      <c r="C316" s="5"/>
      <c r="D316" s="48"/>
      <c r="E316" s="50"/>
      <c r="F316" s="5"/>
      <c r="G316" s="5"/>
      <c r="H316" s="5"/>
      <c r="I316" s="5"/>
      <c r="J316" s="5"/>
      <c r="K316" s="50"/>
      <c r="L316" s="50"/>
      <c r="M316" s="50"/>
      <c r="N316" s="50"/>
      <c r="O316" s="50"/>
      <c r="P316" s="50"/>
      <c r="Q316" s="50"/>
      <c r="R316" s="50"/>
      <c r="S316" s="50"/>
      <c r="T316" s="50"/>
      <c r="U316" s="50"/>
      <c r="V316" s="50"/>
      <c r="W316" s="50"/>
      <c r="X316" s="50"/>
      <c r="Y316" s="50"/>
      <c r="Z316" s="50"/>
      <c r="AA316" s="50"/>
      <c r="AB316" s="50"/>
    </row>
    <row r="317" customFormat="false" ht="15.75" hidden="false" customHeight="false" outlineLevel="0" collapsed="false">
      <c r="A317" s="50"/>
      <c r="B317" s="50"/>
      <c r="C317" s="5"/>
      <c r="D317" s="48"/>
      <c r="E317" s="50"/>
      <c r="F317" s="5"/>
      <c r="G317" s="5"/>
      <c r="H317" s="5"/>
      <c r="I317" s="5"/>
      <c r="J317" s="5"/>
      <c r="K317" s="50"/>
      <c r="L317" s="50"/>
      <c r="M317" s="50"/>
      <c r="N317" s="50"/>
      <c r="O317" s="50"/>
      <c r="P317" s="50"/>
      <c r="Q317" s="50"/>
      <c r="R317" s="50"/>
      <c r="S317" s="50"/>
      <c r="T317" s="50"/>
      <c r="U317" s="50"/>
      <c r="V317" s="50"/>
      <c r="W317" s="50"/>
      <c r="X317" s="50"/>
      <c r="Y317" s="50"/>
      <c r="Z317" s="50"/>
      <c r="AA317" s="50"/>
      <c r="AB317" s="50"/>
    </row>
    <row r="318" customFormat="false" ht="15.75" hidden="false" customHeight="false" outlineLevel="0" collapsed="false">
      <c r="A318" s="50"/>
      <c r="B318" s="50"/>
      <c r="C318" s="5"/>
      <c r="D318" s="48"/>
      <c r="E318" s="50"/>
      <c r="F318" s="5"/>
      <c r="G318" s="5"/>
      <c r="H318" s="5"/>
      <c r="I318" s="5"/>
      <c r="J318" s="5"/>
      <c r="K318" s="50"/>
      <c r="L318" s="50"/>
      <c r="M318" s="50"/>
      <c r="N318" s="50"/>
      <c r="O318" s="50"/>
      <c r="P318" s="50"/>
      <c r="Q318" s="50"/>
      <c r="R318" s="50"/>
      <c r="S318" s="50"/>
      <c r="T318" s="50"/>
      <c r="U318" s="50"/>
      <c r="V318" s="50"/>
      <c r="W318" s="50"/>
      <c r="X318" s="50"/>
      <c r="Y318" s="50"/>
      <c r="Z318" s="50"/>
      <c r="AA318" s="50"/>
      <c r="AB318" s="50"/>
    </row>
    <row r="319" customFormat="false" ht="15.75" hidden="false" customHeight="false" outlineLevel="0" collapsed="false">
      <c r="A319" s="50"/>
      <c r="B319" s="50"/>
      <c r="C319" s="5"/>
      <c r="D319" s="48"/>
      <c r="E319" s="50"/>
      <c r="F319" s="5"/>
      <c r="G319" s="5"/>
      <c r="H319" s="5"/>
      <c r="I319" s="5"/>
      <c r="J319" s="5"/>
      <c r="K319" s="50"/>
      <c r="L319" s="50"/>
      <c r="M319" s="50"/>
      <c r="N319" s="50"/>
      <c r="O319" s="50"/>
      <c r="P319" s="50"/>
      <c r="Q319" s="50"/>
      <c r="R319" s="50"/>
      <c r="S319" s="50"/>
      <c r="T319" s="50"/>
      <c r="U319" s="50"/>
      <c r="V319" s="50"/>
      <c r="W319" s="50"/>
      <c r="X319" s="50"/>
      <c r="Y319" s="50"/>
      <c r="Z319" s="50"/>
      <c r="AA319" s="50"/>
      <c r="AB319" s="50"/>
    </row>
    <row r="320" customFormat="false" ht="15.75" hidden="false" customHeight="false" outlineLevel="0" collapsed="false">
      <c r="A320" s="50"/>
      <c r="B320" s="50"/>
      <c r="C320" s="5"/>
      <c r="D320" s="48"/>
      <c r="E320" s="50"/>
      <c r="F320" s="5"/>
      <c r="G320" s="5"/>
      <c r="H320" s="5"/>
      <c r="I320" s="5"/>
      <c r="J320" s="5"/>
      <c r="K320" s="50"/>
      <c r="L320" s="50"/>
      <c r="M320" s="50"/>
      <c r="N320" s="50"/>
      <c r="O320" s="50"/>
      <c r="P320" s="50"/>
      <c r="Q320" s="50"/>
      <c r="R320" s="50"/>
      <c r="S320" s="50"/>
      <c r="T320" s="50"/>
      <c r="U320" s="50"/>
      <c r="V320" s="50"/>
      <c r="W320" s="50"/>
      <c r="X320" s="50"/>
      <c r="Y320" s="50"/>
      <c r="Z320" s="50"/>
      <c r="AA320" s="50"/>
      <c r="AB320" s="50"/>
    </row>
    <row r="321" customFormat="false" ht="15.75" hidden="false" customHeight="false" outlineLevel="0" collapsed="false">
      <c r="A321" s="50"/>
      <c r="B321" s="50"/>
      <c r="C321" s="5"/>
      <c r="D321" s="48"/>
      <c r="E321" s="50"/>
      <c r="F321" s="5"/>
      <c r="G321" s="5"/>
      <c r="H321" s="5"/>
      <c r="I321" s="5"/>
      <c r="J321" s="5"/>
      <c r="K321" s="50"/>
      <c r="L321" s="50"/>
      <c r="M321" s="50"/>
      <c r="N321" s="50"/>
      <c r="O321" s="50"/>
      <c r="P321" s="50"/>
      <c r="Q321" s="50"/>
      <c r="R321" s="50"/>
      <c r="S321" s="50"/>
      <c r="T321" s="50"/>
      <c r="U321" s="50"/>
      <c r="V321" s="50"/>
      <c r="W321" s="50"/>
      <c r="X321" s="50"/>
      <c r="Y321" s="50"/>
      <c r="Z321" s="50"/>
      <c r="AA321" s="50"/>
      <c r="AB321" s="50"/>
    </row>
    <row r="322" customFormat="false" ht="15.75" hidden="false" customHeight="false" outlineLevel="0" collapsed="false">
      <c r="A322" s="50"/>
      <c r="B322" s="50"/>
      <c r="C322" s="5"/>
      <c r="D322" s="48"/>
      <c r="E322" s="50"/>
      <c r="F322" s="5"/>
      <c r="G322" s="5"/>
      <c r="H322" s="5"/>
      <c r="I322" s="5"/>
      <c r="J322" s="5"/>
      <c r="K322" s="50"/>
      <c r="L322" s="50"/>
      <c r="M322" s="50"/>
      <c r="N322" s="50"/>
      <c r="O322" s="50"/>
      <c r="P322" s="50"/>
      <c r="Q322" s="50"/>
      <c r="R322" s="50"/>
      <c r="S322" s="50"/>
      <c r="T322" s="50"/>
      <c r="U322" s="50"/>
      <c r="V322" s="50"/>
      <c r="W322" s="50"/>
      <c r="X322" s="50"/>
      <c r="Y322" s="50"/>
      <c r="Z322" s="50"/>
      <c r="AA322" s="50"/>
      <c r="AB322" s="50"/>
    </row>
    <row r="323" customFormat="false" ht="15.75" hidden="false" customHeight="false" outlineLevel="0" collapsed="false">
      <c r="A323" s="50"/>
      <c r="B323" s="50"/>
      <c r="C323" s="5"/>
      <c r="D323" s="48"/>
      <c r="E323" s="50"/>
      <c r="F323" s="5"/>
      <c r="G323" s="5"/>
      <c r="H323" s="5"/>
      <c r="I323" s="5"/>
      <c r="J323" s="5"/>
      <c r="K323" s="50"/>
      <c r="L323" s="50"/>
      <c r="M323" s="50"/>
      <c r="N323" s="50"/>
      <c r="O323" s="50"/>
      <c r="P323" s="50"/>
      <c r="Q323" s="50"/>
      <c r="R323" s="50"/>
      <c r="S323" s="50"/>
      <c r="T323" s="50"/>
      <c r="U323" s="50"/>
      <c r="V323" s="50"/>
      <c r="W323" s="50"/>
      <c r="X323" s="50"/>
      <c r="Y323" s="50"/>
      <c r="Z323" s="50"/>
      <c r="AA323" s="50"/>
      <c r="AB323" s="50"/>
    </row>
    <row r="324" customFormat="false" ht="15.75" hidden="false" customHeight="false" outlineLevel="0" collapsed="false">
      <c r="A324" s="50"/>
      <c r="B324" s="50"/>
      <c r="C324" s="5"/>
      <c r="D324" s="48"/>
      <c r="E324" s="50"/>
      <c r="F324" s="5"/>
      <c r="G324" s="5"/>
      <c r="H324" s="5"/>
      <c r="I324" s="5"/>
      <c r="J324" s="5"/>
      <c r="K324" s="50"/>
      <c r="L324" s="50"/>
      <c r="M324" s="50"/>
      <c r="N324" s="50"/>
      <c r="O324" s="50"/>
      <c r="P324" s="50"/>
      <c r="Q324" s="50"/>
      <c r="R324" s="50"/>
      <c r="S324" s="50"/>
      <c r="T324" s="50"/>
      <c r="U324" s="50"/>
      <c r="V324" s="50"/>
      <c r="W324" s="50"/>
      <c r="X324" s="50"/>
      <c r="Y324" s="50"/>
      <c r="Z324" s="50"/>
      <c r="AA324" s="50"/>
      <c r="AB324" s="50"/>
    </row>
    <row r="325" customFormat="false" ht="15.75" hidden="false" customHeight="false" outlineLevel="0" collapsed="false">
      <c r="A325" s="50"/>
      <c r="B325" s="50"/>
      <c r="C325" s="5"/>
      <c r="D325" s="48"/>
      <c r="E325" s="50"/>
      <c r="F325" s="5"/>
      <c r="G325" s="5"/>
      <c r="H325" s="5"/>
      <c r="I325" s="5"/>
      <c r="J325" s="5"/>
      <c r="K325" s="50"/>
      <c r="L325" s="50"/>
      <c r="M325" s="50"/>
      <c r="N325" s="50"/>
      <c r="O325" s="50"/>
      <c r="P325" s="50"/>
      <c r="Q325" s="50"/>
      <c r="R325" s="50"/>
      <c r="S325" s="50"/>
      <c r="T325" s="50"/>
      <c r="U325" s="50"/>
      <c r="V325" s="50"/>
      <c r="W325" s="50"/>
      <c r="X325" s="50"/>
      <c r="Y325" s="50"/>
      <c r="Z325" s="50"/>
      <c r="AA325" s="50"/>
      <c r="AB325" s="50"/>
    </row>
    <row r="326" customFormat="false" ht="15.75" hidden="false" customHeight="false" outlineLevel="0" collapsed="false">
      <c r="A326" s="50"/>
      <c r="B326" s="50"/>
      <c r="C326" s="5"/>
      <c r="D326" s="48"/>
      <c r="E326" s="50"/>
      <c r="F326" s="5"/>
      <c r="G326" s="5"/>
      <c r="H326" s="5"/>
      <c r="I326" s="5"/>
      <c r="J326" s="5"/>
      <c r="K326" s="50"/>
      <c r="L326" s="50"/>
      <c r="M326" s="50"/>
      <c r="N326" s="50"/>
      <c r="O326" s="50"/>
      <c r="P326" s="50"/>
      <c r="Q326" s="50"/>
      <c r="R326" s="50"/>
      <c r="S326" s="50"/>
      <c r="T326" s="50"/>
      <c r="U326" s="50"/>
      <c r="V326" s="50"/>
      <c r="W326" s="50"/>
      <c r="X326" s="50"/>
      <c r="Y326" s="50"/>
      <c r="Z326" s="50"/>
      <c r="AA326" s="50"/>
      <c r="AB326" s="50"/>
    </row>
    <row r="327" customFormat="false" ht="15.75" hidden="false" customHeight="false" outlineLevel="0" collapsed="false">
      <c r="A327" s="50"/>
      <c r="B327" s="50"/>
      <c r="C327" s="5"/>
      <c r="D327" s="48"/>
      <c r="E327" s="50"/>
      <c r="F327" s="5"/>
      <c r="G327" s="5"/>
      <c r="H327" s="5"/>
      <c r="I327" s="5"/>
      <c r="J327" s="5"/>
      <c r="K327" s="50"/>
      <c r="L327" s="50"/>
      <c r="M327" s="50"/>
      <c r="N327" s="50"/>
      <c r="O327" s="50"/>
      <c r="P327" s="50"/>
      <c r="Q327" s="50"/>
      <c r="R327" s="50"/>
      <c r="S327" s="50"/>
      <c r="T327" s="50"/>
      <c r="U327" s="50"/>
      <c r="V327" s="50"/>
      <c r="W327" s="50"/>
      <c r="X327" s="50"/>
      <c r="Y327" s="50"/>
      <c r="Z327" s="50"/>
      <c r="AA327" s="50"/>
      <c r="AB327" s="50"/>
    </row>
    <row r="328" customFormat="false" ht="15.75" hidden="false" customHeight="false" outlineLevel="0" collapsed="false">
      <c r="A328" s="50"/>
      <c r="B328" s="50"/>
      <c r="C328" s="5"/>
      <c r="D328" s="48"/>
      <c r="E328" s="50"/>
      <c r="F328" s="5"/>
      <c r="G328" s="5"/>
      <c r="H328" s="5"/>
      <c r="I328" s="5"/>
      <c r="J328" s="5"/>
      <c r="K328" s="50"/>
      <c r="L328" s="50"/>
      <c r="M328" s="50"/>
      <c r="N328" s="50"/>
      <c r="O328" s="50"/>
      <c r="P328" s="50"/>
      <c r="Q328" s="50"/>
      <c r="R328" s="50"/>
      <c r="S328" s="50"/>
      <c r="T328" s="50"/>
      <c r="U328" s="50"/>
      <c r="V328" s="50"/>
      <c r="W328" s="50"/>
      <c r="X328" s="50"/>
      <c r="Y328" s="50"/>
      <c r="Z328" s="50"/>
      <c r="AA328" s="50"/>
      <c r="AB328" s="50"/>
    </row>
    <row r="329" customFormat="false" ht="15.75" hidden="false" customHeight="false" outlineLevel="0" collapsed="false">
      <c r="A329" s="50"/>
      <c r="B329" s="50"/>
      <c r="C329" s="5"/>
      <c r="D329" s="48"/>
      <c r="E329" s="50"/>
      <c r="F329" s="5"/>
      <c r="G329" s="5"/>
      <c r="H329" s="5"/>
      <c r="I329" s="5"/>
      <c r="J329" s="5"/>
      <c r="K329" s="50"/>
      <c r="L329" s="50"/>
      <c r="M329" s="50"/>
      <c r="N329" s="50"/>
      <c r="O329" s="50"/>
      <c r="P329" s="50"/>
      <c r="Q329" s="50"/>
      <c r="R329" s="50"/>
      <c r="S329" s="50"/>
      <c r="T329" s="50"/>
      <c r="U329" s="50"/>
      <c r="V329" s="50"/>
      <c r="W329" s="50"/>
      <c r="X329" s="50"/>
      <c r="Y329" s="50"/>
      <c r="Z329" s="50"/>
      <c r="AA329" s="50"/>
      <c r="AB329" s="50"/>
    </row>
    <row r="330" customFormat="false" ht="15.75" hidden="false" customHeight="false" outlineLevel="0" collapsed="false">
      <c r="A330" s="50"/>
      <c r="B330" s="50"/>
      <c r="C330" s="5"/>
      <c r="D330" s="48"/>
      <c r="E330" s="50"/>
      <c r="F330" s="5"/>
      <c r="G330" s="5"/>
      <c r="H330" s="5"/>
      <c r="I330" s="5"/>
      <c r="J330" s="5"/>
      <c r="K330" s="50"/>
      <c r="L330" s="50"/>
      <c r="M330" s="50"/>
      <c r="N330" s="50"/>
      <c r="O330" s="50"/>
      <c r="P330" s="50"/>
      <c r="Q330" s="50"/>
      <c r="R330" s="50"/>
      <c r="S330" s="50"/>
      <c r="T330" s="50"/>
      <c r="U330" s="50"/>
      <c r="V330" s="50"/>
      <c r="W330" s="50"/>
      <c r="X330" s="50"/>
      <c r="Y330" s="50"/>
      <c r="Z330" s="50"/>
      <c r="AA330" s="50"/>
      <c r="AB330" s="50"/>
    </row>
    <row r="331" customFormat="false" ht="15.75" hidden="false" customHeight="false" outlineLevel="0" collapsed="false">
      <c r="A331" s="50"/>
      <c r="B331" s="50"/>
      <c r="C331" s="5"/>
      <c r="D331" s="48"/>
      <c r="E331" s="50"/>
      <c r="F331" s="5"/>
      <c r="G331" s="5"/>
      <c r="H331" s="5"/>
      <c r="I331" s="5"/>
      <c r="J331" s="5"/>
      <c r="K331" s="50"/>
      <c r="L331" s="50"/>
      <c r="M331" s="50"/>
      <c r="N331" s="50"/>
      <c r="O331" s="50"/>
      <c r="P331" s="50"/>
      <c r="Q331" s="50"/>
      <c r="R331" s="50"/>
      <c r="S331" s="50"/>
      <c r="T331" s="50"/>
      <c r="U331" s="50"/>
      <c r="V331" s="50"/>
      <c r="W331" s="50"/>
      <c r="X331" s="50"/>
      <c r="Y331" s="50"/>
      <c r="Z331" s="50"/>
      <c r="AA331" s="50"/>
      <c r="AB331" s="50"/>
    </row>
    <row r="332" customFormat="false" ht="15.75" hidden="false" customHeight="false" outlineLevel="0" collapsed="false">
      <c r="A332" s="50"/>
      <c r="B332" s="50"/>
      <c r="C332" s="5"/>
      <c r="D332" s="48"/>
      <c r="E332" s="50"/>
      <c r="F332" s="5"/>
      <c r="G332" s="5"/>
      <c r="H332" s="5"/>
      <c r="I332" s="5"/>
      <c r="J332" s="5"/>
      <c r="K332" s="50"/>
      <c r="L332" s="50"/>
      <c r="M332" s="50"/>
      <c r="N332" s="50"/>
      <c r="O332" s="50"/>
      <c r="P332" s="50"/>
      <c r="Q332" s="50"/>
      <c r="R332" s="50"/>
      <c r="S332" s="50"/>
      <c r="T332" s="50"/>
      <c r="U332" s="50"/>
      <c r="V332" s="50"/>
      <c r="W332" s="50"/>
      <c r="X332" s="50"/>
      <c r="Y332" s="50"/>
      <c r="Z332" s="50"/>
      <c r="AA332" s="50"/>
      <c r="AB332" s="50"/>
    </row>
    <row r="333" customFormat="false" ht="15.75" hidden="false" customHeight="false" outlineLevel="0" collapsed="false">
      <c r="A333" s="50"/>
      <c r="B333" s="50"/>
      <c r="C333" s="5"/>
      <c r="D333" s="48"/>
      <c r="E333" s="50"/>
      <c r="F333" s="5"/>
      <c r="G333" s="5"/>
      <c r="H333" s="5"/>
      <c r="I333" s="5"/>
      <c r="J333" s="5"/>
      <c r="K333" s="50"/>
      <c r="L333" s="50"/>
      <c r="M333" s="50"/>
      <c r="N333" s="50"/>
      <c r="O333" s="50"/>
      <c r="P333" s="50"/>
      <c r="Q333" s="50"/>
      <c r="R333" s="50"/>
      <c r="S333" s="50"/>
      <c r="T333" s="50"/>
      <c r="U333" s="50"/>
      <c r="V333" s="50"/>
      <c r="W333" s="50"/>
      <c r="X333" s="50"/>
      <c r="Y333" s="50"/>
      <c r="Z333" s="50"/>
      <c r="AA333" s="50"/>
      <c r="AB333" s="50"/>
    </row>
    <row r="334" customFormat="false" ht="15.75" hidden="false" customHeight="false" outlineLevel="0" collapsed="false">
      <c r="A334" s="50"/>
      <c r="B334" s="50"/>
      <c r="C334" s="5"/>
      <c r="D334" s="48"/>
      <c r="E334" s="50"/>
      <c r="F334" s="5"/>
      <c r="G334" s="5"/>
      <c r="H334" s="5"/>
      <c r="I334" s="5"/>
      <c r="J334" s="5"/>
      <c r="K334" s="50"/>
      <c r="L334" s="50"/>
      <c r="M334" s="50"/>
      <c r="N334" s="50"/>
      <c r="O334" s="50"/>
      <c r="P334" s="50"/>
      <c r="Q334" s="50"/>
      <c r="R334" s="50"/>
      <c r="S334" s="50"/>
      <c r="T334" s="50"/>
      <c r="U334" s="50"/>
      <c r="V334" s="50"/>
      <c r="W334" s="50"/>
      <c r="X334" s="50"/>
      <c r="Y334" s="50"/>
      <c r="Z334" s="50"/>
      <c r="AA334" s="50"/>
      <c r="AB334" s="50"/>
    </row>
    <row r="335" customFormat="false" ht="15.75" hidden="false" customHeight="false" outlineLevel="0" collapsed="false">
      <c r="A335" s="50"/>
      <c r="B335" s="50"/>
      <c r="C335" s="5"/>
      <c r="D335" s="48"/>
      <c r="E335" s="50"/>
      <c r="F335" s="5"/>
      <c r="G335" s="5"/>
      <c r="H335" s="5"/>
      <c r="I335" s="5"/>
      <c r="J335" s="5"/>
      <c r="K335" s="50"/>
      <c r="L335" s="50"/>
      <c r="M335" s="50"/>
      <c r="N335" s="50"/>
      <c r="O335" s="50"/>
      <c r="P335" s="50"/>
      <c r="Q335" s="50"/>
      <c r="R335" s="50"/>
      <c r="S335" s="50"/>
      <c r="T335" s="50"/>
      <c r="U335" s="50"/>
      <c r="V335" s="50"/>
      <c r="W335" s="50"/>
      <c r="X335" s="50"/>
      <c r="Y335" s="50"/>
      <c r="Z335" s="50"/>
      <c r="AA335" s="50"/>
      <c r="AB335" s="50"/>
    </row>
    <row r="336" customFormat="false" ht="15.75" hidden="false" customHeight="false" outlineLevel="0" collapsed="false">
      <c r="A336" s="50"/>
      <c r="B336" s="50"/>
      <c r="C336" s="5"/>
      <c r="D336" s="48"/>
      <c r="E336" s="50"/>
      <c r="F336" s="5"/>
      <c r="G336" s="5"/>
      <c r="H336" s="5"/>
      <c r="I336" s="5"/>
      <c r="J336" s="5"/>
      <c r="K336" s="50"/>
      <c r="L336" s="50"/>
      <c r="M336" s="50"/>
      <c r="N336" s="50"/>
      <c r="O336" s="50"/>
      <c r="P336" s="50"/>
      <c r="Q336" s="50"/>
      <c r="R336" s="50"/>
      <c r="S336" s="50"/>
      <c r="T336" s="50"/>
      <c r="U336" s="50"/>
      <c r="V336" s="50"/>
      <c r="W336" s="50"/>
      <c r="X336" s="50"/>
      <c r="Y336" s="50"/>
      <c r="Z336" s="50"/>
      <c r="AA336" s="50"/>
      <c r="AB336" s="50"/>
    </row>
    <row r="337" customFormat="false" ht="15.75" hidden="false" customHeight="false" outlineLevel="0" collapsed="false">
      <c r="A337" s="50"/>
      <c r="B337" s="50"/>
      <c r="C337" s="5"/>
      <c r="D337" s="48"/>
      <c r="E337" s="50"/>
      <c r="F337" s="5"/>
      <c r="G337" s="5"/>
      <c r="H337" s="5"/>
      <c r="I337" s="5"/>
      <c r="J337" s="5"/>
      <c r="K337" s="50"/>
      <c r="L337" s="50"/>
      <c r="M337" s="50"/>
      <c r="N337" s="50"/>
      <c r="O337" s="50"/>
      <c r="P337" s="50"/>
      <c r="Q337" s="50"/>
      <c r="R337" s="50"/>
      <c r="S337" s="50"/>
      <c r="T337" s="50"/>
      <c r="U337" s="50"/>
      <c r="V337" s="50"/>
      <c r="W337" s="50"/>
      <c r="X337" s="50"/>
      <c r="Y337" s="50"/>
      <c r="Z337" s="50"/>
      <c r="AA337" s="50"/>
      <c r="AB337" s="50"/>
    </row>
    <row r="338" customFormat="false" ht="15.75" hidden="false" customHeight="false" outlineLevel="0" collapsed="false">
      <c r="A338" s="50"/>
      <c r="B338" s="50"/>
      <c r="C338" s="5"/>
      <c r="D338" s="48"/>
      <c r="E338" s="50"/>
      <c r="F338" s="5"/>
      <c r="G338" s="5"/>
      <c r="H338" s="5"/>
      <c r="I338" s="5"/>
      <c r="J338" s="5"/>
      <c r="K338" s="50"/>
      <c r="L338" s="50"/>
      <c r="M338" s="50"/>
      <c r="N338" s="50"/>
      <c r="O338" s="50"/>
      <c r="P338" s="50"/>
      <c r="Q338" s="50"/>
      <c r="R338" s="50"/>
      <c r="S338" s="50"/>
      <c r="T338" s="50"/>
      <c r="U338" s="50"/>
      <c r="V338" s="50"/>
      <c r="W338" s="50"/>
      <c r="X338" s="50"/>
      <c r="Y338" s="50"/>
      <c r="Z338" s="50"/>
      <c r="AA338" s="50"/>
      <c r="AB338" s="50"/>
    </row>
    <row r="339" customFormat="false" ht="15.75" hidden="false" customHeight="false" outlineLevel="0" collapsed="false">
      <c r="A339" s="50"/>
      <c r="B339" s="50"/>
      <c r="C339" s="5"/>
      <c r="D339" s="48"/>
      <c r="E339" s="50"/>
      <c r="F339" s="5"/>
      <c r="G339" s="5"/>
      <c r="H339" s="5"/>
      <c r="I339" s="5"/>
      <c r="J339" s="5"/>
      <c r="K339" s="50"/>
      <c r="L339" s="50"/>
      <c r="M339" s="50"/>
      <c r="N339" s="50"/>
      <c r="O339" s="50"/>
      <c r="P339" s="50"/>
      <c r="Q339" s="50"/>
      <c r="R339" s="50"/>
      <c r="S339" s="50"/>
      <c r="T339" s="50"/>
      <c r="U339" s="50"/>
      <c r="V339" s="50"/>
      <c r="W339" s="50"/>
      <c r="X339" s="50"/>
      <c r="Y339" s="50"/>
      <c r="Z339" s="50"/>
      <c r="AA339" s="50"/>
      <c r="AB339" s="50"/>
    </row>
    <row r="340" customFormat="false" ht="15.75" hidden="false" customHeight="false" outlineLevel="0" collapsed="false">
      <c r="A340" s="50"/>
      <c r="B340" s="50"/>
      <c r="C340" s="5"/>
      <c r="D340" s="48"/>
      <c r="E340" s="50"/>
      <c r="F340" s="5"/>
      <c r="G340" s="5"/>
      <c r="H340" s="5"/>
      <c r="I340" s="5"/>
      <c r="J340" s="5"/>
      <c r="K340" s="50"/>
      <c r="L340" s="50"/>
      <c r="M340" s="50"/>
      <c r="N340" s="50"/>
      <c r="O340" s="50"/>
      <c r="P340" s="50"/>
      <c r="Q340" s="50"/>
      <c r="R340" s="50"/>
      <c r="S340" s="50"/>
      <c r="T340" s="50"/>
      <c r="U340" s="50"/>
      <c r="V340" s="50"/>
      <c r="W340" s="50"/>
      <c r="X340" s="50"/>
      <c r="Y340" s="50"/>
      <c r="Z340" s="50"/>
      <c r="AA340" s="50"/>
      <c r="AB340" s="50"/>
    </row>
    <row r="341" customFormat="false" ht="15.75" hidden="false" customHeight="false" outlineLevel="0" collapsed="false">
      <c r="A341" s="50"/>
      <c r="B341" s="50"/>
      <c r="C341" s="5"/>
      <c r="D341" s="48"/>
      <c r="E341" s="50"/>
      <c r="F341" s="5"/>
      <c r="G341" s="5"/>
      <c r="H341" s="5"/>
      <c r="I341" s="5"/>
      <c r="J341" s="5"/>
      <c r="K341" s="50"/>
      <c r="L341" s="50"/>
      <c r="M341" s="50"/>
      <c r="N341" s="50"/>
      <c r="O341" s="50"/>
      <c r="P341" s="50"/>
      <c r="Q341" s="50"/>
      <c r="R341" s="50"/>
      <c r="S341" s="50"/>
      <c r="T341" s="50"/>
      <c r="U341" s="50"/>
      <c r="V341" s="50"/>
      <c r="W341" s="50"/>
      <c r="X341" s="50"/>
      <c r="Y341" s="50"/>
      <c r="Z341" s="50"/>
      <c r="AA341" s="50"/>
      <c r="AB341" s="50"/>
    </row>
    <row r="342" customFormat="false" ht="15.75" hidden="false" customHeight="false" outlineLevel="0" collapsed="false">
      <c r="A342" s="50"/>
      <c r="B342" s="50"/>
      <c r="C342" s="5"/>
      <c r="D342" s="48"/>
      <c r="E342" s="50"/>
      <c r="F342" s="5"/>
      <c r="G342" s="5"/>
      <c r="H342" s="5"/>
      <c r="I342" s="5"/>
      <c r="J342" s="5"/>
      <c r="K342" s="50"/>
      <c r="L342" s="50"/>
      <c r="M342" s="50"/>
      <c r="N342" s="50"/>
      <c r="O342" s="50"/>
      <c r="P342" s="50"/>
      <c r="Q342" s="50"/>
      <c r="R342" s="50"/>
      <c r="S342" s="50"/>
      <c r="T342" s="50"/>
      <c r="U342" s="50"/>
      <c r="V342" s="50"/>
      <c r="W342" s="50"/>
      <c r="X342" s="50"/>
      <c r="Y342" s="50"/>
      <c r="Z342" s="50"/>
      <c r="AA342" s="50"/>
      <c r="AB342" s="50"/>
    </row>
    <row r="343" customFormat="false" ht="15.75" hidden="false" customHeight="false" outlineLevel="0" collapsed="false">
      <c r="A343" s="50"/>
      <c r="B343" s="50"/>
      <c r="C343" s="5"/>
      <c r="D343" s="48"/>
      <c r="E343" s="50"/>
      <c r="F343" s="5"/>
      <c r="G343" s="5"/>
      <c r="H343" s="5"/>
      <c r="I343" s="5"/>
      <c r="J343" s="5"/>
      <c r="K343" s="50"/>
      <c r="L343" s="50"/>
      <c r="M343" s="50"/>
      <c r="N343" s="50"/>
      <c r="O343" s="50"/>
      <c r="P343" s="50"/>
      <c r="Q343" s="50"/>
      <c r="R343" s="50"/>
      <c r="S343" s="50"/>
      <c r="T343" s="50"/>
      <c r="U343" s="50"/>
      <c r="V343" s="50"/>
      <c r="W343" s="50"/>
      <c r="X343" s="50"/>
      <c r="Y343" s="50"/>
      <c r="Z343" s="50"/>
      <c r="AA343" s="50"/>
      <c r="AB343" s="50"/>
    </row>
    <row r="344" customFormat="false" ht="15.75" hidden="false" customHeight="false" outlineLevel="0" collapsed="false">
      <c r="A344" s="50"/>
      <c r="B344" s="50"/>
      <c r="C344" s="5"/>
      <c r="D344" s="48"/>
      <c r="E344" s="50"/>
      <c r="F344" s="5"/>
      <c r="G344" s="5"/>
      <c r="H344" s="5"/>
      <c r="I344" s="5"/>
      <c r="J344" s="5"/>
      <c r="K344" s="50"/>
      <c r="L344" s="50"/>
      <c r="M344" s="50"/>
      <c r="N344" s="50"/>
      <c r="O344" s="50"/>
      <c r="P344" s="50"/>
      <c r="Q344" s="50"/>
      <c r="R344" s="50"/>
      <c r="S344" s="50"/>
      <c r="T344" s="50"/>
      <c r="U344" s="50"/>
      <c r="V344" s="50"/>
      <c r="W344" s="50"/>
      <c r="X344" s="50"/>
      <c r="Y344" s="50"/>
      <c r="Z344" s="50"/>
      <c r="AA344" s="50"/>
      <c r="AB344" s="50"/>
    </row>
    <row r="345" customFormat="false" ht="15.75" hidden="false" customHeight="false" outlineLevel="0" collapsed="false">
      <c r="A345" s="50"/>
      <c r="B345" s="50"/>
      <c r="C345" s="5"/>
      <c r="D345" s="48"/>
      <c r="E345" s="50"/>
      <c r="F345" s="5"/>
      <c r="G345" s="5"/>
      <c r="H345" s="5"/>
      <c r="I345" s="5"/>
      <c r="J345" s="5"/>
      <c r="K345" s="50"/>
      <c r="L345" s="50"/>
      <c r="M345" s="50"/>
      <c r="N345" s="50"/>
      <c r="O345" s="50"/>
      <c r="P345" s="50"/>
      <c r="Q345" s="50"/>
      <c r="R345" s="50"/>
      <c r="S345" s="50"/>
      <c r="T345" s="50"/>
      <c r="U345" s="50"/>
      <c r="V345" s="50"/>
      <c r="W345" s="50"/>
      <c r="X345" s="50"/>
      <c r="Y345" s="50"/>
      <c r="Z345" s="50"/>
      <c r="AA345" s="50"/>
      <c r="AB345" s="50"/>
    </row>
    <row r="346" customFormat="false" ht="15.75" hidden="false" customHeight="false" outlineLevel="0" collapsed="false">
      <c r="A346" s="50"/>
      <c r="B346" s="50"/>
      <c r="C346" s="5"/>
      <c r="D346" s="48"/>
      <c r="E346" s="50"/>
      <c r="F346" s="5"/>
      <c r="G346" s="5"/>
      <c r="H346" s="5"/>
      <c r="I346" s="5"/>
      <c r="J346" s="5"/>
      <c r="K346" s="50"/>
      <c r="L346" s="50"/>
      <c r="M346" s="50"/>
      <c r="N346" s="50"/>
      <c r="O346" s="50"/>
      <c r="P346" s="50"/>
      <c r="Q346" s="50"/>
      <c r="R346" s="50"/>
      <c r="S346" s="50"/>
      <c r="T346" s="50"/>
      <c r="U346" s="50"/>
      <c r="V346" s="50"/>
      <c r="W346" s="50"/>
      <c r="X346" s="50"/>
      <c r="Y346" s="50"/>
      <c r="Z346" s="50"/>
      <c r="AA346" s="50"/>
      <c r="AB346" s="50"/>
    </row>
    <row r="347" customFormat="false" ht="15.75" hidden="false" customHeight="false" outlineLevel="0" collapsed="false">
      <c r="A347" s="50"/>
      <c r="B347" s="50"/>
      <c r="C347" s="5"/>
      <c r="D347" s="48"/>
      <c r="E347" s="50"/>
      <c r="F347" s="5"/>
      <c r="G347" s="5"/>
      <c r="H347" s="5"/>
      <c r="I347" s="5"/>
      <c r="J347" s="5"/>
      <c r="K347" s="50"/>
      <c r="L347" s="50"/>
      <c r="M347" s="50"/>
      <c r="N347" s="50"/>
      <c r="O347" s="50"/>
      <c r="P347" s="50"/>
      <c r="Q347" s="50"/>
      <c r="R347" s="50"/>
      <c r="S347" s="50"/>
      <c r="T347" s="50"/>
      <c r="U347" s="50"/>
      <c r="V347" s="50"/>
      <c r="W347" s="50"/>
      <c r="X347" s="50"/>
      <c r="Y347" s="50"/>
      <c r="Z347" s="50"/>
      <c r="AA347" s="50"/>
      <c r="AB347" s="50"/>
    </row>
    <row r="348" customFormat="false" ht="15.75" hidden="false" customHeight="false" outlineLevel="0" collapsed="false">
      <c r="A348" s="50"/>
      <c r="B348" s="50"/>
      <c r="C348" s="5"/>
      <c r="D348" s="48"/>
      <c r="E348" s="50"/>
      <c r="F348" s="5"/>
      <c r="G348" s="5"/>
      <c r="H348" s="5"/>
      <c r="I348" s="5"/>
      <c r="J348" s="5"/>
      <c r="K348" s="50"/>
      <c r="L348" s="50"/>
      <c r="M348" s="50"/>
      <c r="N348" s="50"/>
      <c r="O348" s="50"/>
      <c r="P348" s="50"/>
      <c r="Q348" s="50"/>
      <c r="R348" s="50"/>
      <c r="S348" s="50"/>
      <c r="T348" s="50"/>
      <c r="U348" s="50"/>
      <c r="V348" s="50"/>
      <c r="W348" s="50"/>
      <c r="X348" s="50"/>
      <c r="Y348" s="50"/>
      <c r="Z348" s="50"/>
      <c r="AA348" s="50"/>
      <c r="AB348" s="50"/>
    </row>
    <row r="349" customFormat="false" ht="15.75" hidden="false" customHeight="false" outlineLevel="0" collapsed="false">
      <c r="A349" s="50"/>
      <c r="B349" s="50"/>
      <c r="C349" s="5"/>
      <c r="D349" s="48"/>
      <c r="E349" s="50"/>
      <c r="F349" s="5"/>
      <c r="G349" s="5"/>
      <c r="H349" s="5"/>
      <c r="I349" s="5"/>
      <c r="J349" s="5"/>
      <c r="K349" s="50"/>
      <c r="L349" s="50"/>
      <c r="M349" s="50"/>
      <c r="N349" s="50"/>
      <c r="O349" s="50"/>
      <c r="P349" s="50"/>
      <c r="Q349" s="50"/>
      <c r="R349" s="50"/>
      <c r="S349" s="50"/>
      <c r="T349" s="50"/>
      <c r="U349" s="50"/>
      <c r="V349" s="50"/>
      <c r="W349" s="50"/>
      <c r="X349" s="50"/>
      <c r="Y349" s="50"/>
      <c r="Z349" s="50"/>
      <c r="AA349" s="50"/>
      <c r="AB349" s="50"/>
    </row>
    <row r="350" customFormat="false" ht="15.75" hidden="false" customHeight="false" outlineLevel="0" collapsed="false">
      <c r="A350" s="50"/>
      <c r="B350" s="50"/>
      <c r="C350" s="5"/>
      <c r="D350" s="48"/>
      <c r="E350" s="50"/>
      <c r="F350" s="5"/>
      <c r="G350" s="5"/>
      <c r="H350" s="5"/>
      <c r="I350" s="5"/>
      <c r="J350" s="5"/>
      <c r="K350" s="50"/>
      <c r="L350" s="50"/>
      <c r="M350" s="50"/>
      <c r="N350" s="50"/>
      <c r="O350" s="50"/>
      <c r="P350" s="50"/>
      <c r="Q350" s="50"/>
      <c r="R350" s="50"/>
      <c r="S350" s="50"/>
      <c r="T350" s="50"/>
      <c r="U350" s="50"/>
      <c r="V350" s="50"/>
      <c r="W350" s="50"/>
      <c r="X350" s="50"/>
      <c r="Y350" s="50"/>
      <c r="Z350" s="50"/>
      <c r="AA350" s="50"/>
      <c r="AB350" s="50"/>
    </row>
    <row r="351" customFormat="false" ht="15.75" hidden="false" customHeight="false" outlineLevel="0" collapsed="false">
      <c r="A351" s="50"/>
      <c r="B351" s="50"/>
      <c r="C351" s="5"/>
      <c r="D351" s="48"/>
      <c r="E351" s="50"/>
      <c r="F351" s="5"/>
      <c r="G351" s="5"/>
      <c r="H351" s="5"/>
      <c r="I351" s="5"/>
      <c r="J351" s="5"/>
      <c r="K351" s="50"/>
      <c r="L351" s="50"/>
      <c r="M351" s="50"/>
      <c r="N351" s="50"/>
      <c r="O351" s="50"/>
      <c r="P351" s="50"/>
      <c r="Q351" s="50"/>
      <c r="R351" s="50"/>
      <c r="S351" s="50"/>
      <c r="T351" s="50"/>
      <c r="U351" s="50"/>
      <c r="V351" s="50"/>
      <c r="W351" s="50"/>
      <c r="X351" s="50"/>
      <c r="Y351" s="50"/>
      <c r="Z351" s="50"/>
      <c r="AA351" s="50"/>
      <c r="AB351" s="50"/>
    </row>
    <row r="352" customFormat="false" ht="15.75" hidden="false" customHeight="false" outlineLevel="0" collapsed="false">
      <c r="A352" s="50"/>
      <c r="B352" s="50"/>
      <c r="C352" s="5"/>
      <c r="D352" s="48"/>
      <c r="E352" s="50"/>
      <c r="F352" s="5"/>
      <c r="G352" s="5"/>
      <c r="H352" s="5"/>
      <c r="I352" s="5"/>
      <c r="J352" s="5"/>
      <c r="K352" s="50"/>
      <c r="L352" s="50"/>
      <c r="M352" s="50"/>
      <c r="N352" s="50"/>
      <c r="O352" s="50"/>
      <c r="P352" s="50"/>
      <c r="Q352" s="50"/>
      <c r="R352" s="50"/>
      <c r="S352" s="50"/>
      <c r="T352" s="50"/>
      <c r="U352" s="50"/>
      <c r="V352" s="50"/>
      <c r="W352" s="50"/>
      <c r="X352" s="50"/>
      <c r="Y352" s="50"/>
      <c r="Z352" s="50"/>
      <c r="AA352" s="50"/>
      <c r="AB352" s="50"/>
    </row>
    <row r="353" customFormat="false" ht="15.75" hidden="false" customHeight="false" outlineLevel="0" collapsed="false">
      <c r="A353" s="50"/>
      <c r="B353" s="50"/>
      <c r="C353" s="5"/>
      <c r="D353" s="48"/>
      <c r="E353" s="50"/>
      <c r="F353" s="5"/>
      <c r="G353" s="5"/>
      <c r="H353" s="5"/>
      <c r="I353" s="5"/>
      <c r="J353" s="5"/>
      <c r="K353" s="50"/>
      <c r="L353" s="50"/>
      <c r="M353" s="50"/>
      <c r="N353" s="50"/>
      <c r="O353" s="50"/>
      <c r="P353" s="50"/>
      <c r="Q353" s="50"/>
      <c r="R353" s="50"/>
      <c r="S353" s="50"/>
      <c r="T353" s="50"/>
      <c r="U353" s="50"/>
      <c r="V353" s="50"/>
      <c r="W353" s="50"/>
      <c r="X353" s="50"/>
      <c r="Y353" s="50"/>
      <c r="Z353" s="50"/>
      <c r="AA353" s="50"/>
      <c r="AB353" s="50"/>
    </row>
    <row r="354" customFormat="false" ht="15.75" hidden="false" customHeight="false" outlineLevel="0" collapsed="false">
      <c r="A354" s="50"/>
      <c r="B354" s="50"/>
      <c r="C354" s="5"/>
      <c r="D354" s="48"/>
      <c r="E354" s="50"/>
      <c r="F354" s="5"/>
      <c r="G354" s="5"/>
      <c r="H354" s="5"/>
      <c r="I354" s="5"/>
      <c r="J354" s="5"/>
      <c r="K354" s="50"/>
      <c r="L354" s="50"/>
      <c r="M354" s="50"/>
      <c r="N354" s="50"/>
      <c r="O354" s="50"/>
      <c r="P354" s="50"/>
      <c r="Q354" s="50"/>
      <c r="R354" s="50"/>
      <c r="S354" s="50"/>
      <c r="T354" s="50"/>
      <c r="U354" s="50"/>
      <c r="V354" s="50"/>
      <c r="W354" s="50"/>
      <c r="X354" s="50"/>
      <c r="Y354" s="50"/>
      <c r="Z354" s="50"/>
      <c r="AA354" s="50"/>
      <c r="AB354" s="50"/>
    </row>
    <row r="355" customFormat="false" ht="15.75" hidden="false" customHeight="false" outlineLevel="0" collapsed="false">
      <c r="A355" s="50"/>
      <c r="B355" s="50"/>
      <c r="C355" s="5"/>
      <c r="D355" s="48"/>
      <c r="E355" s="50"/>
      <c r="F355" s="5"/>
      <c r="G355" s="5"/>
      <c r="H355" s="5"/>
      <c r="I355" s="5"/>
      <c r="J355" s="5"/>
      <c r="K355" s="50"/>
      <c r="L355" s="50"/>
      <c r="M355" s="50"/>
      <c r="N355" s="50"/>
      <c r="O355" s="50"/>
      <c r="P355" s="50"/>
      <c r="Q355" s="50"/>
      <c r="R355" s="50"/>
      <c r="S355" s="50"/>
      <c r="T355" s="50"/>
      <c r="U355" s="50"/>
      <c r="V355" s="50"/>
      <c r="W355" s="50"/>
      <c r="X355" s="50"/>
      <c r="Y355" s="50"/>
      <c r="Z355" s="50"/>
      <c r="AA355" s="50"/>
      <c r="AB355" s="50"/>
    </row>
    <row r="356" customFormat="false" ht="15.75" hidden="false" customHeight="false" outlineLevel="0" collapsed="false">
      <c r="A356" s="50"/>
      <c r="B356" s="50"/>
      <c r="C356" s="5"/>
      <c r="D356" s="48"/>
      <c r="E356" s="50"/>
      <c r="F356" s="5"/>
      <c r="G356" s="5"/>
      <c r="H356" s="5"/>
      <c r="I356" s="5"/>
      <c r="J356" s="5"/>
      <c r="K356" s="50"/>
      <c r="L356" s="50"/>
      <c r="M356" s="50"/>
      <c r="N356" s="50"/>
      <c r="O356" s="50"/>
      <c r="P356" s="50"/>
      <c r="Q356" s="50"/>
      <c r="R356" s="50"/>
      <c r="S356" s="50"/>
      <c r="T356" s="50"/>
      <c r="U356" s="50"/>
      <c r="V356" s="50"/>
      <c r="W356" s="50"/>
      <c r="X356" s="50"/>
      <c r="Y356" s="50"/>
      <c r="Z356" s="50"/>
      <c r="AA356" s="50"/>
      <c r="AB356" s="50"/>
    </row>
    <row r="357" customFormat="false" ht="15.75" hidden="false" customHeight="false" outlineLevel="0" collapsed="false">
      <c r="A357" s="50"/>
      <c r="B357" s="50"/>
      <c r="C357" s="5"/>
      <c r="D357" s="48"/>
      <c r="E357" s="50"/>
      <c r="F357" s="5"/>
      <c r="G357" s="5"/>
      <c r="H357" s="5"/>
      <c r="I357" s="5"/>
      <c r="J357" s="5"/>
      <c r="K357" s="50"/>
      <c r="L357" s="50"/>
      <c r="M357" s="50"/>
      <c r="N357" s="50"/>
      <c r="O357" s="50"/>
      <c r="P357" s="50"/>
      <c r="Q357" s="50"/>
      <c r="R357" s="50"/>
      <c r="S357" s="50"/>
      <c r="T357" s="50"/>
      <c r="U357" s="50"/>
      <c r="V357" s="50"/>
      <c r="W357" s="50"/>
      <c r="X357" s="50"/>
      <c r="Y357" s="50"/>
      <c r="Z357" s="50"/>
      <c r="AA357" s="50"/>
      <c r="AB357" s="50"/>
    </row>
    <row r="358" customFormat="false" ht="15.75" hidden="false" customHeight="false" outlineLevel="0" collapsed="false">
      <c r="A358" s="50"/>
      <c r="B358" s="50"/>
      <c r="C358" s="5"/>
      <c r="D358" s="48"/>
      <c r="E358" s="50"/>
      <c r="F358" s="5"/>
      <c r="G358" s="5"/>
      <c r="H358" s="5"/>
      <c r="I358" s="5"/>
      <c r="J358" s="5"/>
      <c r="K358" s="50"/>
      <c r="L358" s="50"/>
      <c r="M358" s="50"/>
      <c r="N358" s="50"/>
      <c r="O358" s="50"/>
      <c r="P358" s="50"/>
      <c r="Q358" s="50"/>
      <c r="R358" s="50"/>
      <c r="S358" s="50"/>
      <c r="T358" s="50"/>
      <c r="U358" s="50"/>
      <c r="V358" s="50"/>
      <c r="W358" s="50"/>
      <c r="X358" s="50"/>
      <c r="Y358" s="50"/>
      <c r="Z358" s="50"/>
      <c r="AA358" s="50"/>
      <c r="AB358" s="50"/>
    </row>
    <row r="359" customFormat="false" ht="15.75" hidden="false" customHeight="false" outlineLevel="0" collapsed="false">
      <c r="A359" s="50"/>
      <c r="B359" s="50"/>
      <c r="C359" s="5"/>
      <c r="D359" s="48"/>
      <c r="E359" s="50"/>
      <c r="F359" s="5"/>
      <c r="G359" s="5"/>
      <c r="H359" s="5"/>
      <c r="I359" s="5"/>
      <c r="J359" s="5"/>
      <c r="K359" s="50"/>
      <c r="L359" s="50"/>
      <c r="M359" s="50"/>
      <c r="N359" s="50"/>
      <c r="O359" s="50"/>
      <c r="P359" s="50"/>
      <c r="Q359" s="50"/>
      <c r="R359" s="50"/>
      <c r="S359" s="50"/>
      <c r="T359" s="50"/>
      <c r="U359" s="50"/>
      <c r="V359" s="50"/>
      <c r="W359" s="50"/>
      <c r="X359" s="50"/>
      <c r="Y359" s="50"/>
      <c r="Z359" s="50"/>
      <c r="AA359" s="50"/>
      <c r="AB359" s="50"/>
    </row>
    <row r="360" customFormat="false" ht="15.75" hidden="false" customHeight="false" outlineLevel="0" collapsed="false">
      <c r="A360" s="50"/>
      <c r="B360" s="50"/>
      <c r="C360" s="5"/>
      <c r="D360" s="48"/>
      <c r="E360" s="50"/>
      <c r="F360" s="5"/>
      <c r="G360" s="5"/>
      <c r="H360" s="5"/>
      <c r="I360" s="5"/>
      <c r="J360" s="5"/>
      <c r="K360" s="50"/>
      <c r="L360" s="50"/>
      <c r="M360" s="50"/>
      <c r="N360" s="50"/>
      <c r="O360" s="50"/>
      <c r="P360" s="50"/>
      <c r="Q360" s="50"/>
      <c r="R360" s="50"/>
      <c r="S360" s="50"/>
      <c r="T360" s="50"/>
      <c r="U360" s="50"/>
      <c r="V360" s="50"/>
      <c r="W360" s="50"/>
      <c r="X360" s="50"/>
      <c r="Y360" s="50"/>
      <c r="Z360" s="50"/>
      <c r="AA360" s="50"/>
      <c r="AB360" s="50"/>
    </row>
    <row r="361" customFormat="false" ht="15.75" hidden="false" customHeight="false" outlineLevel="0" collapsed="false">
      <c r="A361" s="50"/>
      <c r="B361" s="50"/>
      <c r="C361" s="5"/>
      <c r="D361" s="48"/>
      <c r="E361" s="50"/>
      <c r="F361" s="5"/>
      <c r="G361" s="5"/>
      <c r="H361" s="5"/>
      <c r="I361" s="5"/>
      <c r="J361" s="5"/>
      <c r="K361" s="50"/>
      <c r="L361" s="50"/>
      <c r="M361" s="50"/>
      <c r="N361" s="50"/>
      <c r="O361" s="50"/>
      <c r="P361" s="50"/>
      <c r="Q361" s="50"/>
      <c r="R361" s="50"/>
      <c r="S361" s="50"/>
      <c r="T361" s="50"/>
      <c r="U361" s="50"/>
      <c r="V361" s="50"/>
      <c r="W361" s="50"/>
      <c r="X361" s="50"/>
      <c r="Y361" s="50"/>
      <c r="Z361" s="50"/>
      <c r="AA361" s="50"/>
      <c r="AB361" s="50"/>
    </row>
    <row r="362" customFormat="false" ht="15.75" hidden="false" customHeight="false" outlineLevel="0" collapsed="false">
      <c r="A362" s="50"/>
      <c r="B362" s="50"/>
      <c r="C362" s="5"/>
      <c r="D362" s="48"/>
      <c r="E362" s="50"/>
      <c r="F362" s="5"/>
      <c r="G362" s="5"/>
      <c r="H362" s="5"/>
      <c r="I362" s="5"/>
      <c r="J362" s="5"/>
      <c r="K362" s="50"/>
      <c r="L362" s="50"/>
      <c r="M362" s="50"/>
      <c r="N362" s="50"/>
      <c r="O362" s="50"/>
      <c r="P362" s="50"/>
      <c r="Q362" s="50"/>
      <c r="R362" s="50"/>
      <c r="S362" s="50"/>
      <c r="T362" s="50"/>
      <c r="U362" s="50"/>
      <c r="V362" s="50"/>
      <c r="W362" s="50"/>
      <c r="X362" s="50"/>
      <c r="Y362" s="50"/>
      <c r="Z362" s="50"/>
      <c r="AA362" s="50"/>
      <c r="AB362" s="50"/>
    </row>
    <row r="363" customFormat="false" ht="15.75" hidden="false" customHeight="false" outlineLevel="0" collapsed="false">
      <c r="A363" s="50"/>
      <c r="B363" s="50"/>
      <c r="C363" s="5"/>
      <c r="D363" s="48"/>
      <c r="E363" s="50"/>
      <c r="F363" s="5"/>
      <c r="G363" s="5"/>
      <c r="H363" s="5"/>
      <c r="I363" s="5"/>
      <c r="J363" s="5"/>
      <c r="K363" s="50"/>
      <c r="L363" s="50"/>
      <c r="M363" s="50"/>
      <c r="N363" s="50"/>
      <c r="O363" s="50"/>
      <c r="P363" s="50"/>
      <c r="Q363" s="50"/>
      <c r="R363" s="50"/>
      <c r="S363" s="50"/>
      <c r="T363" s="50"/>
      <c r="U363" s="50"/>
      <c r="V363" s="50"/>
      <c r="W363" s="50"/>
      <c r="X363" s="50"/>
      <c r="Y363" s="50"/>
      <c r="Z363" s="50"/>
      <c r="AA363" s="50"/>
      <c r="AB363" s="50"/>
    </row>
    <row r="364" customFormat="false" ht="15.75" hidden="false" customHeight="false" outlineLevel="0" collapsed="false">
      <c r="A364" s="50"/>
      <c r="B364" s="50"/>
      <c r="C364" s="5"/>
      <c r="D364" s="48"/>
      <c r="E364" s="50"/>
      <c r="F364" s="5"/>
      <c r="G364" s="5"/>
      <c r="H364" s="5"/>
      <c r="I364" s="5"/>
      <c r="J364" s="5"/>
      <c r="K364" s="50"/>
      <c r="L364" s="50"/>
      <c r="M364" s="50"/>
      <c r="N364" s="50"/>
      <c r="O364" s="50"/>
      <c r="P364" s="50"/>
      <c r="Q364" s="50"/>
      <c r="R364" s="50"/>
      <c r="S364" s="50"/>
      <c r="T364" s="50"/>
      <c r="U364" s="50"/>
      <c r="V364" s="50"/>
      <c r="W364" s="50"/>
      <c r="X364" s="50"/>
      <c r="Y364" s="50"/>
      <c r="Z364" s="50"/>
      <c r="AA364" s="50"/>
      <c r="AB364" s="50"/>
    </row>
    <row r="365" customFormat="false" ht="15.75" hidden="false" customHeight="false" outlineLevel="0" collapsed="false">
      <c r="A365" s="50"/>
      <c r="B365" s="50"/>
      <c r="C365" s="5"/>
      <c r="D365" s="48"/>
      <c r="E365" s="50"/>
      <c r="F365" s="5"/>
      <c r="G365" s="5"/>
      <c r="H365" s="5"/>
      <c r="I365" s="5"/>
      <c r="J365" s="5"/>
      <c r="K365" s="50"/>
      <c r="L365" s="50"/>
      <c r="M365" s="50"/>
      <c r="N365" s="50"/>
      <c r="O365" s="50"/>
      <c r="P365" s="50"/>
      <c r="Q365" s="50"/>
      <c r="R365" s="50"/>
      <c r="S365" s="50"/>
      <c r="T365" s="50"/>
      <c r="U365" s="50"/>
      <c r="V365" s="50"/>
      <c r="W365" s="50"/>
      <c r="X365" s="50"/>
      <c r="Y365" s="50"/>
      <c r="Z365" s="50"/>
      <c r="AA365" s="50"/>
      <c r="AB365" s="50"/>
    </row>
    <row r="366" customFormat="false" ht="15.75" hidden="false" customHeight="false" outlineLevel="0" collapsed="false">
      <c r="A366" s="50"/>
      <c r="B366" s="50"/>
      <c r="C366" s="5"/>
      <c r="D366" s="48"/>
      <c r="E366" s="50"/>
      <c r="F366" s="5"/>
      <c r="G366" s="5"/>
      <c r="H366" s="5"/>
      <c r="I366" s="5"/>
      <c r="J366" s="5"/>
      <c r="K366" s="50"/>
      <c r="L366" s="50"/>
      <c r="M366" s="50"/>
      <c r="N366" s="50"/>
      <c r="O366" s="50"/>
      <c r="P366" s="50"/>
      <c r="Q366" s="50"/>
      <c r="R366" s="50"/>
      <c r="S366" s="50"/>
      <c r="T366" s="50"/>
      <c r="U366" s="50"/>
      <c r="V366" s="50"/>
      <c r="W366" s="50"/>
      <c r="X366" s="50"/>
      <c r="Y366" s="50"/>
      <c r="Z366" s="50"/>
      <c r="AA366" s="50"/>
      <c r="AB366" s="50"/>
    </row>
    <row r="367" customFormat="false" ht="15.75" hidden="false" customHeight="false" outlineLevel="0" collapsed="false">
      <c r="A367" s="50"/>
      <c r="B367" s="50"/>
      <c r="C367" s="5"/>
      <c r="D367" s="48"/>
      <c r="E367" s="50"/>
      <c r="F367" s="5"/>
      <c r="G367" s="5"/>
      <c r="H367" s="5"/>
      <c r="I367" s="5"/>
      <c r="J367" s="5"/>
      <c r="K367" s="50"/>
      <c r="L367" s="50"/>
      <c r="M367" s="50"/>
      <c r="N367" s="50"/>
      <c r="O367" s="50"/>
      <c r="P367" s="50"/>
      <c r="Q367" s="50"/>
      <c r="R367" s="50"/>
      <c r="S367" s="50"/>
      <c r="T367" s="50"/>
      <c r="U367" s="50"/>
      <c r="V367" s="50"/>
      <c r="W367" s="50"/>
      <c r="X367" s="50"/>
      <c r="Y367" s="50"/>
      <c r="Z367" s="50"/>
      <c r="AA367" s="50"/>
      <c r="AB367" s="50"/>
    </row>
    <row r="368" customFormat="false" ht="15.75" hidden="false" customHeight="false" outlineLevel="0" collapsed="false">
      <c r="A368" s="50"/>
      <c r="B368" s="50"/>
      <c r="C368" s="5"/>
      <c r="D368" s="48"/>
      <c r="E368" s="50"/>
      <c r="F368" s="5"/>
      <c r="G368" s="5"/>
      <c r="H368" s="5"/>
      <c r="I368" s="5"/>
      <c r="J368" s="5"/>
      <c r="K368" s="50"/>
      <c r="L368" s="50"/>
      <c r="M368" s="50"/>
      <c r="N368" s="50"/>
      <c r="O368" s="50"/>
      <c r="P368" s="50"/>
      <c r="Q368" s="50"/>
      <c r="R368" s="50"/>
      <c r="S368" s="50"/>
      <c r="T368" s="50"/>
      <c r="U368" s="50"/>
      <c r="V368" s="50"/>
      <c r="W368" s="50"/>
      <c r="X368" s="50"/>
      <c r="Y368" s="50"/>
      <c r="Z368" s="50"/>
      <c r="AA368" s="50"/>
      <c r="AB368" s="50"/>
    </row>
    <row r="369" customFormat="false" ht="15.75" hidden="false" customHeight="false" outlineLevel="0" collapsed="false">
      <c r="A369" s="50"/>
      <c r="B369" s="50"/>
      <c r="C369" s="5"/>
      <c r="D369" s="48"/>
      <c r="E369" s="50"/>
      <c r="F369" s="5"/>
      <c r="G369" s="5"/>
      <c r="H369" s="5"/>
      <c r="I369" s="5"/>
      <c r="J369" s="5"/>
      <c r="K369" s="50"/>
      <c r="L369" s="50"/>
      <c r="M369" s="50"/>
      <c r="N369" s="50"/>
      <c r="O369" s="50"/>
      <c r="P369" s="50"/>
      <c r="Q369" s="50"/>
      <c r="R369" s="50"/>
      <c r="S369" s="50"/>
      <c r="T369" s="50"/>
      <c r="U369" s="50"/>
      <c r="V369" s="50"/>
      <c r="W369" s="50"/>
      <c r="X369" s="50"/>
      <c r="Y369" s="50"/>
      <c r="Z369" s="50"/>
      <c r="AA369" s="50"/>
      <c r="AB369" s="50"/>
    </row>
    <row r="370" customFormat="false" ht="15.75" hidden="false" customHeight="false" outlineLevel="0" collapsed="false">
      <c r="A370" s="50"/>
      <c r="B370" s="50"/>
      <c r="C370" s="5"/>
      <c r="D370" s="48"/>
      <c r="E370" s="50"/>
      <c r="F370" s="5"/>
      <c r="G370" s="5"/>
      <c r="H370" s="5"/>
      <c r="I370" s="5"/>
      <c r="J370" s="5"/>
      <c r="K370" s="50"/>
      <c r="L370" s="50"/>
      <c r="M370" s="50"/>
      <c r="N370" s="50"/>
      <c r="O370" s="50"/>
      <c r="P370" s="50"/>
      <c r="Q370" s="50"/>
      <c r="R370" s="50"/>
      <c r="S370" s="50"/>
      <c r="T370" s="50"/>
      <c r="U370" s="50"/>
      <c r="V370" s="50"/>
      <c r="W370" s="50"/>
      <c r="X370" s="50"/>
      <c r="Y370" s="50"/>
      <c r="Z370" s="50"/>
      <c r="AA370" s="50"/>
      <c r="AB370" s="50"/>
    </row>
    <row r="371" customFormat="false" ht="15.75" hidden="false" customHeight="false" outlineLevel="0" collapsed="false">
      <c r="A371" s="50"/>
      <c r="B371" s="50"/>
      <c r="C371" s="5"/>
      <c r="D371" s="48"/>
      <c r="E371" s="50"/>
      <c r="F371" s="5"/>
      <c r="G371" s="5"/>
      <c r="H371" s="5"/>
      <c r="I371" s="5"/>
      <c r="J371" s="5"/>
      <c r="K371" s="50"/>
      <c r="L371" s="50"/>
      <c r="M371" s="50"/>
      <c r="N371" s="50"/>
      <c r="O371" s="50"/>
      <c r="P371" s="50"/>
      <c r="Q371" s="50"/>
      <c r="R371" s="50"/>
      <c r="S371" s="50"/>
      <c r="T371" s="50"/>
      <c r="U371" s="50"/>
      <c r="V371" s="50"/>
      <c r="W371" s="50"/>
      <c r="X371" s="50"/>
      <c r="Y371" s="50"/>
      <c r="Z371" s="50"/>
      <c r="AA371" s="50"/>
      <c r="AB371" s="50"/>
    </row>
    <row r="372" customFormat="false" ht="15.75" hidden="false" customHeight="false" outlineLevel="0" collapsed="false">
      <c r="A372" s="50"/>
      <c r="B372" s="50"/>
      <c r="C372" s="5"/>
      <c r="D372" s="48"/>
      <c r="E372" s="50"/>
      <c r="F372" s="5"/>
      <c r="G372" s="5"/>
      <c r="H372" s="5"/>
      <c r="I372" s="5"/>
      <c r="J372" s="5"/>
      <c r="K372" s="50"/>
      <c r="L372" s="50"/>
      <c r="M372" s="50"/>
      <c r="N372" s="50"/>
      <c r="O372" s="50"/>
      <c r="P372" s="50"/>
      <c r="Q372" s="50"/>
      <c r="R372" s="50"/>
      <c r="S372" s="50"/>
      <c r="T372" s="50"/>
      <c r="U372" s="50"/>
      <c r="V372" s="50"/>
      <c r="W372" s="50"/>
      <c r="X372" s="50"/>
      <c r="Y372" s="50"/>
      <c r="Z372" s="50"/>
      <c r="AA372" s="50"/>
      <c r="AB372" s="50"/>
    </row>
    <row r="373" customFormat="false" ht="15.75" hidden="false" customHeight="false" outlineLevel="0" collapsed="false">
      <c r="A373" s="50"/>
      <c r="B373" s="50"/>
      <c r="C373" s="5"/>
      <c r="D373" s="48"/>
      <c r="E373" s="50"/>
      <c r="F373" s="5"/>
      <c r="G373" s="5"/>
      <c r="H373" s="5"/>
      <c r="I373" s="5"/>
      <c r="J373" s="5"/>
      <c r="K373" s="50"/>
      <c r="L373" s="50"/>
      <c r="M373" s="50"/>
      <c r="N373" s="50"/>
      <c r="O373" s="50"/>
      <c r="P373" s="50"/>
      <c r="Q373" s="50"/>
      <c r="R373" s="50"/>
      <c r="S373" s="50"/>
      <c r="T373" s="50"/>
      <c r="U373" s="50"/>
      <c r="V373" s="50"/>
      <c r="W373" s="50"/>
      <c r="X373" s="50"/>
      <c r="Y373" s="50"/>
      <c r="Z373" s="50"/>
      <c r="AA373" s="50"/>
      <c r="AB373" s="50"/>
    </row>
    <row r="374" customFormat="false" ht="15.75" hidden="false" customHeight="false" outlineLevel="0" collapsed="false">
      <c r="A374" s="50"/>
      <c r="B374" s="50"/>
      <c r="C374" s="5"/>
      <c r="D374" s="48"/>
      <c r="E374" s="50"/>
      <c r="F374" s="5"/>
      <c r="G374" s="5"/>
      <c r="H374" s="5"/>
      <c r="I374" s="5"/>
      <c r="J374" s="5"/>
      <c r="K374" s="50"/>
      <c r="L374" s="50"/>
      <c r="M374" s="50"/>
      <c r="N374" s="50"/>
      <c r="O374" s="50"/>
      <c r="P374" s="50"/>
      <c r="Q374" s="50"/>
      <c r="R374" s="50"/>
      <c r="S374" s="50"/>
      <c r="T374" s="50"/>
      <c r="U374" s="50"/>
      <c r="V374" s="50"/>
      <c r="W374" s="50"/>
      <c r="X374" s="50"/>
      <c r="Y374" s="50"/>
      <c r="Z374" s="50"/>
      <c r="AA374" s="50"/>
      <c r="AB374" s="50"/>
    </row>
    <row r="375" customFormat="false" ht="15.75" hidden="false" customHeight="false" outlineLevel="0" collapsed="false">
      <c r="A375" s="50"/>
      <c r="B375" s="50"/>
      <c r="C375" s="5"/>
      <c r="D375" s="48"/>
      <c r="E375" s="50"/>
      <c r="F375" s="5"/>
      <c r="G375" s="5"/>
      <c r="H375" s="5"/>
      <c r="I375" s="5"/>
      <c r="J375" s="5"/>
      <c r="K375" s="50"/>
      <c r="L375" s="50"/>
      <c r="M375" s="50"/>
      <c r="N375" s="50"/>
      <c r="O375" s="50"/>
      <c r="P375" s="50"/>
      <c r="Q375" s="50"/>
      <c r="R375" s="50"/>
      <c r="S375" s="50"/>
      <c r="T375" s="50"/>
      <c r="U375" s="50"/>
      <c r="V375" s="50"/>
      <c r="W375" s="50"/>
      <c r="X375" s="50"/>
      <c r="Y375" s="50"/>
      <c r="Z375" s="50"/>
      <c r="AA375" s="50"/>
      <c r="AB375" s="50"/>
    </row>
    <row r="376" customFormat="false" ht="15.75" hidden="false" customHeight="false" outlineLevel="0" collapsed="false">
      <c r="A376" s="50"/>
      <c r="B376" s="50"/>
      <c r="C376" s="5"/>
      <c r="D376" s="48"/>
      <c r="E376" s="50"/>
      <c r="F376" s="5"/>
      <c r="G376" s="5"/>
      <c r="H376" s="5"/>
      <c r="I376" s="5"/>
      <c r="J376" s="5"/>
      <c r="K376" s="50"/>
      <c r="L376" s="50"/>
      <c r="M376" s="50"/>
      <c r="N376" s="50"/>
      <c r="O376" s="50"/>
      <c r="P376" s="50"/>
      <c r="Q376" s="50"/>
      <c r="R376" s="50"/>
      <c r="S376" s="50"/>
      <c r="T376" s="50"/>
      <c r="U376" s="50"/>
      <c r="V376" s="50"/>
      <c r="W376" s="50"/>
      <c r="X376" s="50"/>
      <c r="Y376" s="50"/>
      <c r="Z376" s="50"/>
      <c r="AA376" s="50"/>
      <c r="AB376" s="50"/>
    </row>
    <row r="377" customFormat="false" ht="15.75" hidden="false" customHeight="false" outlineLevel="0" collapsed="false">
      <c r="A377" s="50"/>
      <c r="B377" s="50"/>
      <c r="C377" s="5"/>
      <c r="D377" s="48"/>
      <c r="E377" s="50"/>
      <c r="F377" s="5"/>
      <c r="G377" s="5"/>
      <c r="H377" s="5"/>
      <c r="I377" s="5"/>
      <c r="J377" s="5"/>
      <c r="K377" s="50"/>
      <c r="L377" s="50"/>
      <c r="M377" s="50"/>
      <c r="N377" s="50"/>
      <c r="O377" s="50"/>
      <c r="P377" s="50"/>
      <c r="Q377" s="50"/>
      <c r="R377" s="50"/>
      <c r="S377" s="50"/>
      <c r="T377" s="50"/>
      <c r="U377" s="50"/>
      <c r="V377" s="50"/>
      <c r="W377" s="50"/>
      <c r="X377" s="50"/>
      <c r="Y377" s="50"/>
      <c r="Z377" s="50"/>
      <c r="AA377" s="50"/>
      <c r="AB377" s="50"/>
    </row>
    <row r="378" customFormat="false" ht="15.75" hidden="false" customHeight="false" outlineLevel="0" collapsed="false">
      <c r="A378" s="50"/>
      <c r="B378" s="50"/>
      <c r="C378" s="5"/>
      <c r="D378" s="48"/>
      <c r="E378" s="50"/>
      <c r="F378" s="5"/>
      <c r="G378" s="5"/>
      <c r="H378" s="5"/>
      <c r="I378" s="5"/>
      <c r="J378" s="5"/>
      <c r="K378" s="50"/>
      <c r="L378" s="50"/>
      <c r="M378" s="50"/>
      <c r="N378" s="50"/>
      <c r="O378" s="50"/>
      <c r="P378" s="50"/>
      <c r="Q378" s="50"/>
      <c r="R378" s="50"/>
      <c r="S378" s="50"/>
      <c r="T378" s="50"/>
      <c r="U378" s="50"/>
      <c r="V378" s="50"/>
      <c r="W378" s="50"/>
      <c r="X378" s="50"/>
      <c r="Y378" s="50"/>
      <c r="Z378" s="50"/>
      <c r="AA378" s="50"/>
      <c r="AB378" s="50"/>
    </row>
    <row r="379" customFormat="false" ht="15.75" hidden="false" customHeight="false" outlineLevel="0" collapsed="false">
      <c r="A379" s="50"/>
      <c r="B379" s="50"/>
      <c r="C379" s="5"/>
      <c r="D379" s="48"/>
      <c r="E379" s="50"/>
      <c r="F379" s="5"/>
      <c r="G379" s="5"/>
      <c r="H379" s="5"/>
      <c r="I379" s="5"/>
      <c r="J379" s="5"/>
      <c r="K379" s="50"/>
      <c r="L379" s="50"/>
      <c r="M379" s="50"/>
      <c r="N379" s="50"/>
      <c r="O379" s="50"/>
      <c r="P379" s="50"/>
      <c r="Q379" s="50"/>
      <c r="R379" s="50"/>
      <c r="S379" s="50"/>
      <c r="T379" s="50"/>
      <c r="U379" s="50"/>
      <c r="V379" s="50"/>
      <c r="W379" s="50"/>
      <c r="X379" s="50"/>
      <c r="Y379" s="50"/>
      <c r="Z379" s="50"/>
      <c r="AA379" s="50"/>
      <c r="AB379" s="50"/>
    </row>
    <row r="380" customFormat="false" ht="15.75" hidden="false" customHeight="false" outlineLevel="0" collapsed="false">
      <c r="A380" s="50"/>
      <c r="B380" s="50"/>
      <c r="C380" s="5"/>
      <c r="D380" s="48"/>
      <c r="E380" s="50"/>
      <c r="F380" s="5"/>
      <c r="G380" s="5"/>
      <c r="H380" s="5"/>
      <c r="I380" s="5"/>
      <c r="J380" s="5"/>
      <c r="K380" s="50"/>
      <c r="L380" s="50"/>
      <c r="M380" s="50"/>
      <c r="N380" s="50"/>
      <c r="O380" s="50"/>
      <c r="P380" s="50"/>
      <c r="Q380" s="50"/>
      <c r="R380" s="50"/>
      <c r="S380" s="50"/>
      <c r="T380" s="50"/>
      <c r="U380" s="50"/>
      <c r="V380" s="50"/>
      <c r="W380" s="50"/>
      <c r="X380" s="50"/>
      <c r="Y380" s="50"/>
      <c r="Z380" s="50"/>
      <c r="AA380" s="50"/>
      <c r="AB380" s="50"/>
    </row>
    <row r="381" customFormat="false" ht="15.75" hidden="false" customHeight="false" outlineLevel="0" collapsed="false">
      <c r="A381" s="50"/>
      <c r="B381" s="50"/>
      <c r="C381" s="5"/>
      <c r="D381" s="48"/>
      <c r="E381" s="50"/>
      <c r="F381" s="5"/>
      <c r="G381" s="5"/>
      <c r="H381" s="5"/>
      <c r="I381" s="5"/>
      <c r="J381" s="5"/>
      <c r="K381" s="50"/>
      <c r="L381" s="50"/>
      <c r="M381" s="50"/>
      <c r="N381" s="50"/>
      <c r="O381" s="50"/>
      <c r="P381" s="50"/>
      <c r="Q381" s="50"/>
      <c r="R381" s="50"/>
      <c r="S381" s="50"/>
      <c r="T381" s="50"/>
      <c r="U381" s="50"/>
      <c r="V381" s="50"/>
      <c r="W381" s="50"/>
      <c r="X381" s="50"/>
      <c r="Y381" s="50"/>
      <c r="Z381" s="50"/>
      <c r="AA381" s="50"/>
      <c r="AB381" s="50"/>
    </row>
    <row r="382" customFormat="false" ht="15.75" hidden="false" customHeight="false" outlineLevel="0" collapsed="false">
      <c r="A382" s="50"/>
      <c r="B382" s="50"/>
      <c r="C382" s="5"/>
      <c r="D382" s="48"/>
      <c r="E382" s="50"/>
      <c r="F382" s="5"/>
      <c r="G382" s="5"/>
      <c r="H382" s="5"/>
      <c r="I382" s="5"/>
      <c r="J382" s="5"/>
      <c r="K382" s="50"/>
      <c r="L382" s="50"/>
      <c r="M382" s="50"/>
      <c r="N382" s="50"/>
      <c r="O382" s="50"/>
      <c r="P382" s="50"/>
      <c r="Q382" s="50"/>
      <c r="R382" s="50"/>
      <c r="S382" s="50"/>
      <c r="T382" s="50"/>
      <c r="U382" s="50"/>
      <c r="V382" s="50"/>
      <c r="W382" s="50"/>
      <c r="X382" s="50"/>
      <c r="Y382" s="50"/>
      <c r="Z382" s="50"/>
      <c r="AA382" s="50"/>
      <c r="AB382" s="50"/>
    </row>
    <row r="383" customFormat="false" ht="15.75" hidden="false" customHeight="false" outlineLevel="0" collapsed="false">
      <c r="A383" s="50"/>
      <c r="B383" s="50"/>
      <c r="C383" s="5"/>
      <c r="D383" s="48"/>
      <c r="E383" s="50"/>
      <c r="F383" s="5"/>
      <c r="G383" s="5"/>
      <c r="H383" s="5"/>
      <c r="I383" s="5"/>
      <c r="J383" s="5"/>
      <c r="K383" s="50"/>
      <c r="L383" s="50"/>
      <c r="M383" s="50"/>
      <c r="N383" s="50"/>
      <c r="O383" s="50"/>
      <c r="P383" s="50"/>
      <c r="Q383" s="50"/>
      <c r="R383" s="50"/>
      <c r="S383" s="50"/>
      <c r="T383" s="50"/>
      <c r="U383" s="50"/>
      <c r="V383" s="50"/>
      <c r="W383" s="50"/>
      <c r="X383" s="50"/>
      <c r="Y383" s="50"/>
      <c r="Z383" s="50"/>
      <c r="AA383" s="50"/>
      <c r="AB383" s="50"/>
    </row>
    <row r="384" customFormat="false" ht="15.75" hidden="false" customHeight="false" outlineLevel="0" collapsed="false">
      <c r="A384" s="50"/>
      <c r="B384" s="50"/>
      <c r="C384" s="5"/>
      <c r="D384" s="48"/>
      <c r="E384" s="50"/>
      <c r="F384" s="5"/>
      <c r="G384" s="5"/>
      <c r="H384" s="5"/>
      <c r="I384" s="5"/>
      <c r="J384" s="5"/>
      <c r="K384" s="50"/>
      <c r="L384" s="50"/>
      <c r="M384" s="50"/>
      <c r="N384" s="50"/>
      <c r="O384" s="50"/>
      <c r="P384" s="50"/>
      <c r="Q384" s="50"/>
      <c r="R384" s="50"/>
      <c r="S384" s="50"/>
      <c r="T384" s="50"/>
      <c r="U384" s="50"/>
      <c r="V384" s="50"/>
      <c r="W384" s="50"/>
      <c r="X384" s="50"/>
      <c r="Y384" s="50"/>
      <c r="Z384" s="50"/>
      <c r="AA384" s="50"/>
      <c r="AB384" s="50"/>
    </row>
    <row r="385" customFormat="false" ht="15.75" hidden="false" customHeight="false" outlineLevel="0" collapsed="false">
      <c r="A385" s="50"/>
      <c r="B385" s="50"/>
      <c r="C385" s="5"/>
      <c r="D385" s="48"/>
      <c r="E385" s="50"/>
      <c r="F385" s="5"/>
      <c r="G385" s="5"/>
      <c r="H385" s="5"/>
      <c r="I385" s="5"/>
      <c r="J385" s="5"/>
      <c r="K385" s="50"/>
      <c r="L385" s="50"/>
      <c r="M385" s="50"/>
      <c r="N385" s="50"/>
      <c r="O385" s="50"/>
      <c r="P385" s="50"/>
      <c r="Q385" s="50"/>
      <c r="R385" s="50"/>
      <c r="S385" s="50"/>
      <c r="T385" s="50"/>
      <c r="U385" s="50"/>
      <c r="V385" s="50"/>
      <c r="W385" s="50"/>
      <c r="X385" s="50"/>
      <c r="Y385" s="50"/>
      <c r="Z385" s="50"/>
      <c r="AA385" s="50"/>
      <c r="AB385" s="50"/>
    </row>
    <row r="386" customFormat="false" ht="15.75" hidden="false" customHeight="false" outlineLevel="0" collapsed="false">
      <c r="A386" s="50"/>
      <c r="B386" s="50"/>
      <c r="C386" s="5"/>
      <c r="D386" s="48"/>
      <c r="E386" s="50"/>
      <c r="F386" s="5"/>
      <c r="G386" s="5"/>
      <c r="H386" s="5"/>
      <c r="I386" s="5"/>
      <c r="J386" s="5"/>
      <c r="K386" s="50"/>
      <c r="L386" s="50"/>
      <c r="M386" s="50"/>
      <c r="N386" s="50"/>
      <c r="O386" s="50"/>
      <c r="P386" s="50"/>
      <c r="Q386" s="50"/>
      <c r="R386" s="50"/>
      <c r="S386" s="50"/>
      <c r="T386" s="50"/>
      <c r="U386" s="50"/>
      <c r="V386" s="50"/>
      <c r="W386" s="50"/>
      <c r="X386" s="50"/>
      <c r="Y386" s="50"/>
      <c r="Z386" s="50"/>
      <c r="AA386" s="50"/>
      <c r="AB386" s="50"/>
    </row>
    <row r="387" customFormat="false" ht="15.75" hidden="false" customHeight="false" outlineLevel="0" collapsed="false">
      <c r="A387" s="50"/>
      <c r="B387" s="50"/>
      <c r="C387" s="5"/>
      <c r="D387" s="48"/>
      <c r="E387" s="50"/>
      <c r="F387" s="5"/>
      <c r="G387" s="5"/>
      <c r="H387" s="5"/>
      <c r="I387" s="5"/>
      <c r="J387" s="5"/>
      <c r="K387" s="50"/>
      <c r="L387" s="50"/>
      <c r="M387" s="50"/>
      <c r="N387" s="50"/>
      <c r="O387" s="50"/>
      <c r="P387" s="50"/>
      <c r="Q387" s="50"/>
      <c r="R387" s="50"/>
      <c r="S387" s="50"/>
      <c r="T387" s="50"/>
      <c r="U387" s="50"/>
      <c r="V387" s="50"/>
      <c r="W387" s="50"/>
      <c r="X387" s="50"/>
      <c r="Y387" s="50"/>
      <c r="Z387" s="50"/>
      <c r="AA387" s="50"/>
      <c r="AB387" s="50"/>
    </row>
    <row r="388" customFormat="false" ht="15.75" hidden="false" customHeight="false" outlineLevel="0" collapsed="false">
      <c r="A388" s="50"/>
      <c r="B388" s="50"/>
      <c r="C388" s="5"/>
      <c r="D388" s="48"/>
      <c r="E388" s="50"/>
      <c r="F388" s="5"/>
      <c r="G388" s="5"/>
      <c r="H388" s="5"/>
      <c r="I388" s="5"/>
      <c r="J388" s="5"/>
      <c r="K388" s="50"/>
      <c r="L388" s="50"/>
      <c r="M388" s="50"/>
      <c r="N388" s="50"/>
      <c r="O388" s="50"/>
      <c r="P388" s="50"/>
      <c r="Q388" s="50"/>
      <c r="R388" s="50"/>
      <c r="S388" s="50"/>
      <c r="T388" s="50"/>
      <c r="U388" s="50"/>
      <c r="V388" s="50"/>
      <c r="W388" s="50"/>
      <c r="X388" s="50"/>
      <c r="Y388" s="50"/>
      <c r="Z388" s="50"/>
      <c r="AA388" s="50"/>
      <c r="AB388" s="50"/>
    </row>
    <row r="389" customFormat="false" ht="15.75" hidden="false" customHeight="false" outlineLevel="0" collapsed="false">
      <c r="A389" s="50"/>
      <c r="B389" s="50"/>
      <c r="C389" s="5"/>
      <c r="D389" s="48"/>
      <c r="E389" s="50"/>
      <c r="F389" s="5"/>
      <c r="G389" s="5"/>
      <c r="H389" s="5"/>
      <c r="I389" s="5"/>
      <c r="J389" s="5"/>
      <c r="K389" s="50"/>
      <c r="L389" s="50"/>
      <c r="M389" s="50"/>
      <c r="N389" s="50"/>
      <c r="O389" s="50"/>
      <c r="P389" s="50"/>
      <c r="Q389" s="50"/>
      <c r="R389" s="50"/>
      <c r="S389" s="50"/>
      <c r="T389" s="50"/>
      <c r="U389" s="50"/>
      <c r="V389" s="50"/>
      <c r="W389" s="50"/>
      <c r="X389" s="50"/>
      <c r="Y389" s="50"/>
      <c r="Z389" s="50"/>
      <c r="AA389" s="50"/>
      <c r="AB389" s="50"/>
    </row>
    <row r="390" customFormat="false" ht="15.75" hidden="false" customHeight="false" outlineLevel="0" collapsed="false">
      <c r="A390" s="50"/>
      <c r="B390" s="50"/>
      <c r="C390" s="5"/>
      <c r="D390" s="48"/>
      <c r="E390" s="50"/>
      <c r="F390" s="5"/>
      <c r="G390" s="5"/>
      <c r="H390" s="5"/>
      <c r="I390" s="5"/>
      <c r="J390" s="5"/>
      <c r="K390" s="50"/>
      <c r="L390" s="50"/>
      <c r="M390" s="50"/>
      <c r="N390" s="50"/>
      <c r="O390" s="50"/>
      <c r="P390" s="50"/>
      <c r="Q390" s="50"/>
      <c r="R390" s="50"/>
      <c r="S390" s="50"/>
      <c r="T390" s="50"/>
      <c r="U390" s="50"/>
      <c r="V390" s="50"/>
      <c r="W390" s="50"/>
      <c r="X390" s="50"/>
      <c r="Y390" s="50"/>
      <c r="Z390" s="50"/>
      <c r="AA390" s="50"/>
      <c r="AB390" s="50"/>
    </row>
    <row r="391" customFormat="false" ht="15.75" hidden="false" customHeight="false" outlineLevel="0" collapsed="false">
      <c r="A391" s="50"/>
      <c r="B391" s="50"/>
      <c r="C391" s="5"/>
      <c r="D391" s="48"/>
      <c r="E391" s="50"/>
      <c r="F391" s="5"/>
      <c r="G391" s="5"/>
      <c r="H391" s="5"/>
      <c r="I391" s="5"/>
      <c r="J391" s="5"/>
      <c r="K391" s="50"/>
      <c r="L391" s="50"/>
      <c r="M391" s="50"/>
      <c r="N391" s="50"/>
      <c r="O391" s="50"/>
      <c r="P391" s="50"/>
      <c r="Q391" s="50"/>
      <c r="R391" s="50"/>
      <c r="S391" s="50"/>
      <c r="T391" s="50"/>
      <c r="U391" s="50"/>
      <c r="V391" s="50"/>
      <c r="W391" s="50"/>
      <c r="X391" s="50"/>
      <c r="Y391" s="50"/>
      <c r="Z391" s="50"/>
      <c r="AA391" s="50"/>
      <c r="AB391" s="50"/>
    </row>
    <row r="392" customFormat="false" ht="15.75" hidden="false" customHeight="false" outlineLevel="0" collapsed="false">
      <c r="A392" s="50"/>
      <c r="B392" s="50"/>
      <c r="C392" s="5"/>
      <c r="D392" s="48"/>
      <c r="E392" s="50"/>
      <c r="F392" s="5"/>
      <c r="G392" s="5"/>
      <c r="H392" s="5"/>
      <c r="I392" s="5"/>
      <c r="J392" s="5"/>
      <c r="K392" s="50"/>
      <c r="L392" s="50"/>
      <c r="M392" s="50"/>
      <c r="N392" s="50"/>
      <c r="O392" s="50"/>
      <c r="P392" s="50"/>
      <c r="Q392" s="50"/>
      <c r="R392" s="50"/>
      <c r="S392" s="50"/>
      <c r="T392" s="50"/>
      <c r="U392" s="50"/>
      <c r="V392" s="50"/>
      <c r="W392" s="50"/>
      <c r="X392" s="50"/>
      <c r="Y392" s="50"/>
      <c r="Z392" s="50"/>
      <c r="AA392" s="50"/>
      <c r="AB392" s="50"/>
    </row>
    <row r="393" customFormat="false" ht="15.75" hidden="false" customHeight="false" outlineLevel="0" collapsed="false">
      <c r="A393" s="50"/>
      <c r="B393" s="50"/>
      <c r="C393" s="5"/>
      <c r="D393" s="48"/>
      <c r="E393" s="50"/>
      <c r="F393" s="5"/>
      <c r="G393" s="5"/>
      <c r="H393" s="5"/>
      <c r="I393" s="5"/>
      <c r="J393" s="5"/>
      <c r="K393" s="50"/>
      <c r="L393" s="50"/>
      <c r="M393" s="50"/>
      <c r="N393" s="50"/>
      <c r="O393" s="50"/>
      <c r="P393" s="50"/>
      <c r="Q393" s="50"/>
      <c r="R393" s="50"/>
      <c r="S393" s="50"/>
      <c r="T393" s="50"/>
      <c r="U393" s="50"/>
      <c r="V393" s="50"/>
      <c r="W393" s="50"/>
      <c r="X393" s="50"/>
      <c r="Y393" s="50"/>
      <c r="Z393" s="50"/>
      <c r="AA393" s="50"/>
      <c r="AB393" s="50"/>
    </row>
    <row r="394" customFormat="false" ht="15.75" hidden="false" customHeight="false" outlineLevel="0" collapsed="false">
      <c r="A394" s="50"/>
      <c r="B394" s="50"/>
      <c r="C394" s="5"/>
      <c r="D394" s="48"/>
      <c r="E394" s="50"/>
      <c r="F394" s="5"/>
      <c r="G394" s="5"/>
      <c r="H394" s="5"/>
      <c r="I394" s="5"/>
      <c r="J394" s="5"/>
      <c r="K394" s="50"/>
      <c r="L394" s="50"/>
      <c r="M394" s="50"/>
      <c r="N394" s="50"/>
      <c r="O394" s="50"/>
      <c r="P394" s="50"/>
      <c r="Q394" s="50"/>
      <c r="R394" s="50"/>
      <c r="S394" s="50"/>
      <c r="T394" s="50"/>
      <c r="U394" s="50"/>
      <c r="V394" s="50"/>
      <c r="W394" s="50"/>
      <c r="X394" s="50"/>
      <c r="Y394" s="50"/>
      <c r="Z394" s="50"/>
      <c r="AA394" s="50"/>
      <c r="AB394" s="50"/>
    </row>
    <row r="395" customFormat="false" ht="15.75" hidden="false" customHeight="false" outlineLevel="0" collapsed="false">
      <c r="A395" s="50"/>
      <c r="B395" s="50"/>
      <c r="C395" s="5"/>
      <c r="D395" s="48"/>
      <c r="E395" s="50"/>
      <c r="F395" s="5"/>
      <c r="G395" s="5"/>
      <c r="H395" s="5"/>
      <c r="I395" s="5"/>
      <c r="J395" s="5"/>
      <c r="K395" s="50"/>
      <c r="L395" s="50"/>
      <c r="M395" s="50"/>
      <c r="N395" s="50"/>
      <c r="O395" s="50"/>
      <c r="P395" s="50"/>
      <c r="Q395" s="50"/>
      <c r="R395" s="50"/>
      <c r="S395" s="50"/>
      <c r="T395" s="50"/>
      <c r="U395" s="50"/>
      <c r="V395" s="50"/>
      <c r="W395" s="50"/>
      <c r="X395" s="50"/>
      <c r="Y395" s="50"/>
      <c r="Z395" s="50"/>
      <c r="AA395" s="50"/>
      <c r="AB395" s="50"/>
    </row>
    <row r="396" customFormat="false" ht="15.75" hidden="false" customHeight="false" outlineLevel="0" collapsed="false">
      <c r="A396" s="50"/>
      <c r="B396" s="50"/>
      <c r="C396" s="5"/>
      <c r="D396" s="48"/>
      <c r="E396" s="50"/>
      <c r="F396" s="5"/>
      <c r="G396" s="5"/>
      <c r="H396" s="5"/>
      <c r="I396" s="5"/>
      <c r="J396" s="5"/>
      <c r="K396" s="50"/>
      <c r="L396" s="50"/>
      <c r="M396" s="50"/>
      <c r="N396" s="50"/>
      <c r="O396" s="50"/>
      <c r="P396" s="50"/>
      <c r="Q396" s="50"/>
      <c r="R396" s="50"/>
      <c r="S396" s="50"/>
      <c r="T396" s="50"/>
      <c r="U396" s="50"/>
      <c r="V396" s="50"/>
      <c r="W396" s="50"/>
      <c r="X396" s="50"/>
      <c r="Y396" s="50"/>
      <c r="Z396" s="50"/>
      <c r="AA396" s="50"/>
      <c r="AB396" s="50"/>
    </row>
    <row r="397" customFormat="false" ht="15.75" hidden="false" customHeight="false" outlineLevel="0" collapsed="false">
      <c r="A397" s="50"/>
      <c r="B397" s="50"/>
      <c r="C397" s="5"/>
      <c r="D397" s="48"/>
      <c r="E397" s="50"/>
      <c r="F397" s="5"/>
      <c r="G397" s="5"/>
      <c r="H397" s="5"/>
      <c r="I397" s="5"/>
      <c r="J397" s="5"/>
      <c r="K397" s="50"/>
      <c r="L397" s="50"/>
      <c r="M397" s="50"/>
      <c r="N397" s="50"/>
      <c r="O397" s="50"/>
      <c r="P397" s="50"/>
      <c r="Q397" s="50"/>
      <c r="R397" s="50"/>
      <c r="S397" s="50"/>
      <c r="T397" s="50"/>
      <c r="U397" s="50"/>
      <c r="V397" s="50"/>
      <c r="W397" s="50"/>
      <c r="X397" s="50"/>
      <c r="Y397" s="50"/>
      <c r="Z397" s="50"/>
      <c r="AA397" s="50"/>
      <c r="AB397" s="50"/>
    </row>
    <row r="398" customFormat="false" ht="15.75" hidden="false" customHeight="false" outlineLevel="0" collapsed="false">
      <c r="A398" s="50"/>
      <c r="B398" s="50"/>
      <c r="C398" s="5"/>
      <c r="D398" s="48"/>
      <c r="E398" s="50"/>
      <c r="F398" s="5"/>
      <c r="G398" s="5"/>
      <c r="H398" s="5"/>
      <c r="I398" s="5"/>
      <c r="J398" s="5"/>
      <c r="K398" s="50"/>
      <c r="L398" s="50"/>
      <c r="M398" s="50"/>
      <c r="N398" s="50"/>
      <c r="O398" s="50"/>
      <c r="P398" s="50"/>
      <c r="Q398" s="50"/>
      <c r="R398" s="50"/>
      <c r="S398" s="50"/>
      <c r="T398" s="50"/>
      <c r="U398" s="50"/>
      <c r="V398" s="50"/>
      <c r="W398" s="50"/>
      <c r="X398" s="50"/>
      <c r="Y398" s="50"/>
      <c r="Z398" s="50"/>
      <c r="AA398" s="50"/>
      <c r="AB398" s="50"/>
    </row>
    <row r="399" customFormat="false" ht="15.75" hidden="false" customHeight="false" outlineLevel="0" collapsed="false">
      <c r="A399" s="50"/>
      <c r="B399" s="50"/>
      <c r="C399" s="5"/>
      <c r="D399" s="48"/>
      <c r="E399" s="50"/>
      <c r="F399" s="5"/>
      <c r="G399" s="5"/>
      <c r="H399" s="5"/>
      <c r="I399" s="5"/>
      <c r="J399" s="5"/>
      <c r="K399" s="50"/>
      <c r="L399" s="50"/>
      <c r="M399" s="50"/>
      <c r="N399" s="50"/>
      <c r="O399" s="50"/>
      <c r="P399" s="50"/>
      <c r="Q399" s="50"/>
      <c r="R399" s="50"/>
      <c r="S399" s="50"/>
      <c r="T399" s="50"/>
      <c r="U399" s="50"/>
      <c r="V399" s="50"/>
      <c r="W399" s="50"/>
      <c r="X399" s="50"/>
      <c r="Y399" s="50"/>
      <c r="Z399" s="50"/>
      <c r="AA399" s="50"/>
      <c r="AB399" s="50"/>
    </row>
    <row r="400" customFormat="false" ht="15.75" hidden="false" customHeight="false" outlineLevel="0" collapsed="false">
      <c r="A400" s="50"/>
      <c r="B400" s="50"/>
      <c r="C400" s="5"/>
      <c r="D400" s="48"/>
      <c r="E400" s="50"/>
      <c r="F400" s="5"/>
      <c r="G400" s="5"/>
      <c r="H400" s="5"/>
      <c r="I400" s="5"/>
      <c r="J400" s="5"/>
      <c r="K400" s="50"/>
      <c r="L400" s="50"/>
      <c r="M400" s="50"/>
      <c r="N400" s="50"/>
      <c r="O400" s="50"/>
      <c r="P400" s="50"/>
      <c r="Q400" s="50"/>
      <c r="R400" s="50"/>
      <c r="S400" s="50"/>
      <c r="T400" s="50"/>
      <c r="U400" s="50"/>
      <c r="V400" s="50"/>
      <c r="W400" s="50"/>
      <c r="X400" s="50"/>
      <c r="Y400" s="50"/>
      <c r="Z400" s="50"/>
      <c r="AA400" s="50"/>
      <c r="AB400" s="50"/>
    </row>
    <row r="401" customFormat="false" ht="15.75" hidden="false" customHeight="false" outlineLevel="0" collapsed="false">
      <c r="A401" s="50"/>
      <c r="B401" s="50"/>
      <c r="C401" s="5"/>
      <c r="D401" s="48"/>
      <c r="E401" s="50"/>
      <c r="F401" s="5"/>
      <c r="G401" s="5"/>
      <c r="H401" s="5"/>
      <c r="I401" s="5"/>
      <c r="J401" s="5"/>
      <c r="K401" s="50"/>
      <c r="L401" s="50"/>
      <c r="M401" s="50"/>
      <c r="N401" s="50"/>
      <c r="O401" s="50"/>
      <c r="P401" s="50"/>
      <c r="Q401" s="50"/>
      <c r="R401" s="50"/>
      <c r="S401" s="50"/>
      <c r="T401" s="50"/>
      <c r="U401" s="50"/>
      <c r="V401" s="50"/>
      <c r="W401" s="50"/>
      <c r="X401" s="50"/>
      <c r="Y401" s="50"/>
      <c r="Z401" s="50"/>
      <c r="AA401" s="50"/>
      <c r="AB401" s="50"/>
    </row>
    <row r="402" customFormat="false" ht="15.75" hidden="false" customHeight="false" outlineLevel="0" collapsed="false">
      <c r="A402" s="50"/>
      <c r="B402" s="50"/>
      <c r="C402" s="5"/>
      <c r="D402" s="48"/>
      <c r="E402" s="50"/>
      <c r="F402" s="5"/>
      <c r="G402" s="5"/>
      <c r="H402" s="5"/>
      <c r="I402" s="5"/>
      <c r="J402" s="5"/>
      <c r="K402" s="50"/>
      <c r="L402" s="50"/>
      <c r="M402" s="50"/>
      <c r="N402" s="50"/>
      <c r="O402" s="50"/>
      <c r="P402" s="50"/>
      <c r="Q402" s="50"/>
      <c r="R402" s="50"/>
      <c r="S402" s="50"/>
      <c r="T402" s="50"/>
      <c r="U402" s="50"/>
      <c r="V402" s="50"/>
      <c r="W402" s="50"/>
      <c r="X402" s="50"/>
      <c r="Y402" s="50"/>
      <c r="Z402" s="50"/>
      <c r="AA402" s="50"/>
      <c r="AB402" s="50"/>
    </row>
    <row r="403" customFormat="false" ht="15.75" hidden="false" customHeight="false" outlineLevel="0" collapsed="false">
      <c r="A403" s="50"/>
      <c r="B403" s="50"/>
      <c r="C403" s="5"/>
      <c r="D403" s="48"/>
      <c r="E403" s="50"/>
      <c r="F403" s="5"/>
      <c r="G403" s="5"/>
      <c r="H403" s="5"/>
      <c r="I403" s="5"/>
      <c r="J403" s="5"/>
      <c r="K403" s="50"/>
      <c r="L403" s="50"/>
      <c r="M403" s="50"/>
      <c r="N403" s="50"/>
      <c r="O403" s="50"/>
      <c r="P403" s="50"/>
      <c r="Q403" s="50"/>
      <c r="R403" s="50"/>
      <c r="S403" s="50"/>
      <c r="T403" s="50"/>
      <c r="U403" s="50"/>
      <c r="V403" s="50"/>
      <c r="W403" s="50"/>
      <c r="X403" s="50"/>
      <c r="Y403" s="50"/>
      <c r="Z403" s="50"/>
      <c r="AA403" s="50"/>
      <c r="AB403" s="50"/>
    </row>
    <row r="404" customFormat="false" ht="15.75" hidden="false" customHeight="false" outlineLevel="0" collapsed="false">
      <c r="A404" s="50"/>
      <c r="B404" s="50"/>
      <c r="C404" s="5"/>
      <c r="D404" s="48"/>
      <c r="E404" s="50"/>
      <c r="F404" s="5"/>
      <c r="G404" s="5"/>
      <c r="H404" s="5"/>
      <c r="I404" s="5"/>
      <c r="J404" s="5"/>
      <c r="K404" s="50"/>
      <c r="L404" s="50"/>
      <c r="M404" s="50"/>
      <c r="N404" s="50"/>
      <c r="O404" s="50"/>
      <c r="P404" s="50"/>
      <c r="Q404" s="50"/>
      <c r="R404" s="50"/>
      <c r="S404" s="50"/>
      <c r="T404" s="50"/>
      <c r="U404" s="50"/>
      <c r="V404" s="50"/>
      <c r="W404" s="50"/>
      <c r="X404" s="50"/>
      <c r="Y404" s="50"/>
      <c r="Z404" s="50"/>
      <c r="AA404" s="50"/>
      <c r="AB404" s="50"/>
    </row>
    <row r="405" customFormat="false" ht="15.75" hidden="false" customHeight="false" outlineLevel="0" collapsed="false">
      <c r="A405" s="50"/>
      <c r="B405" s="50"/>
      <c r="C405" s="5"/>
      <c r="D405" s="48"/>
      <c r="E405" s="50"/>
      <c r="F405" s="5"/>
      <c r="G405" s="5"/>
      <c r="H405" s="5"/>
      <c r="I405" s="5"/>
      <c r="J405" s="5"/>
      <c r="K405" s="50"/>
      <c r="L405" s="50"/>
      <c r="M405" s="50"/>
      <c r="N405" s="50"/>
      <c r="O405" s="50"/>
      <c r="P405" s="50"/>
      <c r="Q405" s="50"/>
      <c r="R405" s="50"/>
      <c r="S405" s="50"/>
      <c r="T405" s="50"/>
      <c r="U405" s="50"/>
      <c r="V405" s="50"/>
      <c r="W405" s="50"/>
      <c r="X405" s="50"/>
      <c r="Y405" s="50"/>
      <c r="Z405" s="50"/>
      <c r="AA405" s="50"/>
      <c r="AB405" s="50"/>
    </row>
    <row r="406" customFormat="false" ht="15.75" hidden="false" customHeight="false" outlineLevel="0" collapsed="false">
      <c r="A406" s="50"/>
      <c r="B406" s="50"/>
      <c r="C406" s="5"/>
      <c r="D406" s="48"/>
      <c r="E406" s="50"/>
      <c r="F406" s="5"/>
      <c r="G406" s="5"/>
      <c r="H406" s="5"/>
      <c r="I406" s="5"/>
      <c r="J406" s="5"/>
      <c r="K406" s="50"/>
      <c r="L406" s="50"/>
      <c r="M406" s="50"/>
      <c r="N406" s="50"/>
      <c r="O406" s="50"/>
      <c r="P406" s="50"/>
      <c r="Q406" s="50"/>
      <c r="R406" s="50"/>
      <c r="S406" s="50"/>
      <c r="T406" s="50"/>
      <c r="U406" s="50"/>
      <c r="V406" s="50"/>
      <c r="W406" s="50"/>
      <c r="X406" s="50"/>
      <c r="Y406" s="50"/>
      <c r="Z406" s="50"/>
      <c r="AA406" s="50"/>
      <c r="AB406" s="50"/>
    </row>
    <row r="407" customFormat="false" ht="15.75" hidden="false" customHeight="false" outlineLevel="0" collapsed="false">
      <c r="A407" s="50"/>
      <c r="B407" s="50"/>
      <c r="C407" s="5"/>
      <c r="D407" s="48"/>
      <c r="E407" s="50"/>
      <c r="F407" s="5"/>
      <c r="G407" s="5"/>
      <c r="H407" s="5"/>
      <c r="I407" s="5"/>
      <c r="J407" s="5"/>
      <c r="K407" s="50"/>
      <c r="L407" s="50"/>
      <c r="M407" s="50"/>
      <c r="N407" s="50"/>
      <c r="O407" s="50"/>
      <c r="P407" s="50"/>
      <c r="Q407" s="50"/>
      <c r="R407" s="50"/>
      <c r="S407" s="50"/>
      <c r="T407" s="50"/>
      <c r="U407" s="50"/>
      <c r="V407" s="50"/>
      <c r="W407" s="50"/>
      <c r="X407" s="50"/>
      <c r="Y407" s="50"/>
      <c r="Z407" s="50"/>
      <c r="AA407" s="50"/>
      <c r="AB407" s="50"/>
    </row>
    <row r="408" customFormat="false" ht="15.75" hidden="false" customHeight="false" outlineLevel="0" collapsed="false">
      <c r="A408" s="50"/>
      <c r="B408" s="50"/>
      <c r="C408" s="5"/>
      <c r="D408" s="48"/>
      <c r="E408" s="50"/>
      <c r="F408" s="5"/>
      <c r="G408" s="5"/>
      <c r="H408" s="5"/>
      <c r="I408" s="5"/>
      <c r="J408" s="5"/>
      <c r="K408" s="50"/>
      <c r="L408" s="50"/>
      <c r="M408" s="50"/>
      <c r="N408" s="50"/>
      <c r="O408" s="50"/>
      <c r="P408" s="50"/>
      <c r="Q408" s="50"/>
      <c r="R408" s="50"/>
      <c r="S408" s="50"/>
      <c r="T408" s="50"/>
      <c r="U408" s="50"/>
      <c r="V408" s="50"/>
      <c r="W408" s="50"/>
      <c r="X408" s="50"/>
      <c r="Y408" s="50"/>
      <c r="Z408" s="50"/>
      <c r="AA408" s="50"/>
      <c r="AB408" s="50"/>
    </row>
    <row r="409" customFormat="false" ht="15.75" hidden="false" customHeight="false" outlineLevel="0" collapsed="false">
      <c r="A409" s="50"/>
      <c r="B409" s="50"/>
      <c r="C409" s="5"/>
      <c r="D409" s="48"/>
      <c r="E409" s="50"/>
      <c r="F409" s="5"/>
      <c r="G409" s="5"/>
      <c r="H409" s="5"/>
      <c r="I409" s="5"/>
      <c r="J409" s="5"/>
      <c r="K409" s="50"/>
      <c r="L409" s="50"/>
      <c r="M409" s="50"/>
      <c r="N409" s="50"/>
      <c r="O409" s="50"/>
      <c r="P409" s="50"/>
      <c r="Q409" s="50"/>
      <c r="R409" s="50"/>
      <c r="S409" s="50"/>
      <c r="T409" s="50"/>
      <c r="U409" s="50"/>
      <c r="V409" s="50"/>
      <c r="W409" s="50"/>
      <c r="X409" s="50"/>
      <c r="Y409" s="50"/>
      <c r="Z409" s="50"/>
      <c r="AA409" s="50"/>
      <c r="AB409" s="50"/>
    </row>
    <row r="410" customFormat="false" ht="15.75" hidden="false" customHeight="false" outlineLevel="0" collapsed="false">
      <c r="A410" s="50"/>
      <c r="B410" s="50"/>
      <c r="C410" s="5"/>
      <c r="D410" s="48"/>
      <c r="E410" s="50"/>
      <c r="F410" s="5"/>
      <c r="G410" s="5"/>
      <c r="H410" s="5"/>
      <c r="I410" s="5"/>
      <c r="J410" s="5"/>
      <c r="K410" s="50"/>
      <c r="L410" s="50"/>
      <c r="M410" s="50"/>
      <c r="N410" s="50"/>
      <c r="O410" s="50"/>
      <c r="P410" s="50"/>
      <c r="Q410" s="50"/>
      <c r="R410" s="50"/>
      <c r="S410" s="50"/>
      <c r="T410" s="50"/>
      <c r="U410" s="50"/>
      <c r="V410" s="50"/>
      <c r="W410" s="50"/>
      <c r="X410" s="50"/>
      <c r="Y410" s="50"/>
      <c r="Z410" s="50"/>
      <c r="AA410" s="50"/>
      <c r="AB410" s="50"/>
    </row>
    <row r="411" customFormat="false" ht="15.75" hidden="false" customHeight="false" outlineLevel="0" collapsed="false">
      <c r="A411" s="50"/>
      <c r="B411" s="50"/>
      <c r="C411" s="5"/>
      <c r="D411" s="48"/>
      <c r="E411" s="50"/>
      <c r="F411" s="5"/>
      <c r="G411" s="5"/>
      <c r="H411" s="5"/>
      <c r="I411" s="5"/>
      <c r="J411" s="5"/>
      <c r="K411" s="50"/>
      <c r="L411" s="50"/>
      <c r="M411" s="50"/>
      <c r="N411" s="50"/>
      <c r="O411" s="50"/>
      <c r="P411" s="50"/>
      <c r="Q411" s="50"/>
      <c r="R411" s="50"/>
      <c r="S411" s="50"/>
      <c r="T411" s="50"/>
      <c r="U411" s="50"/>
      <c r="V411" s="50"/>
      <c r="W411" s="50"/>
      <c r="X411" s="50"/>
      <c r="Y411" s="50"/>
      <c r="Z411" s="50"/>
      <c r="AA411" s="50"/>
      <c r="AB411" s="50"/>
    </row>
    <row r="412" customFormat="false" ht="15.75" hidden="false" customHeight="false" outlineLevel="0" collapsed="false">
      <c r="A412" s="50"/>
      <c r="B412" s="50"/>
      <c r="C412" s="5"/>
      <c r="D412" s="48"/>
      <c r="E412" s="50"/>
      <c r="F412" s="5"/>
      <c r="G412" s="5"/>
      <c r="H412" s="5"/>
      <c r="I412" s="5"/>
      <c r="J412" s="5"/>
      <c r="K412" s="50"/>
      <c r="L412" s="50"/>
      <c r="M412" s="50"/>
      <c r="N412" s="50"/>
      <c r="O412" s="50"/>
      <c r="P412" s="50"/>
      <c r="Q412" s="50"/>
      <c r="R412" s="50"/>
      <c r="S412" s="50"/>
      <c r="T412" s="50"/>
      <c r="U412" s="50"/>
      <c r="V412" s="50"/>
      <c r="W412" s="50"/>
      <c r="X412" s="50"/>
      <c r="Y412" s="50"/>
      <c r="Z412" s="50"/>
      <c r="AA412" s="50"/>
      <c r="AB412" s="50"/>
    </row>
    <row r="413" customFormat="false" ht="15.75" hidden="false" customHeight="false" outlineLevel="0" collapsed="false">
      <c r="A413" s="50"/>
      <c r="B413" s="50"/>
      <c r="C413" s="5"/>
      <c r="D413" s="48"/>
      <c r="E413" s="50"/>
      <c r="F413" s="5"/>
      <c r="G413" s="5"/>
      <c r="H413" s="5"/>
      <c r="I413" s="5"/>
      <c r="J413" s="5"/>
      <c r="K413" s="50"/>
      <c r="L413" s="50"/>
      <c r="M413" s="50"/>
      <c r="N413" s="50"/>
      <c r="O413" s="50"/>
      <c r="P413" s="50"/>
      <c r="Q413" s="50"/>
      <c r="R413" s="50"/>
      <c r="S413" s="50"/>
      <c r="T413" s="50"/>
      <c r="U413" s="50"/>
      <c r="V413" s="50"/>
      <c r="W413" s="50"/>
      <c r="X413" s="50"/>
      <c r="Y413" s="50"/>
      <c r="Z413" s="50"/>
      <c r="AA413" s="50"/>
      <c r="AB413" s="50"/>
    </row>
    <row r="414" customFormat="false" ht="15.75" hidden="false" customHeight="false" outlineLevel="0" collapsed="false">
      <c r="A414" s="50"/>
      <c r="B414" s="50"/>
      <c r="C414" s="5"/>
      <c r="D414" s="48"/>
      <c r="E414" s="50"/>
      <c r="F414" s="5"/>
      <c r="G414" s="5"/>
      <c r="H414" s="5"/>
      <c r="I414" s="5"/>
      <c r="J414" s="5"/>
      <c r="K414" s="50"/>
      <c r="L414" s="50"/>
      <c r="M414" s="50"/>
      <c r="N414" s="50"/>
      <c r="O414" s="50"/>
      <c r="P414" s="50"/>
      <c r="Q414" s="50"/>
      <c r="R414" s="50"/>
      <c r="S414" s="50"/>
      <c r="T414" s="50"/>
      <c r="U414" s="50"/>
      <c r="V414" s="50"/>
      <c r="W414" s="50"/>
      <c r="X414" s="50"/>
      <c r="Y414" s="50"/>
      <c r="Z414" s="50"/>
      <c r="AA414" s="50"/>
      <c r="AB414" s="50"/>
    </row>
    <row r="415" customFormat="false" ht="15.75" hidden="false" customHeight="false" outlineLevel="0" collapsed="false">
      <c r="A415" s="50"/>
      <c r="B415" s="50"/>
      <c r="C415" s="5"/>
      <c r="D415" s="48"/>
      <c r="E415" s="50"/>
      <c r="F415" s="5"/>
      <c r="G415" s="5"/>
      <c r="H415" s="5"/>
      <c r="I415" s="5"/>
      <c r="J415" s="5"/>
      <c r="K415" s="50"/>
      <c r="L415" s="50"/>
      <c r="M415" s="50"/>
      <c r="N415" s="50"/>
      <c r="O415" s="50"/>
      <c r="P415" s="50"/>
      <c r="Q415" s="50"/>
      <c r="R415" s="50"/>
      <c r="S415" s="50"/>
      <c r="T415" s="50"/>
      <c r="U415" s="50"/>
      <c r="V415" s="50"/>
      <c r="W415" s="50"/>
      <c r="X415" s="50"/>
      <c r="Y415" s="50"/>
      <c r="Z415" s="50"/>
      <c r="AA415" s="50"/>
      <c r="AB415" s="50"/>
    </row>
    <row r="416" customFormat="false" ht="15.75" hidden="false" customHeight="false" outlineLevel="0" collapsed="false">
      <c r="A416" s="50"/>
      <c r="B416" s="50"/>
      <c r="C416" s="5"/>
      <c r="D416" s="48"/>
      <c r="E416" s="50"/>
      <c r="F416" s="5"/>
      <c r="G416" s="5"/>
      <c r="H416" s="5"/>
      <c r="I416" s="5"/>
      <c r="J416" s="5"/>
      <c r="K416" s="50"/>
      <c r="L416" s="50"/>
      <c r="M416" s="50"/>
      <c r="N416" s="50"/>
      <c r="O416" s="50"/>
      <c r="P416" s="50"/>
      <c r="Q416" s="50"/>
      <c r="R416" s="50"/>
      <c r="S416" s="50"/>
      <c r="T416" s="50"/>
      <c r="U416" s="50"/>
      <c r="V416" s="50"/>
      <c r="W416" s="50"/>
      <c r="X416" s="50"/>
      <c r="Y416" s="50"/>
      <c r="Z416" s="50"/>
      <c r="AA416" s="50"/>
      <c r="AB416" s="50"/>
    </row>
    <row r="417" customFormat="false" ht="15.75" hidden="false" customHeight="false" outlineLevel="0" collapsed="false">
      <c r="A417" s="50"/>
      <c r="B417" s="50"/>
      <c r="C417" s="5"/>
      <c r="D417" s="48"/>
      <c r="E417" s="50"/>
      <c r="F417" s="5"/>
      <c r="G417" s="5"/>
      <c r="H417" s="5"/>
      <c r="I417" s="5"/>
      <c r="J417" s="5"/>
      <c r="K417" s="50"/>
      <c r="L417" s="50"/>
      <c r="M417" s="50"/>
      <c r="N417" s="50"/>
      <c r="O417" s="50"/>
      <c r="P417" s="50"/>
      <c r="Q417" s="50"/>
      <c r="R417" s="50"/>
      <c r="S417" s="50"/>
      <c r="T417" s="50"/>
      <c r="U417" s="50"/>
      <c r="V417" s="50"/>
      <c r="W417" s="50"/>
      <c r="X417" s="50"/>
      <c r="Y417" s="50"/>
      <c r="Z417" s="50"/>
      <c r="AA417" s="50"/>
      <c r="AB417" s="50"/>
    </row>
    <row r="418" customFormat="false" ht="15.75" hidden="false" customHeight="false" outlineLevel="0" collapsed="false">
      <c r="A418" s="50"/>
      <c r="B418" s="50"/>
      <c r="C418" s="5"/>
      <c r="D418" s="48"/>
      <c r="E418" s="50"/>
      <c r="F418" s="5"/>
      <c r="G418" s="5"/>
      <c r="H418" s="5"/>
      <c r="I418" s="5"/>
      <c r="J418" s="5"/>
      <c r="K418" s="50"/>
      <c r="L418" s="50"/>
      <c r="M418" s="50"/>
      <c r="N418" s="50"/>
      <c r="O418" s="50"/>
      <c r="P418" s="50"/>
      <c r="Q418" s="50"/>
      <c r="R418" s="50"/>
      <c r="S418" s="50"/>
      <c r="T418" s="50"/>
      <c r="U418" s="50"/>
      <c r="V418" s="50"/>
      <c r="W418" s="50"/>
      <c r="X418" s="50"/>
      <c r="Y418" s="50"/>
      <c r="Z418" s="50"/>
      <c r="AA418" s="50"/>
      <c r="AB418" s="50"/>
    </row>
    <row r="419" customFormat="false" ht="15.75" hidden="false" customHeight="false" outlineLevel="0" collapsed="false">
      <c r="A419" s="50"/>
      <c r="B419" s="50"/>
      <c r="C419" s="5"/>
      <c r="D419" s="48"/>
      <c r="E419" s="50"/>
      <c r="F419" s="5"/>
      <c r="G419" s="5"/>
      <c r="H419" s="5"/>
      <c r="I419" s="5"/>
      <c r="J419" s="5"/>
      <c r="K419" s="50"/>
      <c r="L419" s="50"/>
      <c r="M419" s="50"/>
      <c r="N419" s="50"/>
      <c r="O419" s="50"/>
      <c r="P419" s="50"/>
      <c r="Q419" s="50"/>
      <c r="R419" s="50"/>
      <c r="S419" s="50"/>
      <c r="T419" s="50"/>
      <c r="U419" s="50"/>
      <c r="V419" s="50"/>
      <c r="W419" s="50"/>
      <c r="X419" s="50"/>
      <c r="Y419" s="50"/>
      <c r="Z419" s="50"/>
      <c r="AA419" s="50"/>
      <c r="AB419" s="50"/>
    </row>
    <row r="420" customFormat="false" ht="15.75" hidden="false" customHeight="false" outlineLevel="0" collapsed="false">
      <c r="A420" s="50"/>
      <c r="B420" s="50"/>
      <c r="C420" s="5"/>
      <c r="D420" s="48"/>
      <c r="E420" s="50"/>
      <c r="F420" s="5"/>
      <c r="G420" s="5"/>
      <c r="H420" s="5"/>
      <c r="I420" s="5"/>
      <c r="J420" s="5"/>
      <c r="K420" s="50"/>
      <c r="L420" s="50"/>
      <c r="M420" s="50"/>
      <c r="N420" s="50"/>
      <c r="O420" s="50"/>
      <c r="P420" s="50"/>
      <c r="Q420" s="50"/>
      <c r="R420" s="50"/>
      <c r="S420" s="50"/>
      <c r="T420" s="50"/>
      <c r="U420" s="50"/>
      <c r="V420" s="50"/>
      <c r="W420" s="50"/>
      <c r="X420" s="50"/>
      <c r="Y420" s="50"/>
      <c r="Z420" s="50"/>
      <c r="AA420" s="50"/>
      <c r="AB420" s="50"/>
    </row>
    <row r="421" customFormat="false" ht="15.75" hidden="false" customHeight="false" outlineLevel="0" collapsed="false">
      <c r="A421" s="50"/>
      <c r="B421" s="50"/>
      <c r="C421" s="5"/>
      <c r="D421" s="48"/>
      <c r="E421" s="50"/>
      <c r="F421" s="5"/>
      <c r="G421" s="5"/>
      <c r="H421" s="5"/>
      <c r="I421" s="5"/>
      <c r="J421" s="5"/>
      <c r="K421" s="50"/>
      <c r="L421" s="50"/>
      <c r="M421" s="50"/>
      <c r="N421" s="50"/>
      <c r="O421" s="50"/>
      <c r="P421" s="50"/>
      <c r="Q421" s="50"/>
      <c r="R421" s="50"/>
      <c r="S421" s="50"/>
      <c r="T421" s="50"/>
      <c r="U421" s="50"/>
      <c r="V421" s="50"/>
      <c r="W421" s="50"/>
      <c r="X421" s="50"/>
      <c r="Y421" s="50"/>
      <c r="Z421" s="50"/>
      <c r="AA421" s="50"/>
      <c r="AB421" s="50"/>
    </row>
    <row r="422" customFormat="false" ht="15.75" hidden="false" customHeight="false" outlineLevel="0" collapsed="false">
      <c r="A422" s="50"/>
      <c r="B422" s="50"/>
      <c r="C422" s="5"/>
      <c r="D422" s="48"/>
      <c r="E422" s="50"/>
      <c r="F422" s="5"/>
      <c r="G422" s="5"/>
      <c r="H422" s="5"/>
      <c r="I422" s="5"/>
      <c r="J422" s="5"/>
      <c r="K422" s="50"/>
      <c r="L422" s="50"/>
      <c r="M422" s="50"/>
      <c r="N422" s="50"/>
      <c r="O422" s="50"/>
      <c r="P422" s="50"/>
      <c r="Q422" s="50"/>
      <c r="R422" s="50"/>
      <c r="S422" s="50"/>
      <c r="T422" s="50"/>
      <c r="U422" s="50"/>
      <c r="V422" s="50"/>
      <c r="W422" s="50"/>
      <c r="X422" s="50"/>
      <c r="Y422" s="50"/>
      <c r="Z422" s="50"/>
      <c r="AA422" s="50"/>
      <c r="AB422" s="50"/>
    </row>
    <row r="423" customFormat="false" ht="15.75" hidden="false" customHeight="false" outlineLevel="0" collapsed="false">
      <c r="A423" s="50"/>
      <c r="B423" s="50"/>
      <c r="C423" s="5"/>
      <c r="D423" s="48"/>
      <c r="E423" s="50"/>
      <c r="F423" s="5"/>
      <c r="G423" s="5"/>
      <c r="H423" s="5"/>
      <c r="I423" s="5"/>
      <c r="J423" s="5"/>
      <c r="K423" s="50"/>
      <c r="L423" s="50"/>
      <c r="M423" s="50"/>
      <c r="N423" s="50"/>
      <c r="O423" s="50"/>
      <c r="P423" s="50"/>
      <c r="Q423" s="50"/>
      <c r="R423" s="50"/>
      <c r="S423" s="50"/>
      <c r="T423" s="50"/>
      <c r="U423" s="50"/>
      <c r="V423" s="50"/>
      <c r="W423" s="50"/>
      <c r="X423" s="50"/>
      <c r="Y423" s="50"/>
      <c r="Z423" s="50"/>
      <c r="AA423" s="50"/>
      <c r="AB423" s="50"/>
    </row>
    <row r="424" customFormat="false" ht="15.75" hidden="false" customHeight="false" outlineLevel="0" collapsed="false">
      <c r="A424" s="50"/>
      <c r="B424" s="50"/>
      <c r="C424" s="5"/>
      <c r="D424" s="48"/>
      <c r="E424" s="50"/>
      <c r="F424" s="5"/>
      <c r="G424" s="5"/>
      <c r="H424" s="5"/>
      <c r="I424" s="5"/>
      <c r="J424" s="5"/>
      <c r="K424" s="50"/>
      <c r="L424" s="50"/>
      <c r="M424" s="50"/>
      <c r="N424" s="50"/>
      <c r="O424" s="50"/>
      <c r="P424" s="50"/>
      <c r="Q424" s="50"/>
      <c r="R424" s="50"/>
      <c r="S424" s="50"/>
      <c r="T424" s="50"/>
      <c r="U424" s="50"/>
      <c r="V424" s="50"/>
      <c r="W424" s="50"/>
      <c r="X424" s="50"/>
      <c r="Y424" s="50"/>
      <c r="Z424" s="50"/>
      <c r="AA424" s="50"/>
      <c r="AB424" s="50"/>
    </row>
    <row r="425" customFormat="false" ht="15.75" hidden="false" customHeight="false" outlineLevel="0" collapsed="false">
      <c r="A425" s="50"/>
      <c r="B425" s="50"/>
      <c r="C425" s="5"/>
      <c r="D425" s="48"/>
      <c r="E425" s="50"/>
      <c r="F425" s="5"/>
      <c r="G425" s="5"/>
      <c r="H425" s="5"/>
      <c r="I425" s="5"/>
      <c r="J425" s="5"/>
      <c r="K425" s="50"/>
      <c r="L425" s="50"/>
      <c r="M425" s="50"/>
      <c r="N425" s="50"/>
      <c r="O425" s="50"/>
      <c r="P425" s="50"/>
      <c r="Q425" s="50"/>
      <c r="R425" s="50"/>
      <c r="S425" s="50"/>
      <c r="T425" s="50"/>
      <c r="U425" s="50"/>
      <c r="V425" s="50"/>
      <c r="W425" s="50"/>
      <c r="X425" s="50"/>
      <c r="Y425" s="50"/>
      <c r="Z425" s="50"/>
      <c r="AA425" s="50"/>
      <c r="AB425" s="50"/>
    </row>
    <row r="426" customFormat="false" ht="15.75" hidden="false" customHeight="false" outlineLevel="0" collapsed="false">
      <c r="A426" s="50"/>
      <c r="B426" s="50"/>
      <c r="C426" s="5"/>
      <c r="D426" s="48"/>
      <c r="E426" s="50"/>
      <c r="F426" s="5"/>
      <c r="G426" s="5"/>
      <c r="H426" s="5"/>
      <c r="I426" s="5"/>
      <c r="J426" s="5"/>
      <c r="K426" s="50"/>
      <c r="L426" s="50"/>
      <c r="M426" s="50"/>
      <c r="N426" s="50"/>
      <c r="O426" s="50"/>
      <c r="P426" s="50"/>
      <c r="Q426" s="50"/>
      <c r="R426" s="50"/>
      <c r="S426" s="50"/>
      <c r="T426" s="50"/>
      <c r="U426" s="50"/>
      <c r="V426" s="50"/>
      <c r="W426" s="50"/>
      <c r="X426" s="50"/>
      <c r="Y426" s="50"/>
      <c r="Z426" s="50"/>
      <c r="AA426" s="50"/>
      <c r="AB426" s="50"/>
    </row>
    <row r="427" customFormat="false" ht="15.75" hidden="false" customHeight="false" outlineLevel="0" collapsed="false">
      <c r="A427" s="50"/>
      <c r="B427" s="50"/>
      <c r="C427" s="5"/>
      <c r="D427" s="48"/>
      <c r="E427" s="50"/>
      <c r="F427" s="5"/>
      <c r="G427" s="5"/>
      <c r="H427" s="5"/>
      <c r="I427" s="5"/>
      <c r="J427" s="5"/>
      <c r="K427" s="50"/>
      <c r="L427" s="50"/>
      <c r="M427" s="50"/>
      <c r="N427" s="50"/>
      <c r="O427" s="50"/>
      <c r="P427" s="50"/>
      <c r="Q427" s="50"/>
      <c r="R427" s="50"/>
      <c r="S427" s="50"/>
      <c r="T427" s="50"/>
      <c r="U427" s="50"/>
      <c r="V427" s="50"/>
      <c r="W427" s="50"/>
      <c r="X427" s="50"/>
      <c r="Y427" s="50"/>
      <c r="Z427" s="50"/>
      <c r="AA427" s="50"/>
      <c r="AB427" s="50"/>
    </row>
    <row r="428" customFormat="false" ht="15.75" hidden="false" customHeight="false" outlineLevel="0" collapsed="false">
      <c r="A428" s="50"/>
      <c r="B428" s="50"/>
      <c r="C428" s="5"/>
      <c r="D428" s="48"/>
      <c r="E428" s="50"/>
      <c r="F428" s="5"/>
      <c r="G428" s="5"/>
      <c r="H428" s="5"/>
      <c r="I428" s="5"/>
      <c r="J428" s="5"/>
      <c r="K428" s="50"/>
      <c r="L428" s="50"/>
      <c r="M428" s="50"/>
      <c r="N428" s="50"/>
      <c r="O428" s="50"/>
      <c r="P428" s="50"/>
      <c r="Q428" s="50"/>
      <c r="R428" s="50"/>
      <c r="S428" s="50"/>
      <c r="T428" s="50"/>
      <c r="U428" s="50"/>
      <c r="V428" s="50"/>
      <c r="W428" s="50"/>
      <c r="X428" s="50"/>
      <c r="Y428" s="50"/>
      <c r="Z428" s="50"/>
      <c r="AA428" s="50"/>
      <c r="AB428" s="50"/>
    </row>
    <row r="429" customFormat="false" ht="15.75" hidden="false" customHeight="false" outlineLevel="0" collapsed="false">
      <c r="A429" s="50"/>
      <c r="B429" s="50"/>
      <c r="C429" s="5"/>
      <c r="D429" s="48"/>
      <c r="E429" s="50"/>
      <c r="F429" s="5"/>
      <c r="G429" s="5"/>
      <c r="H429" s="5"/>
      <c r="I429" s="5"/>
      <c r="J429" s="5"/>
      <c r="K429" s="50"/>
      <c r="L429" s="50"/>
      <c r="M429" s="50"/>
      <c r="N429" s="50"/>
      <c r="O429" s="50"/>
      <c r="P429" s="50"/>
      <c r="Q429" s="50"/>
      <c r="R429" s="50"/>
      <c r="S429" s="50"/>
      <c r="T429" s="50"/>
      <c r="U429" s="50"/>
      <c r="V429" s="50"/>
      <c r="W429" s="50"/>
      <c r="X429" s="50"/>
      <c r="Y429" s="50"/>
      <c r="Z429" s="50"/>
      <c r="AA429" s="50"/>
      <c r="AB429" s="50"/>
    </row>
    <row r="430" customFormat="false" ht="15.75" hidden="false" customHeight="false" outlineLevel="0" collapsed="false">
      <c r="A430" s="50"/>
      <c r="B430" s="50"/>
      <c r="C430" s="5"/>
      <c r="D430" s="48"/>
      <c r="E430" s="50"/>
      <c r="F430" s="5"/>
      <c r="G430" s="5"/>
      <c r="H430" s="5"/>
      <c r="I430" s="5"/>
      <c r="J430" s="5"/>
      <c r="K430" s="50"/>
      <c r="L430" s="50"/>
      <c r="M430" s="50"/>
      <c r="N430" s="50"/>
      <c r="O430" s="50"/>
      <c r="P430" s="50"/>
      <c r="Q430" s="50"/>
      <c r="R430" s="50"/>
      <c r="S430" s="50"/>
      <c r="T430" s="50"/>
      <c r="U430" s="50"/>
      <c r="V430" s="50"/>
      <c r="W430" s="50"/>
      <c r="X430" s="50"/>
      <c r="Y430" s="50"/>
      <c r="Z430" s="50"/>
      <c r="AA430" s="50"/>
      <c r="AB430" s="50"/>
    </row>
    <row r="431" customFormat="false" ht="15.75" hidden="false" customHeight="false" outlineLevel="0" collapsed="false">
      <c r="A431" s="50"/>
      <c r="B431" s="50"/>
      <c r="C431" s="5"/>
      <c r="D431" s="48"/>
      <c r="E431" s="50"/>
      <c r="F431" s="5"/>
      <c r="G431" s="5"/>
      <c r="H431" s="5"/>
      <c r="I431" s="5"/>
      <c r="J431" s="5"/>
      <c r="K431" s="50"/>
      <c r="L431" s="50"/>
      <c r="M431" s="50"/>
      <c r="N431" s="50"/>
      <c r="O431" s="50"/>
      <c r="P431" s="50"/>
      <c r="Q431" s="50"/>
      <c r="R431" s="50"/>
      <c r="S431" s="50"/>
      <c r="T431" s="50"/>
      <c r="U431" s="50"/>
      <c r="V431" s="50"/>
      <c r="W431" s="50"/>
      <c r="X431" s="50"/>
      <c r="Y431" s="50"/>
      <c r="Z431" s="50"/>
      <c r="AA431" s="50"/>
      <c r="AB431" s="50"/>
    </row>
    <row r="432" customFormat="false" ht="15.75" hidden="false" customHeight="false" outlineLevel="0" collapsed="false">
      <c r="A432" s="50"/>
      <c r="B432" s="50"/>
      <c r="C432" s="5"/>
      <c r="D432" s="48"/>
      <c r="E432" s="50"/>
      <c r="F432" s="5"/>
      <c r="G432" s="5"/>
      <c r="H432" s="5"/>
      <c r="I432" s="5"/>
      <c r="J432" s="5"/>
      <c r="K432" s="50"/>
      <c r="L432" s="50"/>
      <c r="M432" s="50"/>
      <c r="N432" s="50"/>
      <c r="O432" s="50"/>
      <c r="P432" s="50"/>
      <c r="Q432" s="50"/>
      <c r="R432" s="50"/>
      <c r="S432" s="50"/>
      <c r="T432" s="50"/>
      <c r="U432" s="50"/>
      <c r="V432" s="50"/>
      <c r="W432" s="50"/>
      <c r="X432" s="50"/>
      <c r="Y432" s="50"/>
      <c r="Z432" s="50"/>
      <c r="AA432" s="50"/>
      <c r="AB432" s="50"/>
    </row>
    <row r="433" customFormat="false" ht="15.75" hidden="false" customHeight="false" outlineLevel="0" collapsed="false">
      <c r="A433" s="50"/>
      <c r="B433" s="50"/>
      <c r="C433" s="5"/>
      <c r="D433" s="48"/>
      <c r="E433" s="50"/>
      <c r="F433" s="5"/>
      <c r="G433" s="5"/>
      <c r="H433" s="5"/>
      <c r="I433" s="5"/>
      <c r="J433" s="5"/>
      <c r="K433" s="50"/>
      <c r="L433" s="50"/>
      <c r="M433" s="50"/>
      <c r="N433" s="50"/>
      <c r="O433" s="50"/>
      <c r="P433" s="50"/>
      <c r="Q433" s="50"/>
      <c r="R433" s="50"/>
      <c r="S433" s="50"/>
      <c r="T433" s="50"/>
      <c r="U433" s="50"/>
      <c r="V433" s="50"/>
      <c r="W433" s="50"/>
      <c r="X433" s="50"/>
      <c r="Y433" s="50"/>
      <c r="Z433" s="50"/>
      <c r="AA433" s="50"/>
      <c r="AB433" s="50"/>
    </row>
    <row r="434" customFormat="false" ht="15.75" hidden="false" customHeight="false" outlineLevel="0" collapsed="false">
      <c r="A434" s="50"/>
      <c r="B434" s="50"/>
      <c r="C434" s="5"/>
      <c r="D434" s="48"/>
      <c r="E434" s="50"/>
      <c r="F434" s="5"/>
      <c r="G434" s="5"/>
      <c r="H434" s="5"/>
      <c r="I434" s="5"/>
      <c r="J434" s="5"/>
      <c r="K434" s="50"/>
      <c r="L434" s="50"/>
      <c r="M434" s="50"/>
      <c r="N434" s="50"/>
      <c r="O434" s="50"/>
      <c r="P434" s="50"/>
      <c r="Q434" s="50"/>
      <c r="R434" s="50"/>
      <c r="S434" s="50"/>
      <c r="T434" s="50"/>
      <c r="U434" s="50"/>
      <c r="V434" s="50"/>
      <c r="W434" s="50"/>
      <c r="X434" s="50"/>
      <c r="Y434" s="50"/>
      <c r="Z434" s="50"/>
      <c r="AA434" s="50"/>
      <c r="AB434" s="50"/>
    </row>
    <row r="435" customFormat="false" ht="15.75" hidden="false" customHeight="false" outlineLevel="0" collapsed="false">
      <c r="A435" s="50"/>
      <c r="B435" s="50"/>
      <c r="C435" s="5"/>
      <c r="D435" s="48"/>
      <c r="E435" s="50"/>
      <c r="F435" s="5"/>
      <c r="G435" s="5"/>
      <c r="H435" s="5"/>
      <c r="I435" s="5"/>
      <c r="J435" s="5"/>
      <c r="K435" s="50"/>
      <c r="L435" s="50"/>
      <c r="M435" s="50"/>
      <c r="N435" s="50"/>
      <c r="O435" s="50"/>
      <c r="P435" s="50"/>
      <c r="Q435" s="50"/>
      <c r="R435" s="50"/>
      <c r="S435" s="50"/>
      <c r="T435" s="50"/>
      <c r="U435" s="50"/>
      <c r="V435" s="50"/>
      <c r="W435" s="50"/>
      <c r="X435" s="50"/>
      <c r="Y435" s="50"/>
      <c r="Z435" s="50"/>
      <c r="AA435" s="50"/>
      <c r="AB435" s="50"/>
    </row>
    <row r="436" customFormat="false" ht="15.75" hidden="false" customHeight="false" outlineLevel="0" collapsed="false">
      <c r="A436" s="50"/>
      <c r="B436" s="50"/>
      <c r="C436" s="5"/>
      <c r="D436" s="48"/>
      <c r="E436" s="50"/>
      <c r="F436" s="5"/>
      <c r="G436" s="5"/>
      <c r="H436" s="5"/>
      <c r="I436" s="5"/>
      <c r="J436" s="5"/>
      <c r="K436" s="50"/>
      <c r="L436" s="50"/>
      <c r="M436" s="50"/>
      <c r="N436" s="50"/>
      <c r="O436" s="50"/>
      <c r="P436" s="50"/>
      <c r="Q436" s="50"/>
      <c r="R436" s="50"/>
      <c r="S436" s="50"/>
      <c r="T436" s="50"/>
      <c r="U436" s="50"/>
      <c r="V436" s="50"/>
      <c r="W436" s="50"/>
      <c r="X436" s="50"/>
      <c r="Y436" s="50"/>
      <c r="Z436" s="50"/>
      <c r="AA436" s="50"/>
      <c r="AB436" s="50"/>
    </row>
    <row r="437" customFormat="false" ht="15.75" hidden="false" customHeight="false" outlineLevel="0" collapsed="false">
      <c r="A437" s="50"/>
      <c r="B437" s="50"/>
      <c r="C437" s="5"/>
      <c r="D437" s="48"/>
      <c r="E437" s="50"/>
      <c r="F437" s="5"/>
      <c r="G437" s="5"/>
      <c r="H437" s="5"/>
      <c r="I437" s="5"/>
      <c r="J437" s="5"/>
      <c r="K437" s="50"/>
      <c r="L437" s="50"/>
      <c r="M437" s="50"/>
      <c r="N437" s="50"/>
      <c r="O437" s="50"/>
      <c r="P437" s="50"/>
      <c r="Q437" s="50"/>
      <c r="R437" s="50"/>
      <c r="S437" s="50"/>
      <c r="T437" s="50"/>
      <c r="U437" s="50"/>
      <c r="V437" s="50"/>
      <c r="W437" s="50"/>
      <c r="X437" s="50"/>
      <c r="Y437" s="50"/>
      <c r="Z437" s="50"/>
      <c r="AA437" s="50"/>
      <c r="AB437" s="50"/>
    </row>
    <row r="438" customFormat="false" ht="15.75" hidden="false" customHeight="false" outlineLevel="0" collapsed="false">
      <c r="A438" s="50"/>
      <c r="B438" s="50"/>
      <c r="C438" s="5"/>
      <c r="D438" s="48"/>
      <c r="E438" s="50"/>
      <c r="F438" s="5"/>
      <c r="G438" s="5"/>
      <c r="H438" s="5"/>
      <c r="I438" s="5"/>
      <c r="J438" s="5"/>
      <c r="K438" s="50"/>
      <c r="L438" s="50"/>
      <c r="M438" s="50"/>
      <c r="N438" s="50"/>
      <c r="O438" s="50"/>
      <c r="P438" s="50"/>
      <c r="Q438" s="50"/>
      <c r="R438" s="50"/>
      <c r="S438" s="50"/>
      <c r="T438" s="50"/>
      <c r="U438" s="50"/>
      <c r="V438" s="50"/>
      <c r="W438" s="50"/>
      <c r="X438" s="50"/>
      <c r="Y438" s="50"/>
      <c r="Z438" s="50"/>
      <c r="AA438" s="50"/>
      <c r="AB438" s="50"/>
    </row>
    <row r="439" customFormat="false" ht="15.75" hidden="false" customHeight="false" outlineLevel="0" collapsed="false">
      <c r="A439" s="50"/>
      <c r="B439" s="50"/>
      <c r="C439" s="5"/>
      <c r="D439" s="48"/>
      <c r="E439" s="50"/>
      <c r="F439" s="5"/>
      <c r="G439" s="5"/>
      <c r="H439" s="5"/>
      <c r="I439" s="5"/>
      <c r="J439" s="5"/>
      <c r="K439" s="50"/>
      <c r="L439" s="50"/>
      <c r="M439" s="50"/>
      <c r="N439" s="50"/>
      <c r="O439" s="50"/>
      <c r="P439" s="50"/>
      <c r="Q439" s="50"/>
      <c r="R439" s="50"/>
      <c r="S439" s="50"/>
      <c r="T439" s="50"/>
      <c r="U439" s="50"/>
      <c r="V439" s="50"/>
      <c r="W439" s="50"/>
      <c r="X439" s="50"/>
      <c r="Y439" s="50"/>
      <c r="Z439" s="50"/>
      <c r="AA439" s="50"/>
      <c r="AB439" s="50"/>
    </row>
    <row r="440" customFormat="false" ht="15.75" hidden="false" customHeight="false" outlineLevel="0" collapsed="false">
      <c r="A440" s="50"/>
      <c r="B440" s="50"/>
      <c r="C440" s="5"/>
      <c r="D440" s="48"/>
      <c r="E440" s="50"/>
      <c r="F440" s="5"/>
      <c r="G440" s="5"/>
      <c r="H440" s="5"/>
      <c r="I440" s="5"/>
      <c r="J440" s="5"/>
      <c r="K440" s="50"/>
      <c r="L440" s="50"/>
      <c r="M440" s="50"/>
      <c r="N440" s="50"/>
      <c r="O440" s="50"/>
      <c r="P440" s="50"/>
      <c r="Q440" s="50"/>
      <c r="R440" s="50"/>
      <c r="S440" s="50"/>
      <c r="T440" s="50"/>
      <c r="U440" s="50"/>
      <c r="V440" s="50"/>
      <c r="W440" s="50"/>
      <c r="X440" s="50"/>
      <c r="Y440" s="50"/>
      <c r="Z440" s="50"/>
      <c r="AA440" s="50"/>
      <c r="AB440" s="50"/>
    </row>
    <row r="441" customFormat="false" ht="15.75" hidden="false" customHeight="false" outlineLevel="0" collapsed="false">
      <c r="A441" s="50"/>
      <c r="B441" s="50"/>
      <c r="C441" s="5"/>
      <c r="D441" s="48"/>
      <c r="E441" s="50"/>
      <c r="F441" s="5"/>
      <c r="G441" s="5"/>
      <c r="H441" s="5"/>
      <c r="I441" s="5"/>
      <c r="J441" s="5"/>
      <c r="K441" s="50"/>
      <c r="L441" s="50"/>
      <c r="M441" s="50"/>
      <c r="N441" s="50"/>
      <c r="O441" s="50"/>
      <c r="P441" s="50"/>
      <c r="Q441" s="50"/>
      <c r="R441" s="50"/>
      <c r="S441" s="50"/>
      <c r="T441" s="50"/>
      <c r="U441" s="50"/>
      <c r="V441" s="50"/>
      <c r="W441" s="50"/>
      <c r="X441" s="50"/>
      <c r="Y441" s="50"/>
      <c r="Z441" s="50"/>
      <c r="AA441" s="50"/>
      <c r="AB441" s="50"/>
    </row>
    <row r="442" customFormat="false" ht="15.75" hidden="false" customHeight="false" outlineLevel="0" collapsed="false">
      <c r="A442" s="50"/>
      <c r="B442" s="50"/>
      <c r="C442" s="5"/>
      <c r="D442" s="48"/>
      <c r="E442" s="50"/>
      <c r="F442" s="5"/>
      <c r="G442" s="5"/>
      <c r="H442" s="5"/>
      <c r="I442" s="5"/>
      <c r="J442" s="5"/>
      <c r="K442" s="50"/>
      <c r="L442" s="50"/>
      <c r="M442" s="50"/>
      <c r="N442" s="50"/>
      <c r="O442" s="50"/>
      <c r="P442" s="50"/>
      <c r="Q442" s="50"/>
      <c r="R442" s="50"/>
      <c r="S442" s="50"/>
      <c r="T442" s="50"/>
      <c r="U442" s="50"/>
      <c r="V442" s="50"/>
      <c r="W442" s="50"/>
      <c r="X442" s="50"/>
      <c r="Y442" s="50"/>
      <c r="Z442" s="50"/>
      <c r="AA442" s="50"/>
      <c r="AB442" s="50"/>
    </row>
    <row r="443" customFormat="false" ht="15.75" hidden="false" customHeight="false" outlineLevel="0" collapsed="false">
      <c r="A443" s="50"/>
      <c r="B443" s="50"/>
      <c r="C443" s="5"/>
      <c r="D443" s="48"/>
      <c r="E443" s="50"/>
      <c r="F443" s="5"/>
      <c r="G443" s="5"/>
      <c r="H443" s="5"/>
      <c r="I443" s="5"/>
      <c r="J443" s="5"/>
      <c r="K443" s="50"/>
      <c r="L443" s="50"/>
      <c r="M443" s="50"/>
      <c r="N443" s="50"/>
      <c r="O443" s="50"/>
      <c r="P443" s="50"/>
      <c r="Q443" s="50"/>
      <c r="R443" s="50"/>
      <c r="S443" s="50"/>
      <c r="T443" s="50"/>
      <c r="U443" s="50"/>
      <c r="V443" s="50"/>
      <c r="W443" s="50"/>
      <c r="X443" s="50"/>
      <c r="Y443" s="50"/>
      <c r="Z443" s="50"/>
      <c r="AA443" s="50"/>
      <c r="AB443" s="50"/>
    </row>
    <row r="444" customFormat="false" ht="15.75" hidden="false" customHeight="false" outlineLevel="0" collapsed="false">
      <c r="A444" s="50"/>
      <c r="B444" s="50"/>
      <c r="C444" s="5"/>
      <c r="D444" s="48"/>
      <c r="E444" s="50"/>
      <c r="F444" s="5"/>
      <c r="G444" s="5"/>
      <c r="H444" s="5"/>
      <c r="I444" s="5"/>
      <c r="J444" s="5"/>
      <c r="K444" s="50"/>
      <c r="L444" s="50"/>
      <c r="M444" s="50"/>
      <c r="N444" s="50"/>
      <c r="O444" s="50"/>
      <c r="P444" s="50"/>
      <c r="Q444" s="50"/>
      <c r="R444" s="50"/>
      <c r="S444" s="50"/>
      <c r="T444" s="50"/>
      <c r="U444" s="50"/>
      <c r="V444" s="50"/>
      <c r="W444" s="50"/>
      <c r="X444" s="50"/>
      <c r="Y444" s="50"/>
      <c r="Z444" s="50"/>
      <c r="AA444" s="50"/>
      <c r="AB444" s="50"/>
    </row>
    <row r="445" customFormat="false" ht="15.75" hidden="false" customHeight="false" outlineLevel="0" collapsed="false">
      <c r="A445" s="50"/>
      <c r="B445" s="50"/>
      <c r="C445" s="5"/>
      <c r="D445" s="48"/>
      <c r="E445" s="50"/>
      <c r="F445" s="5"/>
      <c r="G445" s="5"/>
      <c r="H445" s="5"/>
      <c r="I445" s="5"/>
      <c r="J445" s="5"/>
      <c r="K445" s="50"/>
      <c r="L445" s="50"/>
      <c r="M445" s="50"/>
      <c r="N445" s="50"/>
      <c r="O445" s="50"/>
      <c r="P445" s="50"/>
      <c r="Q445" s="50"/>
      <c r="R445" s="50"/>
      <c r="S445" s="50"/>
      <c r="T445" s="50"/>
      <c r="U445" s="50"/>
      <c r="V445" s="50"/>
      <c r="W445" s="50"/>
      <c r="X445" s="50"/>
      <c r="Y445" s="50"/>
      <c r="Z445" s="50"/>
      <c r="AA445" s="50"/>
      <c r="AB445" s="50"/>
    </row>
    <row r="446" customFormat="false" ht="15.75" hidden="false" customHeight="false" outlineLevel="0" collapsed="false">
      <c r="A446" s="50"/>
      <c r="B446" s="50"/>
      <c r="C446" s="5"/>
      <c r="D446" s="48"/>
      <c r="E446" s="50"/>
      <c r="F446" s="5"/>
      <c r="G446" s="5"/>
      <c r="H446" s="5"/>
      <c r="I446" s="5"/>
      <c r="J446" s="5"/>
      <c r="K446" s="50"/>
      <c r="L446" s="50"/>
      <c r="M446" s="50"/>
      <c r="N446" s="50"/>
      <c r="O446" s="50"/>
      <c r="P446" s="50"/>
      <c r="Q446" s="50"/>
      <c r="R446" s="50"/>
      <c r="S446" s="50"/>
      <c r="T446" s="50"/>
      <c r="U446" s="50"/>
      <c r="V446" s="50"/>
      <c r="W446" s="50"/>
      <c r="X446" s="50"/>
      <c r="Y446" s="50"/>
      <c r="Z446" s="50"/>
      <c r="AA446" s="50"/>
      <c r="AB446" s="50"/>
    </row>
    <row r="447" customFormat="false" ht="15.75" hidden="false" customHeight="false" outlineLevel="0" collapsed="false">
      <c r="A447" s="50"/>
      <c r="B447" s="50"/>
      <c r="C447" s="5"/>
      <c r="D447" s="48"/>
      <c r="E447" s="50"/>
      <c r="F447" s="5"/>
      <c r="G447" s="5"/>
      <c r="H447" s="5"/>
      <c r="I447" s="5"/>
      <c r="J447" s="5"/>
      <c r="K447" s="50"/>
      <c r="L447" s="50"/>
      <c r="M447" s="50"/>
      <c r="N447" s="50"/>
      <c r="O447" s="50"/>
      <c r="P447" s="50"/>
      <c r="Q447" s="50"/>
      <c r="R447" s="50"/>
      <c r="S447" s="50"/>
      <c r="T447" s="50"/>
      <c r="U447" s="50"/>
      <c r="V447" s="50"/>
      <c r="W447" s="50"/>
      <c r="X447" s="50"/>
      <c r="Y447" s="50"/>
      <c r="Z447" s="50"/>
      <c r="AA447" s="50"/>
      <c r="AB447" s="50"/>
    </row>
    <row r="448" customFormat="false" ht="15.75" hidden="false" customHeight="false" outlineLevel="0" collapsed="false">
      <c r="A448" s="50"/>
      <c r="B448" s="50"/>
      <c r="C448" s="5"/>
      <c r="D448" s="48"/>
      <c r="E448" s="50"/>
      <c r="F448" s="5"/>
      <c r="G448" s="5"/>
      <c r="H448" s="5"/>
      <c r="I448" s="5"/>
      <c r="J448" s="5"/>
      <c r="K448" s="50"/>
      <c r="L448" s="50"/>
      <c r="M448" s="50"/>
      <c r="N448" s="50"/>
      <c r="O448" s="50"/>
      <c r="P448" s="50"/>
      <c r="Q448" s="50"/>
      <c r="R448" s="50"/>
      <c r="S448" s="50"/>
      <c r="T448" s="50"/>
      <c r="U448" s="50"/>
      <c r="V448" s="50"/>
      <c r="W448" s="50"/>
      <c r="X448" s="50"/>
      <c r="Y448" s="50"/>
      <c r="Z448" s="50"/>
      <c r="AA448" s="50"/>
      <c r="AB448" s="50"/>
    </row>
    <row r="449" customFormat="false" ht="15.75" hidden="false" customHeight="false" outlineLevel="0" collapsed="false">
      <c r="A449" s="50"/>
      <c r="B449" s="50"/>
      <c r="C449" s="5"/>
      <c r="D449" s="48"/>
      <c r="E449" s="50"/>
      <c r="F449" s="5"/>
      <c r="G449" s="5"/>
      <c r="H449" s="5"/>
      <c r="I449" s="5"/>
      <c r="J449" s="5"/>
      <c r="K449" s="50"/>
      <c r="L449" s="50"/>
      <c r="M449" s="50"/>
      <c r="N449" s="50"/>
      <c r="O449" s="50"/>
      <c r="P449" s="50"/>
      <c r="Q449" s="50"/>
      <c r="R449" s="50"/>
      <c r="S449" s="50"/>
      <c r="T449" s="50"/>
      <c r="U449" s="50"/>
      <c r="V449" s="50"/>
      <c r="W449" s="50"/>
      <c r="X449" s="50"/>
      <c r="Y449" s="50"/>
      <c r="Z449" s="50"/>
      <c r="AA449" s="50"/>
      <c r="AB449" s="50"/>
    </row>
    <row r="450" customFormat="false" ht="15.75" hidden="false" customHeight="false" outlineLevel="0" collapsed="false">
      <c r="A450" s="50"/>
      <c r="B450" s="50"/>
      <c r="C450" s="5"/>
      <c r="D450" s="48"/>
      <c r="E450" s="50"/>
      <c r="F450" s="5"/>
      <c r="G450" s="5"/>
      <c r="H450" s="5"/>
      <c r="I450" s="5"/>
      <c r="J450" s="5"/>
      <c r="K450" s="50"/>
      <c r="L450" s="50"/>
      <c r="M450" s="50"/>
      <c r="N450" s="50"/>
      <c r="O450" s="50"/>
      <c r="P450" s="50"/>
      <c r="Q450" s="50"/>
      <c r="R450" s="50"/>
      <c r="S450" s="50"/>
      <c r="T450" s="50"/>
      <c r="U450" s="50"/>
      <c r="V450" s="50"/>
      <c r="W450" s="50"/>
      <c r="X450" s="50"/>
      <c r="Y450" s="50"/>
      <c r="Z450" s="50"/>
      <c r="AA450" s="50"/>
      <c r="AB450" s="50"/>
    </row>
    <row r="451" customFormat="false" ht="15.75" hidden="false" customHeight="false" outlineLevel="0" collapsed="false">
      <c r="A451" s="50"/>
      <c r="B451" s="50"/>
      <c r="C451" s="5"/>
      <c r="D451" s="48"/>
      <c r="E451" s="50"/>
      <c r="F451" s="5"/>
      <c r="G451" s="5"/>
      <c r="H451" s="5"/>
      <c r="I451" s="5"/>
      <c r="J451" s="5"/>
      <c r="K451" s="50"/>
      <c r="L451" s="50"/>
      <c r="M451" s="50"/>
      <c r="N451" s="50"/>
      <c r="O451" s="50"/>
      <c r="P451" s="50"/>
      <c r="Q451" s="50"/>
      <c r="R451" s="50"/>
      <c r="S451" s="50"/>
      <c r="T451" s="50"/>
      <c r="U451" s="50"/>
      <c r="V451" s="50"/>
      <c r="W451" s="50"/>
      <c r="X451" s="50"/>
      <c r="Y451" s="50"/>
      <c r="Z451" s="50"/>
      <c r="AA451" s="50"/>
      <c r="AB451" s="50"/>
    </row>
    <row r="452" customFormat="false" ht="15.75" hidden="false" customHeight="false" outlineLevel="0" collapsed="false">
      <c r="A452" s="50"/>
      <c r="B452" s="50"/>
      <c r="C452" s="5"/>
      <c r="D452" s="48"/>
      <c r="E452" s="50"/>
      <c r="F452" s="5"/>
      <c r="G452" s="5"/>
      <c r="H452" s="5"/>
      <c r="I452" s="5"/>
      <c r="J452" s="5"/>
      <c r="K452" s="50"/>
      <c r="L452" s="50"/>
      <c r="M452" s="50"/>
      <c r="N452" s="50"/>
      <c r="O452" s="50"/>
      <c r="P452" s="50"/>
      <c r="Q452" s="50"/>
      <c r="R452" s="50"/>
      <c r="S452" s="50"/>
      <c r="T452" s="50"/>
      <c r="U452" s="50"/>
      <c r="V452" s="50"/>
      <c r="W452" s="50"/>
      <c r="X452" s="50"/>
      <c r="Y452" s="50"/>
      <c r="Z452" s="50"/>
      <c r="AA452" s="50"/>
      <c r="AB452" s="50"/>
    </row>
    <row r="453" customFormat="false" ht="15.75" hidden="false" customHeight="false" outlineLevel="0" collapsed="false">
      <c r="A453" s="50"/>
      <c r="B453" s="50"/>
      <c r="C453" s="5"/>
      <c r="D453" s="48"/>
      <c r="E453" s="50"/>
      <c r="F453" s="5"/>
      <c r="G453" s="5"/>
      <c r="H453" s="5"/>
      <c r="I453" s="5"/>
      <c r="J453" s="5"/>
      <c r="K453" s="50"/>
      <c r="L453" s="50"/>
      <c r="M453" s="50"/>
      <c r="N453" s="50"/>
      <c r="O453" s="50"/>
      <c r="P453" s="50"/>
      <c r="Q453" s="50"/>
      <c r="R453" s="50"/>
      <c r="S453" s="50"/>
      <c r="T453" s="50"/>
      <c r="U453" s="50"/>
      <c r="V453" s="50"/>
      <c r="W453" s="50"/>
      <c r="X453" s="50"/>
      <c r="Y453" s="50"/>
      <c r="Z453" s="50"/>
      <c r="AA453" s="50"/>
      <c r="AB453" s="50"/>
    </row>
    <row r="454" customFormat="false" ht="15.75" hidden="false" customHeight="false" outlineLevel="0" collapsed="false">
      <c r="A454" s="50"/>
      <c r="B454" s="50"/>
      <c r="C454" s="5"/>
      <c r="D454" s="48"/>
      <c r="E454" s="50"/>
      <c r="F454" s="5"/>
      <c r="G454" s="5"/>
      <c r="H454" s="5"/>
      <c r="I454" s="5"/>
      <c r="J454" s="5"/>
      <c r="K454" s="50"/>
      <c r="L454" s="50"/>
      <c r="M454" s="50"/>
      <c r="N454" s="50"/>
      <c r="O454" s="50"/>
      <c r="P454" s="50"/>
      <c r="Q454" s="50"/>
      <c r="R454" s="50"/>
      <c r="S454" s="50"/>
      <c r="T454" s="50"/>
      <c r="U454" s="50"/>
      <c r="V454" s="50"/>
      <c r="W454" s="50"/>
      <c r="X454" s="50"/>
      <c r="Y454" s="50"/>
      <c r="Z454" s="50"/>
      <c r="AA454" s="50"/>
      <c r="AB454" s="50"/>
    </row>
    <row r="455" customFormat="false" ht="15.75" hidden="false" customHeight="false" outlineLevel="0" collapsed="false">
      <c r="A455" s="50"/>
      <c r="B455" s="50"/>
      <c r="C455" s="5"/>
      <c r="D455" s="48"/>
      <c r="E455" s="50"/>
      <c r="F455" s="5"/>
      <c r="G455" s="5"/>
      <c r="H455" s="5"/>
      <c r="I455" s="5"/>
      <c r="J455" s="5"/>
      <c r="K455" s="50"/>
      <c r="L455" s="50"/>
      <c r="M455" s="50"/>
      <c r="N455" s="50"/>
      <c r="O455" s="50"/>
      <c r="P455" s="50"/>
      <c r="Q455" s="50"/>
      <c r="R455" s="50"/>
      <c r="S455" s="50"/>
      <c r="T455" s="50"/>
      <c r="U455" s="50"/>
      <c r="V455" s="50"/>
      <c r="W455" s="50"/>
      <c r="X455" s="50"/>
      <c r="Y455" s="50"/>
      <c r="Z455" s="50"/>
      <c r="AA455" s="50"/>
      <c r="AB455" s="50"/>
    </row>
    <row r="456" customFormat="false" ht="15.75" hidden="false" customHeight="false" outlineLevel="0" collapsed="false">
      <c r="A456" s="50"/>
      <c r="B456" s="50"/>
      <c r="C456" s="5"/>
      <c r="D456" s="48"/>
      <c r="E456" s="50"/>
      <c r="F456" s="5"/>
      <c r="G456" s="5"/>
      <c r="H456" s="5"/>
      <c r="I456" s="5"/>
      <c r="J456" s="5"/>
      <c r="K456" s="50"/>
      <c r="L456" s="50"/>
      <c r="M456" s="50"/>
      <c r="N456" s="50"/>
      <c r="O456" s="50"/>
      <c r="P456" s="50"/>
      <c r="Q456" s="50"/>
      <c r="R456" s="50"/>
      <c r="S456" s="50"/>
      <c r="T456" s="50"/>
      <c r="U456" s="50"/>
      <c r="V456" s="50"/>
      <c r="W456" s="50"/>
      <c r="X456" s="50"/>
      <c r="Y456" s="50"/>
      <c r="Z456" s="50"/>
      <c r="AA456" s="50"/>
      <c r="AB456" s="50"/>
    </row>
    <row r="457" customFormat="false" ht="15.75" hidden="false" customHeight="false" outlineLevel="0" collapsed="false">
      <c r="A457" s="50"/>
      <c r="B457" s="50"/>
      <c r="C457" s="5"/>
      <c r="D457" s="48"/>
      <c r="E457" s="50"/>
      <c r="F457" s="5"/>
      <c r="G457" s="5"/>
      <c r="H457" s="5"/>
      <c r="I457" s="5"/>
      <c r="J457" s="5"/>
      <c r="K457" s="50"/>
      <c r="L457" s="50"/>
      <c r="M457" s="50"/>
      <c r="N457" s="50"/>
      <c r="O457" s="50"/>
      <c r="P457" s="50"/>
      <c r="Q457" s="50"/>
      <c r="R457" s="50"/>
      <c r="S457" s="50"/>
      <c r="T457" s="50"/>
      <c r="U457" s="50"/>
      <c r="V457" s="50"/>
      <c r="W457" s="50"/>
      <c r="X457" s="50"/>
      <c r="Y457" s="50"/>
      <c r="Z457" s="50"/>
      <c r="AA457" s="50"/>
      <c r="AB457" s="50"/>
    </row>
    <row r="458" customFormat="false" ht="15.75" hidden="false" customHeight="false" outlineLevel="0" collapsed="false">
      <c r="A458" s="50"/>
      <c r="B458" s="50"/>
      <c r="C458" s="5"/>
      <c r="D458" s="48"/>
      <c r="E458" s="50"/>
      <c r="F458" s="5"/>
      <c r="G458" s="5"/>
      <c r="H458" s="5"/>
      <c r="I458" s="5"/>
      <c r="J458" s="5"/>
      <c r="K458" s="50"/>
      <c r="L458" s="50"/>
      <c r="M458" s="50"/>
      <c r="N458" s="50"/>
      <c r="O458" s="50"/>
      <c r="P458" s="50"/>
      <c r="Q458" s="50"/>
      <c r="R458" s="50"/>
      <c r="S458" s="50"/>
      <c r="T458" s="50"/>
      <c r="U458" s="50"/>
      <c r="V458" s="50"/>
      <c r="W458" s="50"/>
      <c r="X458" s="50"/>
      <c r="Y458" s="50"/>
      <c r="Z458" s="50"/>
      <c r="AA458" s="50"/>
      <c r="AB458" s="50"/>
    </row>
    <row r="459" customFormat="false" ht="15.75" hidden="false" customHeight="false" outlineLevel="0" collapsed="false">
      <c r="A459" s="50"/>
      <c r="B459" s="50"/>
      <c r="C459" s="5"/>
      <c r="D459" s="48"/>
      <c r="E459" s="50"/>
      <c r="F459" s="5"/>
      <c r="G459" s="5"/>
      <c r="H459" s="5"/>
      <c r="I459" s="5"/>
      <c r="J459" s="5"/>
      <c r="K459" s="50"/>
      <c r="L459" s="50"/>
      <c r="M459" s="50"/>
      <c r="N459" s="50"/>
      <c r="O459" s="50"/>
      <c r="P459" s="50"/>
      <c r="Q459" s="50"/>
      <c r="R459" s="50"/>
      <c r="S459" s="50"/>
      <c r="T459" s="50"/>
      <c r="U459" s="50"/>
      <c r="V459" s="50"/>
      <c r="W459" s="50"/>
      <c r="X459" s="50"/>
      <c r="Y459" s="50"/>
      <c r="Z459" s="50"/>
      <c r="AA459" s="50"/>
      <c r="AB459" s="50"/>
    </row>
    <row r="460" customFormat="false" ht="15.75" hidden="false" customHeight="false" outlineLevel="0" collapsed="false">
      <c r="A460" s="50"/>
      <c r="B460" s="50"/>
      <c r="C460" s="5"/>
      <c r="D460" s="48"/>
      <c r="E460" s="50"/>
      <c r="F460" s="5"/>
      <c r="G460" s="5"/>
      <c r="H460" s="5"/>
      <c r="I460" s="5"/>
      <c r="J460" s="5"/>
      <c r="K460" s="50"/>
      <c r="L460" s="50"/>
      <c r="M460" s="50"/>
      <c r="N460" s="50"/>
      <c r="O460" s="50"/>
      <c r="P460" s="50"/>
      <c r="Q460" s="50"/>
      <c r="R460" s="50"/>
      <c r="S460" s="50"/>
      <c r="T460" s="50"/>
      <c r="U460" s="50"/>
      <c r="V460" s="50"/>
      <c r="W460" s="50"/>
      <c r="X460" s="50"/>
      <c r="Y460" s="50"/>
      <c r="Z460" s="50"/>
      <c r="AA460" s="50"/>
      <c r="AB460" s="50"/>
    </row>
    <row r="461" customFormat="false" ht="15.75" hidden="false" customHeight="false" outlineLevel="0" collapsed="false">
      <c r="A461" s="50"/>
      <c r="B461" s="50"/>
      <c r="C461" s="5"/>
      <c r="D461" s="48"/>
      <c r="E461" s="50"/>
      <c r="F461" s="5"/>
      <c r="G461" s="5"/>
      <c r="H461" s="5"/>
      <c r="I461" s="5"/>
      <c r="J461" s="5"/>
      <c r="K461" s="50"/>
      <c r="L461" s="50"/>
      <c r="M461" s="50"/>
      <c r="N461" s="50"/>
      <c r="O461" s="50"/>
      <c r="P461" s="50"/>
      <c r="Q461" s="50"/>
      <c r="R461" s="50"/>
      <c r="S461" s="50"/>
      <c r="T461" s="50"/>
      <c r="U461" s="50"/>
      <c r="V461" s="50"/>
      <c r="W461" s="50"/>
      <c r="X461" s="50"/>
      <c r="Y461" s="50"/>
      <c r="Z461" s="50"/>
      <c r="AA461" s="50"/>
      <c r="AB461" s="50"/>
    </row>
    <row r="462" customFormat="false" ht="15.75" hidden="false" customHeight="false" outlineLevel="0" collapsed="false">
      <c r="A462" s="50"/>
      <c r="B462" s="50"/>
      <c r="C462" s="5"/>
      <c r="D462" s="48"/>
      <c r="E462" s="50"/>
      <c r="F462" s="5"/>
      <c r="G462" s="5"/>
      <c r="H462" s="5"/>
      <c r="I462" s="5"/>
      <c r="J462" s="5"/>
      <c r="K462" s="50"/>
      <c r="L462" s="50"/>
      <c r="M462" s="50"/>
      <c r="N462" s="50"/>
      <c r="O462" s="50"/>
      <c r="P462" s="50"/>
      <c r="Q462" s="50"/>
      <c r="R462" s="50"/>
      <c r="S462" s="50"/>
      <c r="T462" s="50"/>
      <c r="U462" s="50"/>
      <c r="V462" s="50"/>
      <c r="W462" s="50"/>
      <c r="X462" s="50"/>
      <c r="Y462" s="50"/>
      <c r="Z462" s="50"/>
      <c r="AA462" s="50"/>
      <c r="AB462" s="50"/>
    </row>
    <row r="463" customFormat="false" ht="15.75" hidden="false" customHeight="false" outlineLevel="0" collapsed="false">
      <c r="A463" s="50"/>
      <c r="B463" s="50"/>
      <c r="C463" s="5"/>
      <c r="D463" s="48"/>
      <c r="E463" s="50"/>
      <c r="F463" s="5"/>
      <c r="G463" s="5"/>
      <c r="H463" s="5"/>
      <c r="I463" s="5"/>
      <c r="J463" s="5"/>
      <c r="K463" s="50"/>
      <c r="L463" s="50"/>
      <c r="M463" s="50"/>
      <c r="N463" s="50"/>
      <c r="O463" s="50"/>
      <c r="P463" s="50"/>
      <c r="Q463" s="50"/>
      <c r="R463" s="50"/>
      <c r="S463" s="50"/>
      <c r="T463" s="50"/>
      <c r="U463" s="50"/>
      <c r="V463" s="50"/>
      <c r="W463" s="50"/>
      <c r="X463" s="50"/>
      <c r="Y463" s="50"/>
      <c r="Z463" s="50"/>
      <c r="AA463" s="50"/>
      <c r="AB463" s="50"/>
    </row>
    <row r="464" customFormat="false" ht="15.75" hidden="false" customHeight="false" outlineLevel="0" collapsed="false">
      <c r="A464" s="50"/>
      <c r="B464" s="50"/>
      <c r="C464" s="5"/>
      <c r="D464" s="48"/>
      <c r="E464" s="50"/>
      <c r="F464" s="5"/>
      <c r="G464" s="5"/>
      <c r="H464" s="5"/>
      <c r="I464" s="5"/>
      <c r="J464" s="5"/>
      <c r="K464" s="50"/>
      <c r="L464" s="50"/>
      <c r="M464" s="50"/>
      <c r="N464" s="50"/>
      <c r="O464" s="50"/>
      <c r="P464" s="50"/>
      <c r="Q464" s="50"/>
      <c r="R464" s="50"/>
      <c r="S464" s="50"/>
      <c r="T464" s="50"/>
      <c r="U464" s="50"/>
      <c r="V464" s="50"/>
      <c r="W464" s="50"/>
      <c r="X464" s="50"/>
      <c r="Y464" s="50"/>
      <c r="Z464" s="50"/>
      <c r="AA464" s="50"/>
      <c r="AB464" s="50"/>
    </row>
    <row r="465" customFormat="false" ht="15.75" hidden="false" customHeight="false" outlineLevel="0" collapsed="false">
      <c r="A465" s="50"/>
      <c r="B465" s="50"/>
      <c r="C465" s="5"/>
      <c r="D465" s="48"/>
      <c r="E465" s="50"/>
      <c r="F465" s="5"/>
      <c r="G465" s="5"/>
      <c r="H465" s="5"/>
      <c r="I465" s="5"/>
      <c r="J465" s="5"/>
      <c r="K465" s="50"/>
      <c r="L465" s="50"/>
      <c r="M465" s="50"/>
      <c r="N465" s="50"/>
      <c r="O465" s="50"/>
      <c r="P465" s="50"/>
      <c r="Q465" s="50"/>
      <c r="R465" s="50"/>
      <c r="S465" s="50"/>
      <c r="T465" s="50"/>
      <c r="U465" s="50"/>
      <c r="V465" s="50"/>
      <c r="W465" s="50"/>
      <c r="X465" s="50"/>
      <c r="Y465" s="50"/>
      <c r="Z465" s="50"/>
      <c r="AA465" s="50"/>
      <c r="AB465" s="50"/>
    </row>
    <row r="466" customFormat="false" ht="15.75" hidden="false" customHeight="false" outlineLevel="0" collapsed="false">
      <c r="A466" s="50"/>
      <c r="B466" s="50"/>
      <c r="C466" s="5"/>
      <c r="D466" s="48"/>
      <c r="E466" s="50"/>
      <c r="F466" s="5"/>
      <c r="G466" s="5"/>
      <c r="H466" s="5"/>
      <c r="I466" s="5"/>
      <c r="J466" s="5"/>
      <c r="K466" s="50"/>
      <c r="L466" s="50"/>
      <c r="M466" s="50"/>
      <c r="N466" s="50"/>
      <c r="O466" s="50"/>
      <c r="P466" s="50"/>
      <c r="Q466" s="50"/>
      <c r="R466" s="50"/>
      <c r="S466" s="50"/>
      <c r="T466" s="50"/>
      <c r="U466" s="50"/>
      <c r="V466" s="50"/>
      <c r="W466" s="50"/>
      <c r="X466" s="50"/>
      <c r="Y466" s="50"/>
      <c r="Z466" s="50"/>
      <c r="AA466" s="50"/>
      <c r="AB466" s="50"/>
    </row>
    <row r="467" customFormat="false" ht="15.75" hidden="false" customHeight="false" outlineLevel="0" collapsed="false">
      <c r="A467" s="50"/>
      <c r="B467" s="50"/>
      <c r="C467" s="5"/>
      <c r="D467" s="48"/>
      <c r="E467" s="50"/>
      <c r="F467" s="5"/>
      <c r="G467" s="5"/>
      <c r="H467" s="5"/>
      <c r="I467" s="5"/>
      <c r="J467" s="5"/>
      <c r="K467" s="50"/>
      <c r="L467" s="50"/>
      <c r="M467" s="50"/>
      <c r="N467" s="50"/>
      <c r="O467" s="50"/>
      <c r="P467" s="50"/>
      <c r="Q467" s="50"/>
      <c r="R467" s="50"/>
      <c r="S467" s="50"/>
      <c r="T467" s="50"/>
      <c r="U467" s="50"/>
      <c r="V467" s="50"/>
      <c r="W467" s="50"/>
      <c r="X467" s="50"/>
      <c r="Y467" s="50"/>
      <c r="Z467" s="50"/>
      <c r="AA467" s="50"/>
      <c r="AB467" s="50"/>
    </row>
    <row r="468" customFormat="false" ht="15.75" hidden="false" customHeight="false" outlineLevel="0" collapsed="false">
      <c r="A468" s="50"/>
      <c r="B468" s="50"/>
      <c r="C468" s="5"/>
      <c r="D468" s="48"/>
      <c r="E468" s="50"/>
      <c r="F468" s="5"/>
      <c r="G468" s="5"/>
      <c r="H468" s="5"/>
      <c r="I468" s="5"/>
      <c r="J468" s="5"/>
      <c r="K468" s="50"/>
      <c r="L468" s="50"/>
      <c r="M468" s="50"/>
      <c r="N468" s="50"/>
      <c r="O468" s="50"/>
      <c r="P468" s="50"/>
      <c r="Q468" s="50"/>
      <c r="R468" s="50"/>
      <c r="S468" s="50"/>
      <c r="T468" s="50"/>
      <c r="U468" s="50"/>
      <c r="V468" s="50"/>
      <c r="W468" s="50"/>
      <c r="X468" s="50"/>
      <c r="Y468" s="50"/>
      <c r="Z468" s="50"/>
      <c r="AA468" s="50"/>
      <c r="AB468" s="50"/>
    </row>
    <row r="469" customFormat="false" ht="15.75" hidden="false" customHeight="false" outlineLevel="0" collapsed="false">
      <c r="A469" s="50"/>
      <c r="B469" s="50"/>
      <c r="C469" s="5"/>
      <c r="D469" s="48"/>
      <c r="E469" s="50"/>
      <c r="F469" s="5"/>
      <c r="G469" s="5"/>
      <c r="H469" s="5"/>
      <c r="I469" s="5"/>
      <c r="J469" s="5"/>
      <c r="K469" s="50"/>
      <c r="L469" s="50"/>
      <c r="M469" s="50"/>
      <c r="N469" s="50"/>
      <c r="O469" s="50"/>
      <c r="P469" s="50"/>
      <c r="Q469" s="50"/>
      <c r="R469" s="50"/>
      <c r="S469" s="50"/>
      <c r="T469" s="50"/>
      <c r="U469" s="50"/>
      <c r="V469" s="50"/>
      <c r="W469" s="50"/>
      <c r="X469" s="50"/>
      <c r="Y469" s="50"/>
      <c r="Z469" s="50"/>
      <c r="AA469" s="50"/>
      <c r="AB469" s="50"/>
    </row>
    <row r="470" customFormat="false" ht="15.75" hidden="false" customHeight="false" outlineLevel="0" collapsed="false">
      <c r="A470" s="50"/>
      <c r="B470" s="50"/>
      <c r="C470" s="5"/>
      <c r="D470" s="48"/>
      <c r="E470" s="50"/>
      <c r="F470" s="5"/>
      <c r="G470" s="5"/>
      <c r="H470" s="5"/>
      <c r="I470" s="5"/>
      <c r="J470" s="5"/>
      <c r="K470" s="50"/>
      <c r="L470" s="50"/>
      <c r="M470" s="50"/>
      <c r="N470" s="50"/>
      <c r="O470" s="50"/>
      <c r="P470" s="50"/>
      <c r="Q470" s="50"/>
      <c r="R470" s="50"/>
      <c r="S470" s="50"/>
      <c r="T470" s="50"/>
      <c r="U470" s="50"/>
      <c r="V470" s="50"/>
      <c r="W470" s="50"/>
      <c r="X470" s="50"/>
      <c r="Y470" s="50"/>
      <c r="Z470" s="50"/>
      <c r="AA470" s="50"/>
      <c r="AB470" s="50"/>
    </row>
    <row r="471" customFormat="false" ht="15.75" hidden="false" customHeight="false" outlineLevel="0" collapsed="false">
      <c r="A471" s="50"/>
      <c r="B471" s="50"/>
      <c r="C471" s="5"/>
      <c r="D471" s="48"/>
      <c r="E471" s="50"/>
      <c r="F471" s="5"/>
      <c r="G471" s="5"/>
      <c r="H471" s="5"/>
      <c r="I471" s="5"/>
      <c r="J471" s="5"/>
      <c r="K471" s="50"/>
      <c r="L471" s="50"/>
      <c r="M471" s="50"/>
      <c r="N471" s="50"/>
      <c r="O471" s="50"/>
      <c r="P471" s="50"/>
      <c r="Q471" s="50"/>
      <c r="R471" s="50"/>
      <c r="S471" s="50"/>
      <c r="T471" s="50"/>
      <c r="U471" s="50"/>
      <c r="V471" s="50"/>
      <c r="W471" s="50"/>
      <c r="X471" s="50"/>
      <c r="Y471" s="50"/>
      <c r="Z471" s="50"/>
      <c r="AA471" s="50"/>
      <c r="AB471" s="50"/>
    </row>
    <row r="472" customFormat="false" ht="15.75" hidden="false" customHeight="false" outlineLevel="0" collapsed="false">
      <c r="A472" s="50"/>
      <c r="B472" s="50"/>
      <c r="C472" s="5"/>
      <c r="D472" s="48"/>
      <c r="E472" s="50"/>
      <c r="F472" s="5"/>
      <c r="G472" s="5"/>
      <c r="H472" s="5"/>
      <c r="I472" s="5"/>
      <c r="J472" s="5"/>
      <c r="K472" s="50"/>
      <c r="L472" s="50"/>
      <c r="M472" s="50"/>
      <c r="N472" s="50"/>
      <c r="O472" s="50"/>
      <c r="P472" s="50"/>
      <c r="Q472" s="50"/>
      <c r="R472" s="50"/>
      <c r="S472" s="50"/>
      <c r="T472" s="50"/>
      <c r="U472" s="50"/>
      <c r="V472" s="50"/>
      <c r="W472" s="50"/>
      <c r="X472" s="50"/>
      <c r="Y472" s="50"/>
      <c r="Z472" s="50"/>
      <c r="AA472" s="50"/>
      <c r="AB472" s="50"/>
    </row>
    <row r="473" customFormat="false" ht="15.75" hidden="false" customHeight="false" outlineLevel="0" collapsed="false">
      <c r="A473" s="50"/>
      <c r="B473" s="50"/>
      <c r="C473" s="5"/>
      <c r="D473" s="48"/>
      <c r="E473" s="50"/>
      <c r="F473" s="5"/>
      <c r="G473" s="5"/>
      <c r="H473" s="5"/>
      <c r="I473" s="5"/>
      <c r="J473" s="5"/>
      <c r="K473" s="50"/>
      <c r="L473" s="50"/>
      <c r="M473" s="50"/>
      <c r="N473" s="50"/>
      <c r="O473" s="50"/>
      <c r="P473" s="50"/>
      <c r="Q473" s="50"/>
      <c r="R473" s="50"/>
      <c r="S473" s="50"/>
      <c r="T473" s="50"/>
      <c r="U473" s="50"/>
      <c r="V473" s="50"/>
      <c r="W473" s="50"/>
      <c r="X473" s="50"/>
      <c r="Y473" s="50"/>
      <c r="Z473" s="50"/>
      <c r="AA473" s="50"/>
      <c r="AB473" s="50"/>
    </row>
    <row r="474" customFormat="false" ht="15.75" hidden="false" customHeight="false" outlineLevel="0" collapsed="false">
      <c r="A474" s="50"/>
      <c r="B474" s="50"/>
      <c r="C474" s="5"/>
      <c r="D474" s="48"/>
      <c r="E474" s="50"/>
      <c r="F474" s="5"/>
      <c r="G474" s="5"/>
      <c r="H474" s="5"/>
      <c r="I474" s="5"/>
      <c r="J474" s="5"/>
      <c r="K474" s="50"/>
      <c r="L474" s="50"/>
      <c r="M474" s="50"/>
      <c r="N474" s="50"/>
      <c r="O474" s="50"/>
      <c r="P474" s="50"/>
      <c r="Q474" s="50"/>
      <c r="R474" s="50"/>
      <c r="S474" s="50"/>
      <c r="T474" s="50"/>
      <c r="U474" s="50"/>
      <c r="V474" s="50"/>
      <c r="W474" s="50"/>
      <c r="X474" s="50"/>
      <c r="Y474" s="50"/>
      <c r="Z474" s="50"/>
      <c r="AA474" s="50"/>
      <c r="AB474" s="50"/>
    </row>
    <row r="475" customFormat="false" ht="15.75" hidden="false" customHeight="false" outlineLevel="0" collapsed="false">
      <c r="A475" s="50"/>
      <c r="B475" s="50"/>
      <c r="C475" s="5"/>
      <c r="D475" s="48"/>
      <c r="E475" s="50"/>
      <c r="F475" s="5"/>
      <c r="G475" s="5"/>
      <c r="H475" s="5"/>
      <c r="I475" s="5"/>
      <c r="J475" s="5"/>
      <c r="K475" s="50"/>
      <c r="L475" s="50"/>
      <c r="M475" s="50"/>
      <c r="N475" s="50"/>
      <c r="O475" s="50"/>
      <c r="P475" s="50"/>
      <c r="Q475" s="50"/>
      <c r="R475" s="50"/>
      <c r="S475" s="50"/>
      <c r="T475" s="50"/>
      <c r="U475" s="50"/>
      <c r="V475" s="50"/>
      <c r="W475" s="50"/>
      <c r="X475" s="50"/>
      <c r="Y475" s="50"/>
      <c r="Z475" s="50"/>
      <c r="AA475" s="50"/>
      <c r="AB475" s="50"/>
    </row>
    <row r="476" customFormat="false" ht="15.75" hidden="false" customHeight="false" outlineLevel="0" collapsed="false">
      <c r="A476" s="50"/>
      <c r="B476" s="50"/>
      <c r="C476" s="5"/>
      <c r="D476" s="48"/>
      <c r="E476" s="50"/>
      <c r="F476" s="5"/>
      <c r="G476" s="5"/>
      <c r="H476" s="5"/>
      <c r="I476" s="5"/>
      <c r="J476" s="5"/>
      <c r="K476" s="50"/>
      <c r="L476" s="50"/>
      <c r="M476" s="50"/>
      <c r="N476" s="50"/>
      <c r="O476" s="50"/>
      <c r="P476" s="50"/>
      <c r="Q476" s="50"/>
      <c r="R476" s="50"/>
      <c r="S476" s="50"/>
      <c r="T476" s="50"/>
      <c r="U476" s="50"/>
      <c r="V476" s="50"/>
      <c r="W476" s="50"/>
      <c r="X476" s="50"/>
      <c r="Y476" s="50"/>
      <c r="Z476" s="50"/>
      <c r="AA476" s="50"/>
      <c r="AB476" s="50"/>
    </row>
    <row r="477" customFormat="false" ht="15.75" hidden="false" customHeight="false" outlineLevel="0" collapsed="false">
      <c r="A477" s="50"/>
      <c r="B477" s="50"/>
      <c r="C477" s="5"/>
      <c r="D477" s="48"/>
      <c r="E477" s="50"/>
      <c r="F477" s="5"/>
      <c r="G477" s="5"/>
      <c r="H477" s="5"/>
      <c r="I477" s="5"/>
      <c r="J477" s="5"/>
      <c r="K477" s="50"/>
      <c r="L477" s="50"/>
      <c r="M477" s="50"/>
      <c r="N477" s="50"/>
      <c r="O477" s="50"/>
      <c r="P477" s="50"/>
      <c r="Q477" s="50"/>
      <c r="R477" s="50"/>
      <c r="S477" s="50"/>
      <c r="T477" s="50"/>
      <c r="U477" s="50"/>
      <c r="V477" s="50"/>
      <c r="W477" s="50"/>
      <c r="X477" s="50"/>
      <c r="Y477" s="50"/>
      <c r="Z477" s="50"/>
      <c r="AA477" s="50"/>
      <c r="AB477" s="50"/>
    </row>
    <row r="478" customFormat="false" ht="15.75" hidden="false" customHeight="false" outlineLevel="0" collapsed="false">
      <c r="A478" s="50"/>
      <c r="B478" s="50"/>
      <c r="C478" s="5"/>
      <c r="D478" s="48"/>
      <c r="E478" s="50"/>
      <c r="F478" s="5"/>
      <c r="G478" s="5"/>
      <c r="H478" s="5"/>
      <c r="I478" s="5"/>
      <c r="J478" s="5"/>
      <c r="K478" s="50"/>
      <c r="L478" s="50"/>
      <c r="M478" s="50"/>
      <c r="N478" s="50"/>
      <c r="O478" s="50"/>
      <c r="P478" s="50"/>
      <c r="Q478" s="50"/>
      <c r="R478" s="50"/>
      <c r="S478" s="50"/>
      <c r="T478" s="50"/>
      <c r="U478" s="50"/>
      <c r="V478" s="50"/>
      <c r="W478" s="50"/>
      <c r="X478" s="50"/>
      <c r="Y478" s="50"/>
      <c r="Z478" s="50"/>
      <c r="AA478" s="50"/>
      <c r="AB478" s="50"/>
    </row>
    <row r="479" customFormat="false" ht="15.75" hidden="false" customHeight="false" outlineLevel="0" collapsed="false">
      <c r="A479" s="50"/>
      <c r="B479" s="50"/>
      <c r="C479" s="5"/>
      <c r="D479" s="48"/>
      <c r="E479" s="50"/>
      <c r="F479" s="5"/>
      <c r="G479" s="5"/>
      <c r="H479" s="5"/>
      <c r="I479" s="5"/>
      <c r="J479" s="5"/>
      <c r="K479" s="50"/>
      <c r="L479" s="50"/>
      <c r="M479" s="50"/>
      <c r="N479" s="50"/>
      <c r="O479" s="50"/>
      <c r="P479" s="50"/>
      <c r="Q479" s="50"/>
      <c r="R479" s="50"/>
      <c r="S479" s="50"/>
      <c r="T479" s="50"/>
      <c r="U479" s="50"/>
      <c r="V479" s="50"/>
      <c r="W479" s="50"/>
      <c r="X479" s="50"/>
      <c r="Y479" s="50"/>
      <c r="Z479" s="50"/>
      <c r="AA479" s="50"/>
      <c r="AB479" s="50"/>
    </row>
    <row r="480" customFormat="false" ht="15.75" hidden="false" customHeight="false" outlineLevel="0" collapsed="false">
      <c r="A480" s="50"/>
      <c r="B480" s="50"/>
      <c r="C480" s="5"/>
      <c r="D480" s="48"/>
      <c r="E480" s="50"/>
      <c r="F480" s="5"/>
      <c r="G480" s="5"/>
      <c r="H480" s="5"/>
      <c r="I480" s="5"/>
      <c r="J480" s="5"/>
      <c r="K480" s="50"/>
      <c r="L480" s="50"/>
      <c r="M480" s="50"/>
      <c r="N480" s="50"/>
      <c r="O480" s="50"/>
      <c r="P480" s="50"/>
      <c r="Q480" s="50"/>
      <c r="R480" s="50"/>
      <c r="S480" s="50"/>
      <c r="T480" s="50"/>
      <c r="U480" s="50"/>
      <c r="V480" s="50"/>
      <c r="W480" s="50"/>
      <c r="X480" s="50"/>
      <c r="Y480" s="50"/>
      <c r="Z480" s="50"/>
      <c r="AA480" s="50"/>
      <c r="AB480" s="50"/>
    </row>
    <row r="481" customFormat="false" ht="15.75" hidden="false" customHeight="false" outlineLevel="0" collapsed="false">
      <c r="A481" s="50"/>
      <c r="B481" s="50"/>
      <c r="C481" s="5"/>
      <c r="D481" s="48"/>
      <c r="E481" s="50"/>
      <c r="F481" s="5"/>
      <c r="G481" s="5"/>
      <c r="H481" s="5"/>
      <c r="I481" s="5"/>
      <c r="J481" s="5"/>
      <c r="K481" s="50"/>
      <c r="L481" s="50"/>
      <c r="M481" s="50"/>
      <c r="N481" s="50"/>
      <c r="O481" s="50"/>
      <c r="P481" s="50"/>
      <c r="Q481" s="50"/>
      <c r="R481" s="50"/>
      <c r="S481" s="50"/>
      <c r="T481" s="50"/>
      <c r="U481" s="50"/>
      <c r="V481" s="50"/>
      <c r="W481" s="50"/>
      <c r="X481" s="50"/>
      <c r="Y481" s="50"/>
      <c r="Z481" s="50"/>
      <c r="AA481" s="50"/>
      <c r="AB481" s="50"/>
    </row>
    <row r="482" customFormat="false" ht="15.75" hidden="false" customHeight="false" outlineLevel="0" collapsed="false">
      <c r="A482" s="50"/>
      <c r="B482" s="50"/>
      <c r="C482" s="5"/>
      <c r="D482" s="48"/>
      <c r="E482" s="50"/>
      <c r="F482" s="5"/>
      <c r="G482" s="5"/>
      <c r="H482" s="5"/>
      <c r="I482" s="5"/>
      <c r="J482" s="5"/>
      <c r="K482" s="50"/>
      <c r="L482" s="50"/>
      <c r="M482" s="50"/>
      <c r="N482" s="50"/>
      <c r="O482" s="50"/>
      <c r="P482" s="50"/>
      <c r="Q482" s="50"/>
      <c r="R482" s="50"/>
      <c r="S482" s="50"/>
      <c r="T482" s="50"/>
      <c r="U482" s="50"/>
      <c r="V482" s="50"/>
      <c r="W482" s="50"/>
      <c r="X482" s="50"/>
      <c r="Y482" s="50"/>
      <c r="Z482" s="50"/>
      <c r="AA482" s="50"/>
      <c r="AB482" s="50"/>
    </row>
    <row r="483" customFormat="false" ht="15.75" hidden="false" customHeight="false" outlineLevel="0" collapsed="false">
      <c r="A483" s="50"/>
      <c r="B483" s="50"/>
      <c r="C483" s="5"/>
      <c r="D483" s="48"/>
      <c r="E483" s="50"/>
      <c r="F483" s="5"/>
      <c r="G483" s="5"/>
      <c r="H483" s="5"/>
      <c r="I483" s="5"/>
      <c r="J483" s="5"/>
      <c r="K483" s="50"/>
      <c r="L483" s="50"/>
      <c r="M483" s="50"/>
      <c r="N483" s="50"/>
      <c r="O483" s="50"/>
      <c r="P483" s="50"/>
      <c r="Q483" s="50"/>
      <c r="R483" s="50"/>
      <c r="S483" s="50"/>
      <c r="T483" s="50"/>
      <c r="U483" s="50"/>
      <c r="V483" s="50"/>
      <c r="W483" s="50"/>
      <c r="X483" s="50"/>
      <c r="Y483" s="50"/>
      <c r="Z483" s="50"/>
      <c r="AA483" s="50"/>
      <c r="AB483" s="50"/>
    </row>
    <row r="484" customFormat="false" ht="15.75" hidden="false" customHeight="false" outlineLevel="0" collapsed="false">
      <c r="A484" s="50"/>
      <c r="B484" s="50"/>
      <c r="C484" s="5"/>
      <c r="D484" s="48"/>
      <c r="E484" s="50"/>
      <c r="F484" s="5"/>
      <c r="G484" s="5"/>
      <c r="H484" s="5"/>
      <c r="I484" s="5"/>
      <c r="J484" s="5"/>
      <c r="K484" s="50"/>
      <c r="L484" s="50"/>
      <c r="M484" s="50"/>
      <c r="N484" s="50"/>
      <c r="O484" s="50"/>
      <c r="P484" s="50"/>
      <c r="Q484" s="50"/>
      <c r="R484" s="50"/>
      <c r="S484" s="50"/>
      <c r="T484" s="50"/>
      <c r="U484" s="50"/>
      <c r="V484" s="50"/>
      <c r="W484" s="50"/>
      <c r="X484" s="50"/>
      <c r="Y484" s="50"/>
      <c r="Z484" s="50"/>
      <c r="AA484" s="50"/>
      <c r="AB484" s="50"/>
    </row>
    <row r="485" customFormat="false" ht="15.75" hidden="false" customHeight="false" outlineLevel="0" collapsed="false">
      <c r="A485" s="50"/>
      <c r="B485" s="50"/>
      <c r="C485" s="5"/>
      <c r="D485" s="48"/>
      <c r="E485" s="50"/>
      <c r="F485" s="5"/>
      <c r="G485" s="5"/>
      <c r="H485" s="5"/>
      <c r="I485" s="5"/>
      <c r="J485" s="5"/>
      <c r="K485" s="50"/>
      <c r="L485" s="50"/>
      <c r="M485" s="50"/>
      <c r="N485" s="50"/>
      <c r="O485" s="50"/>
      <c r="P485" s="50"/>
      <c r="Q485" s="50"/>
      <c r="R485" s="50"/>
      <c r="S485" s="50"/>
      <c r="T485" s="50"/>
      <c r="U485" s="50"/>
      <c r="V485" s="50"/>
      <c r="W485" s="50"/>
      <c r="X485" s="50"/>
      <c r="Y485" s="50"/>
      <c r="Z485" s="50"/>
      <c r="AA485" s="50"/>
      <c r="AB485" s="50"/>
    </row>
    <row r="486" customFormat="false" ht="15.75" hidden="false" customHeight="false" outlineLevel="0" collapsed="false">
      <c r="A486" s="50"/>
      <c r="B486" s="50"/>
      <c r="C486" s="5"/>
      <c r="D486" s="48"/>
      <c r="E486" s="50"/>
      <c r="F486" s="5"/>
      <c r="G486" s="5"/>
      <c r="H486" s="5"/>
      <c r="I486" s="5"/>
      <c r="J486" s="5"/>
      <c r="K486" s="50"/>
      <c r="L486" s="50"/>
      <c r="M486" s="50"/>
      <c r="N486" s="50"/>
      <c r="O486" s="50"/>
      <c r="P486" s="50"/>
      <c r="Q486" s="50"/>
      <c r="R486" s="50"/>
      <c r="S486" s="50"/>
      <c r="T486" s="50"/>
      <c r="U486" s="50"/>
      <c r="V486" s="50"/>
      <c r="W486" s="50"/>
      <c r="X486" s="50"/>
      <c r="Y486" s="50"/>
      <c r="Z486" s="50"/>
      <c r="AA486" s="50"/>
      <c r="AB486" s="50"/>
    </row>
    <row r="487" customFormat="false" ht="15.75" hidden="false" customHeight="false" outlineLevel="0" collapsed="false">
      <c r="A487" s="50"/>
      <c r="B487" s="50"/>
      <c r="C487" s="5"/>
      <c r="D487" s="48"/>
      <c r="E487" s="50"/>
      <c r="F487" s="5"/>
      <c r="G487" s="5"/>
      <c r="H487" s="5"/>
      <c r="I487" s="5"/>
      <c r="J487" s="5"/>
      <c r="K487" s="50"/>
      <c r="L487" s="50"/>
      <c r="M487" s="50"/>
      <c r="N487" s="50"/>
      <c r="O487" s="50"/>
      <c r="P487" s="50"/>
      <c r="Q487" s="50"/>
      <c r="R487" s="50"/>
      <c r="S487" s="50"/>
      <c r="T487" s="50"/>
      <c r="U487" s="50"/>
      <c r="V487" s="50"/>
      <c r="W487" s="50"/>
      <c r="X487" s="50"/>
      <c r="Y487" s="50"/>
      <c r="Z487" s="50"/>
      <c r="AA487" s="50"/>
      <c r="AB487" s="50"/>
    </row>
    <row r="488" customFormat="false" ht="15.75" hidden="false" customHeight="false" outlineLevel="0" collapsed="false">
      <c r="A488" s="50"/>
      <c r="B488" s="50"/>
      <c r="C488" s="5"/>
      <c r="D488" s="48"/>
      <c r="E488" s="50"/>
      <c r="F488" s="5"/>
      <c r="G488" s="5"/>
      <c r="H488" s="5"/>
      <c r="I488" s="5"/>
      <c r="J488" s="5"/>
      <c r="K488" s="50"/>
      <c r="L488" s="50"/>
      <c r="M488" s="50"/>
      <c r="N488" s="50"/>
      <c r="O488" s="50"/>
      <c r="P488" s="50"/>
      <c r="Q488" s="50"/>
      <c r="R488" s="50"/>
      <c r="S488" s="50"/>
      <c r="T488" s="50"/>
      <c r="U488" s="50"/>
      <c r="V488" s="50"/>
      <c r="W488" s="50"/>
      <c r="X488" s="50"/>
      <c r="Y488" s="50"/>
      <c r="Z488" s="50"/>
      <c r="AA488" s="50"/>
      <c r="AB488" s="50"/>
    </row>
    <row r="489" customFormat="false" ht="15.75" hidden="false" customHeight="false" outlineLevel="0" collapsed="false">
      <c r="A489" s="50"/>
      <c r="B489" s="50"/>
      <c r="C489" s="5"/>
      <c r="D489" s="48"/>
      <c r="E489" s="50"/>
      <c r="F489" s="5"/>
      <c r="G489" s="5"/>
      <c r="H489" s="5"/>
      <c r="I489" s="5"/>
      <c r="J489" s="5"/>
      <c r="K489" s="50"/>
      <c r="L489" s="50"/>
      <c r="M489" s="50"/>
      <c r="N489" s="50"/>
      <c r="O489" s="50"/>
      <c r="P489" s="50"/>
      <c r="Q489" s="50"/>
      <c r="R489" s="50"/>
      <c r="S489" s="50"/>
      <c r="T489" s="50"/>
      <c r="U489" s="50"/>
      <c r="V489" s="50"/>
      <c r="W489" s="50"/>
      <c r="X489" s="50"/>
      <c r="Y489" s="50"/>
      <c r="Z489" s="50"/>
      <c r="AA489" s="50"/>
      <c r="AB489" s="50"/>
    </row>
    <row r="490" customFormat="false" ht="15.75" hidden="false" customHeight="false" outlineLevel="0" collapsed="false">
      <c r="A490" s="50"/>
      <c r="B490" s="50"/>
      <c r="C490" s="5"/>
      <c r="D490" s="48"/>
      <c r="E490" s="50"/>
      <c r="F490" s="5"/>
      <c r="G490" s="5"/>
      <c r="H490" s="5"/>
      <c r="I490" s="5"/>
      <c r="J490" s="5"/>
      <c r="K490" s="50"/>
      <c r="L490" s="50"/>
      <c r="M490" s="50"/>
      <c r="N490" s="50"/>
      <c r="O490" s="50"/>
      <c r="P490" s="50"/>
      <c r="Q490" s="50"/>
      <c r="R490" s="50"/>
      <c r="S490" s="50"/>
      <c r="T490" s="50"/>
      <c r="U490" s="50"/>
      <c r="V490" s="50"/>
      <c r="W490" s="50"/>
      <c r="X490" s="50"/>
      <c r="Y490" s="50"/>
      <c r="Z490" s="50"/>
      <c r="AA490" s="50"/>
      <c r="AB490" s="50"/>
    </row>
    <row r="491" customFormat="false" ht="15.75" hidden="false" customHeight="false" outlineLevel="0" collapsed="false">
      <c r="A491" s="50"/>
      <c r="B491" s="50"/>
      <c r="C491" s="5"/>
      <c r="D491" s="48"/>
      <c r="E491" s="50"/>
      <c r="F491" s="5"/>
      <c r="G491" s="5"/>
      <c r="H491" s="5"/>
      <c r="I491" s="5"/>
      <c r="J491" s="5"/>
      <c r="K491" s="50"/>
      <c r="L491" s="50"/>
      <c r="M491" s="50"/>
      <c r="N491" s="50"/>
      <c r="O491" s="50"/>
      <c r="P491" s="50"/>
      <c r="Q491" s="50"/>
      <c r="R491" s="50"/>
      <c r="S491" s="50"/>
      <c r="T491" s="50"/>
      <c r="U491" s="50"/>
      <c r="V491" s="50"/>
      <c r="W491" s="50"/>
      <c r="X491" s="50"/>
      <c r="Y491" s="50"/>
      <c r="Z491" s="50"/>
      <c r="AA491" s="50"/>
      <c r="AB491" s="50"/>
    </row>
    <row r="492" customFormat="false" ht="15.75" hidden="false" customHeight="false" outlineLevel="0" collapsed="false">
      <c r="A492" s="50"/>
      <c r="B492" s="50"/>
      <c r="C492" s="5"/>
      <c r="D492" s="48"/>
      <c r="E492" s="50"/>
      <c r="F492" s="5"/>
      <c r="G492" s="5"/>
      <c r="H492" s="5"/>
      <c r="I492" s="5"/>
      <c r="J492" s="5"/>
      <c r="K492" s="50"/>
      <c r="L492" s="50"/>
      <c r="M492" s="50"/>
      <c r="N492" s="50"/>
      <c r="O492" s="50"/>
      <c r="P492" s="50"/>
      <c r="Q492" s="50"/>
      <c r="R492" s="50"/>
      <c r="S492" s="50"/>
      <c r="T492" s="50"/>
      <c r="U492" s="50"/>
      <c r="V492" s="50"/>
      <c r="W492" s="50"/>
      <c r="X492" s="50"/>
      <c r="Y492" s="50"/>
      <c r="Z492" s="50"/>
      <c r="AA492" s="50"/>
      <c r="AB492" s="50"/>
    </row>
    <row r="493" customFormat="false" ht="15.75" hidden="false" customHeight="false" outlineLevel="0" collapsed="false">
      <c r="A493" s="50"/>
      <c r="B493" s="50"/>
      <c r="C493" s="5"/>
      <c r="D493" s="48"/>
      <c r="E493" s="50"/>
      <c r="F493" s="5"/>
      <c r="G493" s="5"/>
      <c r="H493" s="5"/>
      <c r="I493" s="5"/>
      <c r="J493" s="5"/>
      <c r="K493" s="50"/>
      <c r="L493" s="50"/>
      <c r="M493" s="50"/>
      <c r="N493" s="50"/>
      <c r="O493" s="50"/>
      <c r="P493" s="50"/>
      <c r="Q493" s="50"/>
      <c r="R493" s="50"/>
      <c r="S493" s="50"/>
      <c r="T493" s="50"/>
      <c r="U493" s="50"/>
      <c r="V493" s="50"/>
      <c r="W493" s="50"/>
      <c r="X493" s="50"/>
      <c r="Y493" s="50"/>
      <c r="Z493" s="50"/>
      <c r="AA493" s="50"/>
      <c r="AB493" s="50"/>
    </row>
    <row r="494" customFormat="false" ht="15.75" hidden="false" customHeight="false" outlineLevel="0" collapsed="false">
      <c r="A494" s="50"/>
      <c r="B494" s="50"/>
      <c r="C494" s="5"/>
      <c r="D494" s="48"/>
      <c r="E494" s="50"/>
      <c r="F494" s="5"/>
      <c r="G494" s="5"/>
      <c r="H494" s="5"/>
      <c r="I494" s="5"/>
      <c r="J494" s="5"/>
      <c r="K494" s="50"/>
      <c r="L494" s="50"/>
      <c r="M494" s="50"/>
      <c r="N494" s="50"/>
      <c r="O494" s="50"/>
      <c r="P494" s="50"/>
      <c r="Q494" s="50"/>
      <c r="R494" s="50"/>
      <c r="S494" s="50"/>
      <c r="T494" s="50"/>
      <c r="U494" s="50"/>
      <c r="V494" s="50"/>
      <c r="W494" s="50"/>
      <c r="X494" s="50"/>
      <c r="Y494" s="50"/>
      <c r="Z494" s="50"/>
      <c r="AA494" s="50"/>
      <c r="AB494" s="50"/>
    </row>
    <row r="495" customFormat="false" ht="15.75" hidden="false" customHeight="false" outlineLevel="0" collapsed="false">
      <c r="A495" s="50"/>
      <c r="B495" s="50"/>
      <c r="C495" s="5"/>
      <c r="D495" s="48"/>
      <c r="E495" s="50"/>
      <c r="F495" s="5"/>
      <c r="G495" s="5"/>
      <c r="H495" s="5"/>
      <c r="I495" s="5"/>
      <c r="J495" s="5"/>
      <c r="K495" s="50"/>
      <c r="L495" s="50"/>
      <c r="M495" s="50"/>
      <c r="N495" s="50"/>
      <c r="O495" s="50"/>
      <c r="P495" s="50"/>
      <c r="Q495" s="50"/>
      <c r="R495" s="50"/>
      <c r="S495" s="50"/>
      <c r="T495" s="50"/>
      <c r="U495" s="50"/>
      <c r="V495" s="50"/>
      <c r="W495" s="50"/>
      <c r="X495" s="50"/>
      <c r="Y495" s="50"/>
      <c r="Z495" s="50"/>
      <c r="AA495" s="50"/>
      <c r="AB495" s="50"/>
    </row>
    <row r="496" customFormat="false" ht="15.75" hidden="false" customHeight="false" outlineLevel="0" collapsed="false">
      <c r="A496" s="50"/>
      <c r="B496" s="50"/>
      <c r="C496" s="5"/>
      <c r="D496" s="48"/>
      <c r="E496" s="50"/>
      <c r="F496" s="5"/>
      <c r="G496" s="5"/>
      <c r="H496" s="5"/>
      <c r="I496" s="5"/>
      <c r="J496" s="5"/>
      <c r="K496" s="50"/>
      <c r="L496" s="50"/>
      <c r="M496" s="50"/>
      <c r="N496" s="50"/>
      <c r="O496" s="50"/>
      <c r="P496" s="50"/>
      <c r="Q496" s="50"/>
      <c r="R496" s="50"/>
      <c r="S496" s="50"/>
      <c r="T496" s="50"/>
      <c r="U496" s="50"/>
      <c r="V496" s="50"/>
      <c r="W496" s="50"/>
      <c r="X496" s="50"/>
      <c r="Y496" s="50"/>
      <c r="Z496" s="50"/>
      <c r="AA496" s="50"/>
      <c r="AB496" s="50"/>
    </row>
    <row r="497" customFormat="false" ht="15.75" hidden="false" customHeight="false" outlineLevel="0" collapsed="false">
      <c r="A497" s="50"/>
      <c r="B497" s="50"/>
      <c r="C497" s="5"/>
      <c r="D497" s="48"/>
      <c r="E497" s="50"/>
      <c r="F497" s="5"/>
      <c r="G497" s="5"/>
      <c r="H497" s="5"/>
      <c r="I497" s="5"/>
      <c r="J497" s="5"/>
      <c r="K497" s="50"/>
      <c r="L497" s="50"/>
      <c r="M497" s="50"/>
      <c r="N497" s="50"/>
      <c r="O497" s="50"/>
      <c r="P497" s="50"/>
      <c r="Q497" s="50"/>
      <c r="R497" s="50"/>
      <c r="S497" s="50"/>
      <c r="T497" s="50"/>
      <c r="U497" s="50"/>
      <c r="V497" s="50"/>
      <c r="W497" s="50"/>
      <c r="X497" s="50"/>
      <c r="Y497" s="50"/>
      <c r="Z497" s="50"/>
      <c r="AA497" s="50"/>
      <c r="AB497" s="50"/>
    </row>
    <row r="498" customFormat="false" ht="15.75" hidden="false" customHeight="false" outlineLevel="0" collapsed="false">
      <c r="A498" s="50"/>
      <c r="B498" s="50"/>
      <c r="C498" s="5"/>
      <c r="D498" s="48"/>
      <c r="E498" s="50"/>
      <c r="F498" s="5"/>
      <c r="G498" s="5"/>
      <c r="H498" s="5"/>
      <c r="I498" s="5"/>
      <c r="J498" s="5"/>
      <c r="K498" s="50"/>
      <c r="L498" s="50"/>
      <c r="M498" s="50"/>
      <c r="N498" s="50"/>
      <c r="O498" s="50"/>
      <c r="P498" s="50"/>
      <c r="Q498" s="50"/>
      <c r="R498" s="50"/>
      <c r="S498" s="50"/>
      <c r="T498" s="50"/>
      <c r="U498" s="50"/>
      <c r="V498" s="50"/>
      <c r="W498" s="50"/>
      <c r="X498" s="50"/>
      <c r="Y498" s="50"/>
      <c r="Z498" s="50"/>
      <c r="AA498" s="50"/>
      <c r="AB498" s="50"/>
    </row>
    <row r="499" customFormat="false" ht="15.75" hidden="false" customHeight="false" outlineLevel="0" collapsed="false">
      <c r="A499" s="50"/>
      <c r="B499" s="50"/>
      <c r="C499" s="5"/>
      <c r="D499" s="48"/>
      <c r="E499" s="50"/>
      <c r="F499" s="5"/>
      <c r="G499" s="5"/>
      <c r="H499" s="5"/>
      <c r="I499" s="5"/>
      <c r="J499" s="5"/>
      <c r="K499" s="50"/>
      <c r="L499" s="50"/>
      <c r="M499" s="50"/>
      <c r="N499" s="50"/>
      <c r="O499" s="50"/>
      <c r="P499" s="50"/>
      <c r="Q499" s="50"/>
      <c r="R499" s="50"/>
      <c r="S499" s="50"/>
      <c r="T499" s="50"/>
      <c r="U499" s="50"/>
      <c r="V499" s="50"/>
      <c r="W499" s="50"/>
      <c r="X499" s="50"/>
      <c r="Y499" s="50"/>
      <c r="Z499" s="50"/>
      <c r="AA499" s="50"/>
      <c r="AB499" s="50"/>
    </row>
    <row r="500" customFormat="false" ht="15.75" hidden="false" customHeight="false" outlineLevel="0" collapsed="false">
      <c r="A500" s="50"/>
      <c r="B500" s="50"/>
      <c r="C500" s="5"/>
      <c r="D500" s="48"/>
      <c r="E500" s="50"/>
      <c r="F500" s="5"/>
      <c r="G500" s="5"/>
      <c r="H500" s="5"/>
      <c r="I500" s="5"/>
      <c r="J500" s="5"/>
      <c r="K500" s="50"/>
      <c r="L500" s="50"/>
      <c r="M500" s="50"/>
      <c r="N500" s="50"/>
      <c r="O500" s="50"/>
      <c r="P500" s="50"/>
      <c r="Q500" s="50"/>
      <c r="R500" s="50"/>
      <c r="S500" s="50"/>
      <c r="T500" s="50"/>
      <c r="U500" s="50"/>
      <c r="V500" s="50"/>
      <c r="W500" s="50"/>
      <c r="X500" s="50"/>
      <c r="Y500" s="50"/>
      <c r="Z500" s="50"/>
      <c r="AA500" s="50"/>
      <c r="AB500" s="50"/>
    </row>
    <row r="501" customFormat="false" ht="15.75" hidden="false" customHeight="false" outlineLevel="0" collapsed="false">
      <c r="A501" s="50"/>
      <c r="B501" s="50"/>
      <c r="C501" s="5"/>
      <c r="D501" s="48"/>
      <c r="E501" s="50"/>
      <c r="F501" s="5"/>
      <c r="G501" s="5"/>
      <c r="H501" s="5"/>
      <c r="I501" s="5"/>
      <c r="J501" s="5"/>
      <c r="K501" s="50"/>
      <c r="L501" s="50"/>
      <c r="M501" s="50"/>
      <c r="N501" s="50"/>
      <c r="O501" s="50"/>
      <c r="P501" s="50"/>
      <c r="Q501" s="50"/>
      <c r="R501" s="50"/>
      <c r="S501" s="50"/>
      <c r="T501" s="50"/>
      <c r="U501" s="50"/>
      <c r="V501" s="50"/>
      <c r="W501" s="50"/>
      <c r="X501" s="50"/>
      <c r="Y501" s="50"/>
      <c r="Z501" s="50"/>
      <c r="AA501" s="50"/>
      <c r="AB501" s="50"/>
    </row>
    <row r="502" customFormat="false" ht="15.75" hidden="false" customHeight="false" outlineLevel="0" collapsed="false">
      <c r="A502" s="50"/>
      <c r="B502" s="50"/>
      <c r="C502" s="5"/>
      <c r="D502" s="48"/>
      <c r="E502" s="50"/>
      <c r="F502" s="5"/>
      <c r="G502" s="5"/>
      <c r="H502" s="5"/>
      <c r="I502" s="5"/>
      <c r="J502" s="5"/>
      <c r="K502" s="50"/>
      <c r="L502" s="50"/>
      <c r="M502" s="50"/>
      <c r="N502" s="50"/>
      <c r="O502" s="50"/>
      <c r="P502" s="50"/>
      <c r="Q502" s="50"/>
      <c r="R502" s="50"/>
      <c r="S502" s="50"/>
      <c r="T502" s="50"/>
      <c r="U502" s="50"/>
      <c r="V502" s="50"/>
      <c r="W502" s="50"/>
      <c r="X502" s="50"/>
      <c r="Y502" s="50"/>
      <c r="Z502" s="50"/>
      <c r="AA502" s="50"/>
      <c r="AB502" s="50"/>
    </row>
    <row r="503" customFormat="false" ht="15.75" hidden="false" customHeight="false" outlineLevel="0" collapsed="false">
      <c r="A503" s="50"/>
      <c r="B503" s="50"/>
      <c r="C503" s="5"/>
      <c r="D503" s="48"/>
      <c r="E503" s="50"/>
      <c r="F503" s="5"/>
      <c r="G503" s="5"/>
      <c r="H503" s="5"/>
      <c r="I503" s="5"/>
      <c r="J503" s="5"/>
      <c r="K503" s="50"/>
      <c r="L503" s="50"/>
      <c r="M503" s="50"/>
      <c r="N503" s="50"/>
      <c r="O503" s="50"/>
      <c r="P503" s="50"/>
      <c r="Q503" s="50"/>
      <c r="R503" s="50"/>
      <c r="S503" s="50"/>
      <c r="T503" s="50"/>
      <c r="U503" s="50"/>
      <c r="V503" s="50"/>
      <c r="W503" s="50"/>
      <c r="X503" s="50"/>
      <c r="Y503" s="50"/>
      <c r="Z503" s="50"/>
      <c r="AA503" s="50"/>
      <c r="AB503" s="50"/>
    </row>
    <row r="504" customFormat="false" ht="15.75" hidden="false" customHeight="false" outlineLevel="0" collapsed="false">
      <c r="A504" s="50"/>
      <c r="B504" s="50"/>
      <c r="C504" s="5"/>
      <c r="D504" s="48"/>
      <c r="E504" s="50"/>
      <c r="F504" s="5"/>
      <c r="G504" s="5"/>
      <c r="H504" s="5"/>
      <c r="I504" s="5"/>
      <c r="J504" s="5"/>
      <c r="K504" s="50"/>
      <c r="L504" s="50"/>
      <c r="M504" s="50"/>
      <c r="N504" s="50"/>
      <c r="O504" s="50"/>
      <c r="P504" s="50"/>
      <c r="Q504" s="50"/>
      <c r="R504" s="50"/>
      <c r="S504" s="50"/>
      <c r="T504" s="50"/>
      <c r="U504" s="50"/>
      <c r="V504" s="50"/>
      <c r="W504" s="50"/>
      <c r="X504" s="50"/>
      <c r="Y504" s="50"/>
      <c r="Z504" s="50"/>
      <c r="AA504" s="50"/>
      <c r="AB504" s="50"/>
    </row>
    <row r="505" customFormat="false" ht="15.75" hidden="false" customHeight="false" outlineLevel="0" collapsed="false">
      <c r="A505" s="50"/>
      <c r="B505" s="50"/>
      <c r="C505" s="5"/>
      <c r="D505" s="48"/>
      <c r="E505" s="50"/>
      <c r="F505" s="5"/>
      <c r="G505" s="5"/>
      <c r="H505" s="5"/>
      <c r="I505" s="5"/>
      <c r="J505" s="5"/>
      <c r="K505" s="50"/>
      <c r="L505" s="50"/>
      <c r="M505" s="50"/>
      <c r="N505" s="50"/>
      <c r="O505" s="50"/>
      <c r="P505" s="50"/>
      <c r="Q505" s="50"/>
      <c r="R505" s="50"/>
      <c r="S505" s="50"/>
      <c r="T505" s="50"/>
      <c r="U505" s="50"/>
      <c r="V505" s="50"/>
      <c r="W505" s="50"/>
      <c r="X505" s="50"/>
      <c r="Y505" s="50"/>
      <c r="Z505" s="50"/>
      <c r="AA505" s="50"/>
      <c r="AB505" s="50"/>
    </row>
    <row r="506" customFormat="false" ht="15.75" hidden="false" customHeight="false" outlineLevel="0" collapsed="false">
      <c r="A506" s="50"/>
      <c r="B506" s="50"/>
      <c r="C506" s="5"/>
      <c r="D506" s="48"/>
      <c r="E506" s="50"/>
      <c r="F506" s="5"/>
      <c r="G506" s="5"/>
      <c r="H506" s="5"/>
      <c r="I506" s="5"/>
      <c r="J506" s="5"/>
      <c r="K506" s="50"/>
      <c r="L506" s="50"/>
      <c r="M506" s="50"/>
      <c r="N506" s="50"/>
      <c r="O506" s="50"/>
      <c r="P506" s="50"/>
      <c r="Q506" s="50"/>
      <c r="R506" s="50"/>
      <c r="S506" s="50"/>
      <c r="T506" s="50"/>
      <c r="U506" s="50"/>
      <c r="V506" s="50"/>
      <c r="W506" s="50"/>
      <c r="X506" s="50"/>
      <c r="Y506" s="50"/>
      <c r="Z506" s="50"/>
      <c r="AA506" s="50"/>
      <c r="AB506" s="50"/>
    </row>
    <row r="507" customFormat="false" ht="15.75" hidden="false" customHeight="false" outlineLevel="0" collapsed="false">
      <c r="A507" s="50"/>
      <c r="B507" s="50"/>
      <c r="C507" s="5"/>
      <c r="D507" s="48"/>
      <c r="E507" s="50"/>
      <c r="F507" s="5"/>
      <c r="G507" s="5"/>
      <c r="H507" s="5"/>
      <c r="I507" s="5"/>
      <c r="J507" s="5"/>
      <c r="K507" s="50"/>
      <c r="L507" s="50"/>
      <c r="M507" s="50"/>
      <c r="N507" s="50"/>
      <c r="O507" s="50"/>
      <c r="P507" s="50"/>
      <c r="Q507" s="50"/>
      <c r="R507" s="50"/>
      <c r="S507" s="50"/>
      <c r="T507" s="50"/>
      <c r="U507" s="50"/>
      <c r="V507" s="50"/>
      <c r="W507" s="50"/>
      <c r="X507" s="50"/>
      <c r="Y507" s="50"/>
      <c r="Z507" s="50"/>
      <c r="AA507" s="50"/>
      <c r="AB507" s="50"/>
    </row>
    <row r="508" customFormat="false" ht="15.75" hidden="false" customHeight="false" outlineLevel="0" collapsed="false">
      <c r="A508" s="50"/>
      <c r="B508" s="50"/>
      <c r="C508" s="5"/>
      <c r="D508" s="48"/>
      <c r="E508" s="50"/>
      <c r="F508" s="5"/>
      <c r="G508" s="5"/>
      <c r="H508" s="5"/>
      <c r="I508" s="5"/>
      <c r="J508" s="5"/>
      <c r="K508" s="50"/>
      <c r="L508" s="50"/>
      <c r="M508" s="50"/>
      <c r="N508" s="50"/>
      <c r="O508" s="50"/>
      <c r="P508" s="50"/>
      <c r="Q508" s="50"/>
      <c r="R508" s="50"/>
      <c r="S508" s="50"/>
      <c r="T508" s="50"/>
      <c r="U508" s="50"/>
      <c r="V508" s="50"/>
      <c r="W508" s="50"/>
      <c r="X508" s="50"/>
      <c r="Y508" s="50"/>
      <c r="Z508" s="50"/>
      <c r="AA508" s="50"/>
      <c r="AB508" s="50"/>
    </row>
    <row r="509" customFormat="false" ht="15.75" hidden="false" customHeight="false" outlineLevel="0" collapsed="false">
      <c r="A509" s="50"/>
      <c r="B509" s="50"/>
      <c r="C509" s="5"/>
      <c r="D509" s="48"/>
      <c r="E509" s="50"/>
      <c r="F509" s="5"/>
      <c r="G509" s="5"/>
      <c r="H509" s="5"/>
      <c r="I509" s="5"/>
      <c r="J509" s="5"/>
      <c r="K509" s="50"/>
      <c r="L509" s="50"/>
      <c r="M509" s="50"/>
      <c r="N509" s="50"/>
      <c r="O509" s="50"/>
      <c r="P509" s="50"/>
      <c r="Q509" s="50"/>
      <c r="R509" s="50"/>
      <c r="S509" s="50"/>
      <c r="T509" s="50"/>
      <c r="U509" s="50"/>
      <c r="V509" s="50"/>
      <c r="W509" s="50"/>
      <c r="X509" s="50"/>
      <c r="Y509" s="50"/>
      <c r="Z509" s="50"/>
      <c r="AA509" s="50"/>
      <c r="AB509" s="50"/>
    </row>
    <row r="510" customFormat="false" ht="15.75" hidden="false" customHeight="false" outlineLevel="0" collapsed="false">
      <c r="A510" s="50"/>
      <c r="B510" s="50"/>
      <c r="C510" s="5"/>
      <c r="D510" s="48"/>
      <c r="E510" s="50"/>
      <c r="F510" s="5"/>
      <c r="G510" s="5"/>
      <c r="H510" s="5"/>
      <c r="I510" s="5"/>
      <c r="J510" s="5"/>
      <c r="K510" s="50"/>
      <c r="L510" s="50"/>
      <c r="M510" s="50"/>
      <c r="N510" s="50"/>
      <c r="O510" s="50"/>
      <c r="P510" s="50"/>
      <c r="Q510" s="50"/>
      <c r="R510" s="50"/>
      <c r="S510" s="50"/>
      <c r="T510" s="50"/>
      <c r="U510" s="50"/>
      <c r="V510" s="50"/>
      <c r="W510" s="50"/>
      <c r="X510" s="50"/>
      <c r="Y510" s="50"/>
      <c r="Z510" s="50"/>
      <c r="AA510" s="50"/>
      <c r="AB510" s="50"/>
    </row>
    <row r="511" customFormat="false" ht="15.75" hidden="false" customHeight="false" outlineLevel="0" collapsed="false">
      <c r="A511" s="50"/>
      <c r="B511" s="50"/>
      <c r="C511" s="5"/>
      <c r="D511" s="48"/>
      <c r="E511" s="50"/>
      <c r="F511" s="5"/>
      <c r="G511" s="5"/>
      <c r="H511" s="5"/>
      <c r="I511" s="5"/>
      <c r="J511" s="5"/>
      <c r="K511" s="50"/>
      <c r="L511" s="50"/>
      <c r="M511" s="50"/>
      <c r="N511" s="50"/>
      <c r="O511" s="50"/>
      <c r="P511" s="50"/>
      <c r="Q511" s="50"/>
      <c r="R511" s="50"/>
      <c r="S511" s="50"/>
      <c r="T511" s="50"/>
      <c r="U511" s="50"/>
      <c r="V511" s="50"/>
      <c r="W511" s="50"/>
      <c r="X511" s="50"/>
      <c r="Y511" s="50"/>
      <c r="Z511" s="50"/>
      <c r="AA511" s="50"/>
      <c r="AB511" s="50"/>
    </row>
    <row r="512" customFormat="false" ht="15.75" hidden="false" customHeight="false" outlineLevel="0" collapsed="false">
      <c r="A512" s="50"/>
      <c r="B512" s="50"/>
      <c r="C512" s="5"/>
      <c r="D512" s="48"/>
      <c r="E512" s="50"/>
      <c r="F512" s="5"/>
      <c r="G512" s="5"/>
      <c r="H512" s="5"/>
      <c r="I512" s="5"/>
      <c r="J512" s="5"/>
      <c r="K512" s="50"/>
      <c r="L512" s="50"/>
      <c r="M512" s="50"/>
      <c r="N512" s="50"/>
      <c r="O512" s="50"/>
      <c r="P512" s="50"/>
      <c r="Q512" s="50"/>
      <c r="R512" s="50"/>
      <c r="S512" s="50"/>
      <c r="T512" s="50"/>
      <c r="U512" s="50"/>
      <c r="V512" s="50"/>
      <c r="W512" s="50"/>
      <c r="X512" s="50"/>
      <c r="Y512" s="50"/>
      <c r="Z512" s="50"/>
      <c r="AA512" s="50"/>
      <c r="AB512" s="50"/>
    </row>
    <row r="513" customFormat="false" ht="15.75" hidden="false" customHeight="false" outlineLevel="0" collapsed="false">
      <c r="A513" s="50"/>
      <c r="B513" s="50"/>
      <c r="C513" s="5"/>
      <c r="D513" s="48"/>
      <c r="E513" s="50"/>
      <c r="F513" s="5"/>
      <c r="G513" s="5"/>
      <c r="H513" s="5"/>
      <c r="I513" s="5"/>
      <c r="J513" s="5"/>
      <c r="K513" s="50"/>
      <c r="L513" s="50"/>
      <c r="M513" s="50"/>
      <c r="N513" s="50"/>
      <c r="O513" s="50"/>
      <c r="P513" s="50"/>
      <c r="Q513" s="50"/>
      <c r="R513" s="50"/>
      <c r="S513" s="50"/>
      <c r="T513" s="50"/>
      <c r="U513" s="50"/>
      <c r="V513" s="50"/>
      <c r="W513" s="50"/>
      <c r="X513" s="50"/>
      <c r="Y513" s="50"/>
      <c r="Z513" s="50"/>
      <c r="AA513" s="50"/>
      <c r="AB513" s="50"/>
    </row>
    <row r="514" customFormat="false" ht="15.75" hidden="false" customHeight="false" outlineLevel="0" collapsed="false">
      <c r="A514" s="50"/>
      <c r="B514" s="50"/>
      <c r="C514" s="5"/>
      <c r="D514" s="48"/>
      <c r="E514" s="50"/>
      <c r="F514" s="5"/>
      <c r="G514" s="5"/>
      <c r="H514" s="5"/>
      <c r="I514" s="5"/>
      <c r="J514" s="5"/>
      <c r="K514" s="50"/>
      <c r="L514" s="50"/>
      <c r="M514" s="50"/>
      <c r="N514" s="50"/>
      <c r="O514" s="50"/>
      <c r="P514" s="50"/>
      <c r="Q514" s="50"/>
      <c r="R514" s="50"/>
      <c r="S514" s="50"/>
      <c r="T514" s="50"/>
      <c r="U514" s="50"/>
      <c r="V514" s="50"/>
      <c r="W514" s="50"/>
      <c r="X514" s="50"/>
      <c r="Y514" s="50"/>
      <c r="Z514" s="50"/>
      <c r="AA514" s="50"/>
      <c r="AB514" s="50"/>
    </row>
    <row r="515" customFormat="false" ht="15.75" hidden="false" customHeight="false" outlineLevel="0" collapsed="false">
      <c r="A515" s="50"/>
      <c r="B515" s="50"/>
      <c r="C515" s="5"/>
      <c r="D515" s="48"/>
      <c r="E515" s="50"/>
      <c r="F515" s="5"/>
      <c r="G515" s="5"/>
      <c r="H515" s="5"/>
      <c r="I515" s="5"/>
      <c r="J515" s="5"/>
      <c r="K515" s="50"/>
      <c r="L515" s="50"/>
      <c r="M515" s="50"/>
      <c r="N515" s="50"/>
      <c r="O515" s="50"/>
      <c r="P515" s="50"/>
      <c r="Q515" s="50"/>
      <c r="R515" s="50"/>
      <c r="S515" s="50"/>
      <c r="T515" s="50"/>
      <c r="U515" s="50"/>
      <c r="V515" s="50"/>
      <c r="W515" s="50"/>
      <c r="X515" s="50"/>
      <c r="Y515" s="50"/>
      <c r="Z515" s="50"/>
      <c r="AA515" s="50"/>
      <c r="AB515" s="50"/>
    </row>
    <row r="516" customFormat="false" ht="15.75" hidden="false" customHeight="false" outlineLevel="0" collapsed="false">
      <c r="A516" s="50"/>
      <c r="B516" s="50"/>
      <c r="C516" s="5"/>
      <c r="D516" s="48"/>
      <c r="E516" s="50"/>
      <c r="F516" s="5"/>
      <c r="G516" s="5"/>
      <c r="H516" s="5"/>
      <c r="I516" s="5"/>
      <c r="J516" s="5"/>
      <c r="K516" s="50"/>
      <c r="L516" s="50"/>
      <c r="M516" s="50"/>
      <c r="N516" s="50"/>
      <c r="O516" s="50"/>
      <c r="P516" s="50"/>
      <c r="Q516" s="50"/>
      <c r="R516" s="50"/>
      <c r="S516" s="50"/>
      <c r="T516" s="50"/>
      <c r="U516" s="50"/>
      <c r="V516" s="50"/>
      <c r="W516" s="50"/>
      <c r="X516" s="50"/>
      <c r="Y516" s="50"/>
      <c r="Z516" s="50"/>
      <c r="AA516" s="50"/>
      <c r="AB516" s="50"/>
    </row>
    <row r="517" customFormat="false" ht="15.75" hidden="false" customHeight="false" outlineLevel="0" collapsed="false">
      <c r="A517" s="50"/>
      <c r="B517" s="50"/>
      <c r="C517" s="5"/>
      <c r="D517" s="48"/>
      <c r="E517" s="50"/>
      <c r="F517" s="5"/>
      <c r="G517" s="5"/>
      <c r="H517" s="5"/>
      <c r="I517" s="5"/>
      <c r="J517" s="5"/>
      <c r="K517" s="50"/>
      <c r="L517" s="50"/>
      <c r="M517" s="50"/>
      <c r="N517" s="50"/>
      <c r="O517" s="50"/>
      <c r="P517" s="50"/>
      <c r="Q517" s="50"/>
      <c r="R517" s="50"/>
      <c r="S517" s="50"/>
      <c r="T517" s="50"/>
      <c r="U517" s="50"/>
      <c r="V517" s="50"/>
      <c r="W517" s="50"/>
      <c r="X517" s="50"/>
      <c r="Y517" s="50"/>
      <c r="Z517" s="50"/>
      <c r="AA517" s="50"/>
      <c r="AB517" s="50"/>
    </row>
    <row r="518" customFormat="false" ht="15.75" hidden="false" customHeight="false" outlineLevel="0" collapsed="false">
      <c r="A518" s="50"/>
      <c r="B518" s="50"/>
      <c r="C518" s="5"/>
      <c r="D518" s="48"/>
      <c r="E518" s="50"/>
      <c r="F518" s="5"/>
      <c r="G518" s="5"/>
      <c r="H518" s="5"/>
      <c r="I518" s="5"/>
      <c r="J518" s="5"/>
      <c r="K518" s="50"/>
      <c r="L518" s="50"/>
      <c r="M518" s="50"/>
      <c r="N518" s="50"/>
      <c r="O518" s="50"/>
      <c r="P518" s="50"/>
      <c r="Q518" s="50"/>
      <c r="R518" s="50"/>
      <c r="S518" s="50"/>
      <c r="T518" s="50"/>
      <c r="U518" s="50"/>
      <c r="V518" s="50"/>
      <c r="W518" s="50"/>
      <c r="X518" s="50"/>
      <c r="Y518" s="50"/>
      <c r="Z518" s="50"/>
      <c r="AA518" s="50"/>
      <c r="AB518" s="50"/>
    </row>
    <row r="519" customFormat="false" ht="15.75" hidden="false" customHeight="false" outlineLevel="0" collapsed="false">
      <c r="A519" s="50"/>
      <c r="B519" s="50"/>
      <c r="C519" s="5"/>
      <c r="D519" s="48"/>
      <c r="E519" s="50"/>
      <c r="F519" s="5"/>
      <c r="G519" s="5"/>
      <c r="H519" s="5"/>
      <c r="I519" s="5"/>
      <c r="J519" s="5"/>
      <c r="K519" s="50"/>
      <c r="L519" s="50"/>
      <c r="M519" s="50"/>
      <c r="N519" s="50"/>
      <c r="O519" s="50"/>
      <c r="P519" s="50"/>
      <c r="Q519" s="50"/>
      <c r="R519" s="50"/>
      <c r="S519" s="50"/>
      <c r="T519" s="50"/>
      <c r="U519" s="50"/>
      <c r="V519" s="50"/>
      <c r="W519" s="50"/>
      <c r="X519" s="50"/>
      <c r="Y519" s="50"/>
      <c r="Z519" s="50"/>
      <c r="AA519" s="50"/>
      <c r="AB519" s="50"/>
    </row>
    <row r="520" customFormat="false" ht="15.75" hidden="false" customHeight="false" outlineLevel="0" collapsed="false">
      <c r="A520" s="50"/>
      <c r="B520" s="50"/>
      <c r="C520" s="5"/>
      <c r="D520" s="48"/>
      <c r="E520" s="50"/>
      <c r="F520" s="5"/>
      <c r="G520" s="5"/>
      <c r="H520" s="5"/>
      <c r="I520" s="5"/>
      <c r="J520" s="5"/>
      <c r="K520" s="50"/>
      <c r="L520" s="50"/>
      <c r="M520" s="50"/>
      <c r="N520" s="50"/>
      <c r="O520" s="50"/>
      <c r="P520" s="50"/>
      <c r="Q520" s="50"/>
      <c r="R520" s="50"/>
      <c r="S520" s="50"/>
      <c r="T520" s="50"/>
      <c r="U520" s="50"/>
      <c r="V520" s="50"/>
      <c r="W520" s="50"/>
      <c r="X520" s="50"/>
      <c r="Y520" s="50"/>
      <c r="Z520" s="50"/>
      <c r="AA520" s="50"/>
      <c r="AB520" s="50"/>
    </row>
    <row r="521" customFormat="false" ht="15.75" hidden="false" customHeight="false" outlineLevel="0" collapsed="false">
      <c r="A521" s="50"/>
      <c r="B521" s="50"/>
      <c r="C521" s="5"/>
      <c r="D521" s="48"/>
      <c r="E521" s="50"/>
      <c r="F521" s="5"/>
      <c r="G521" s="5"/>
      <c r="H521" s="5"/>
      <c r="I521" s="5"/>
      <c r="J521" s="5"/>
      <c r="K521" s="50"/>
      <c r="L521" s="50"/>
      <c r="M521" s="50"/>
      <c r="N521" s="50"/>
      <c r="O521" s="50"/>
      <c r="P521" s="50"/>
      <c r="Q521" s="50"/>
      <c r="R521" s="50"/>
      <c r="S521" s="50"/>
      <c r="T521" s="50"/>
      <c r="U521" s="50"/>
      <c r="V521" s="50"/>
      <c r="W521" s="50"/>
      <c r="X521" s="50"/>
      <c r="Y521" s="50"/>
      <c r="Z521" s="50"/>
      <c r="AA521" s="50"/>
      <c r="AB521" s="50"/>
    </row>
    <row r="522" customFormat="false" ht="15.75" hidden="false" customHeight="false" outlineLevel="0" collapsed="false">
      <c r="A522" s="50"/>
      <c r="B522" s="50"/>
      <c r="C522" s="5"/>
      <c r="D522" s="48"/>
      <c r="E522" s="50"/>
      <c r="F522" s="5"/>
      <c r="G522" s="5"/>
      <c r="H522" s="5"/>
      <c r="I522" s="5"/>
      <c r="J522" s="5"/>
      <c r="K522" s="50"/>
      <c r="L522" s="50"/>
      <c r="M522" s="50"/>
      <c r="N522" s="50"/>
      <c r="O522" s="50"/>
      <c r="P522" s="50"/>
      <c r="Q522" s="50"/>
      <c r="R522" s="50"/>
      <c r="S522" s="50"/>
      <c r="T522" s="50"/>
      <c r="U522" s="50"/>
      <c r="V522" s="50"/>
      <c r="W522" s="50"/>
      <c r="X522" s="50"/>
      <c r="Y522" s="50"/>
      <c r="Z522" s="50"/>
      <c r="AA522" s="50"/>
      <c r="AB522" s="50"/>
    </row>
    <row r="523" customFormat="false" ht="15.75" hidden="false" customHeight="false" outlineLevel="0" collapsed="false">
      <c r="A523" s="50"/>
      <c r="B523" s="50"/>
      <c r="C523" s="5"/>
      <c r="D523" s="48"/>
      <c r="E523" s="50"/>
      <c r="F523" s="5"/>
      <c r="G523" s="5"/>
      <c r="H523" s="5"/>
      <c r="I523" s="5"/>
      <c r="J523" s="5"/>
      <c r="K523" s="50"/>
      <c r="L523" s="50"/>
      <c r="M523" s="50"/>
      <c r="N523" s="50"/>
      <c r="O523" s="50"/>
      <c r="P523" s="50"/>
      <c r="Q523" s="50"/>
      <c r="R523" s="50"/>
      <c r="S523" s="50"/>
      <c r="T523" s="50"/>
      <c r="U523" s="50"/>
      <c r="V523" s="50"/>
      <c r="W523" s="50"/>
      <c r="X523" s="50"/>
      <c r="Y523" s="50"/>
      <c r="Z523" s="50"/>
      <c r="AA523" s="50"/>
      <c r="AB523" s="50"/>
    </row>
    <row r="524" customFormat="false" ht="15.75" hidden="false" customHeight="false" outlineLevel="0" collapsed="false">
      <c r="A524" s="50"/>
      <c r="B524" s="50"/>
      <c r="C524" s="5"/>
      <c r="D524" s="48"/>
      <c r="E524" s="50"/>
      <c r="F524" s="5"/>
      <c r="G524" s="5"/>
      <c r="H524" s="5"/>
      <c r="I524" s="5"/>
      <c r="J524" s="5"/>
      <c r="K524" s="50"/>
      <c r="L524" s="50"/>
      <c r="M524" s="50"/>
      <c r="N524" s="50"/>
      <c r="O524" s="50"/>
      <c r="P524" s="50"/>
      <c r="Q524" s="50"/>
      <c r="R524" s="50"/>
      <c r="S524" s="50"/>
      <c r="T524" s="50"/>
      <c r="U524" s="50"/>
      <c r="V524" s="50"/>
      <c r="W524" s="50"/>
      <c r="X524" s="50"/>
      <c r="Y524" s="50"/>
      <c r="Z524" s="50"/>
      <c r="AA524" s="50"/>
      <c r="AB524" s="50"/>
    </row>
    <row r="525" customFormat="false" ht="15.75" hidden="false" customHeight="false" outlineLevel="0" collapsed="false">
      <c r="A525" s="50"/>
      <c r="B525" s="50"/>
      <c r="C525" s="5"/>
      <c r="D525" s="48"/>
      <c r="E525" s="50"/>
      <c r="F525" s="5"/>
      <c r="G525" s="5"/>
      <c r="H525" s="5"/>
      <c r="I525" s="5"/>
      <c r="J525" s="5"/>
      <c r="K525" s="50"/>
      <c r="L525" s="50"/>
      <c r="M525" s="50"/>
      <c r="N525" s="50"/>
      <c r="O525" s="50"/>
      <c r="P525" s="50"/>
      <c r="Q525" s="50"/>
      <c r="R525" s="50"/>
      <c r="S525" s="50"/>
      <c r="T525" s="50"/>
      <c r="U525" s="50"/>
      <c r="V525" s="50"/>
      <c r="W525" s="50"/>
      <c r="X525" s="50"/>
      <c r="Y525" s="50"/>
      <c r="Z525" s="50"/>
      <c r="AA525" s="50"/>
      <c r="AB525" s="50"/>
    </row>
    <row r="526" customFormat="false" ht="15.75" hidden="false" customHeight="false" outlineLevel="0" collapsed="false">
      <c r="A526" s="50"/>
      <c r="B526" s="50"/>
      <c r="C526" s="5"/>
      <c r="D526" s="48"/>
      <c r="E526" s="50"/>
      <c r="F526" s="5"/>
      <c r="G526" s="5"/>
      <c r="H526" s="5"/>
      <c r="I526" s="5"/>
      <c r="J526" s="5"/>
      <c r="K526" s="50"/>
      <c r="L526" s="50"/>
      <c r="M526" s="50"/>
      <c r="N526" s="50"/>
      <c r="O526" s="50"/>
      <c r="P526" s="50"/>
      <c r="Q526" s="50"/>
      <c r="R526" s="50"/>
      <c r="S526" s="50"/>
      <c r="T526" s="50"/>
      <c r="U526" s="50"/>
      <c r="V526" s="50"/>
      <c r="W526" s="50"/>
      <c r="X526" s="50"/>
      <c r="Y526" s="50"/>
      <c r="Z526" s="50"/>
      <c r="AA526" s="50"/>
      <c r="AB526" s="50"/>
    </row>
    <row r="527" customFormat="false" ht="15.75" hidden="false" customHeight="false" outlineLevel="0" collapsed="false">
      <c r="A527" s="50"/>
      <c r="B527" s="50"/>
      <c r="C527" s="5"/>
      <c r="D527" s="48"/>
      <c r="E527" s="50"/>
      <c r="F527" s="5"/>
      <c r="G527" s="5"/>
      <c r="H527" s="5"/>
      <c r="I527" s="5"/>
      <c r="J527" s="5"/>
      <c r="K527" s="50"/>
      <c r="L527" s="50"/>
      <c r="M527" s="50"/>
      <c r="N527" s="50"/>
      <c r="O527" s="50"/>
      <c r="P527" s="50"/>
      <c r="Q527" s="50"/>
      <c r="R527" s="50"/>
      <c r="S527" s="50"/>
      <c r="T527" s="50"/>
      <c r="U527" s="50"/>
      <c r="V527" s="50"/>
      <c r="W527" s="50"/>
      <c r="X527" s="50"/>
      <c r="Y527" s="50"/>
      <c r="Z527" s="50"/>
      <c r="AA527" s="50"/>
      <c r="AB527" s="50"/>
    </row>
    <row r="528" customFormat="false" ht="15.75" hidden="false" customHeight="false" outlineLevel="0" collapsed="false">
      <c r="A528" s="50"/>
      <c r="B528" s="50"/>
      <c r="C528" s="5"/>
      <c r="D528" s="48"/>
      <c r="E528" s="50"/>
      <c r="F528" s="5"/>
      <c r="G528" s="5"/>
      <c r="H528" s="5"/>
      <c r="I528" s="5"/>
      <c r="J528" s="5"/>
      <c r="K528" s="50"/>
      <c r="L528" s="50"/>
      <c r="M528" s="50"/>
      <c r="N528" s="50"/>
      <c r="O528" s="50"/>
      <c r="P528" s="50"/>
      <c r="Q528" s="50"/>
      <c r="R528" s="50"/>
      <c r="S528" s="50"/>
      <c r="T528" s="50"/>
      <c r="U528" s="50"/>
      <c r="V528" s="50"/>
      <c r="W528" s="50"/>
      <c r="X528" s="50"/>
      <c r="Y528" s="50"/>
      <c r="Z528" s="50"/>
      <c r="AA528" s="50"/>
      <c r="AB528" s="50"/>
    </row>
    <row r="529" customFormat="false" ht="15.75" hidden="false" customHeight="false" outlineLevel="0" collapsed="false">
      <c r="A529" s="50"/>
      <c r="B529" s="50"/>
      <c r="C529" s="5"/>
      <c r="D529" s="48"/>
      <c r="E529" s="50"/>
      <c r="F529" s="5"/>
      <c r="G529" s="5"/>
      <c r="H529" s="5"/>
      <c r="I529" s="5"/>
      <c r="J529" s="5"/>
      <c r="K529" s="50"/>
      <c r="L529" s="50"/>
      <c r="M529" s="50"/>
      <c r="N529" s="50"/>
      <c r="O529" s="50"/>
      <c r="P529" s="50"/>
      <c r="Q529" s="50"/>
      <c r="R529" s="50"/>
      <c r="S529" s="50"/>
      <c r="T529" s="50"/>
      <c r="U529" s="50"/>
      <c r="V529" s="50"/>
      <c r="W529" s="50"/>
      <c r="X529" s="50"/>
      <c r="Y529" s="50"/>
      <c r="Z529" s="50"/>
      <c r="AA529" s="50"/>
      <c r="AB529" s="50"/>
    </row>
    <row r="530" customFormat="false" ht="15.75" hidden="false" customHeight="false" outlineLevel="0" collapsed="false">
      <c r="A530" s="50"/>
      <c r="B530" s="50"/>
      <c r="C530" s="5"/>
      <c r="D530" s="48"/>
      <c r="E530" s="50"/>
      <c r="F530" s="5"/>
      <c r="G530" s="5"/>
      <c r="H530" s="5"/>
      <c r="I530" s="5"/>
      <c r="J530" s="5"/>
      <c r="K530" s="50"/>
      <c r="L530" s="50"/>
      <c r="M530" s="50"/>
      <c r="N530" s="50"/>
      <c r="O530" s="50"/>
      <c r="P530" s="50"/>
      <c r="Q530" s="50"/>
      <c r="R530" s="50"/>
      <c r="S530" s="50"/>
      <c r="T530" s="50"/>
      <c r="U530" s="50"/>
      <c r="V530" s="50"/>
      <c r="W530" s="50"/>
      <c r="X530" s="50"/>
      <c r="Y530" s="50"/>
      <c r="Z530" s="50"/>
      <c r="AA530" s="50"/>
      <c r="AB530" s="50"/>
    </row>
    <row r="531" customFormat="false" ht="15.75" hidden="false" customHeight="false" outlineLevel="0" collapsed="false">
      <c r="A531" s="50"/>
      <c r="B531" s="50"/>
      <c r="C531" s="5"/>
      <c r="D531" s="48"/>
      <c r="E531" s="50"/>
      <c r="F531" s="5"/>
      <c r="G531" s="5"/>
      <c r="H531" s="5"/>
      <c r="I531" s="5"/>
      <c r="J531" s="5"/>
      <c r="K531" s="50"/>
      <c r="L531" s="50"/>
      <c r="M531" s="50"/>
      <c r="N531" s="50"/>
      <c r="O531" s="50"/>
      <c r="P531" s="50"/>
      <c r="Q531" s="50"/>
      <c r="R531" s="50"/>
      <c r="S531" s="50"/>
      <c r="T531" s="50"/>
      <c r="U531" s="50"/>
      <c r="V531" s="50"/>
      <c r="W531" s="50"/>
      <c r="X531" s="50"/>
      <c r="Y531" s="50"/>
      <c r="Z531" s="50"/>
      <c r="AA531" s="50"/>
      <c r="AB531" s="50"/>
    </row>
    <row r="532" customFormat="false" ht="15.75" hidden="false" customHeight="false" outlineLevel="0" collapsed="false">
      <c r="A532" s="50"/>
      <c r="B532" s="50"/>
      <c r="C532" s="5"/>
      <c r="D532" s="48"/>
      <c r="E532" s="50"/>
      <c r="F532" s="5"/>
      <c r="G532" s="5"/>
      <c r="H532" s="5"/>
      <c r="I532" s="5"/>
      <c r="J532" s="5"/>
      <c r="K532" s="50"/>
      <c r="L532" s="50"/>
      <c r="M532" s="50"/>
      <c r="N532" s="50"/>
      <c r="O532" s="50"/>
      <c r="P532" s="50"/>
      <c r="Q532" s="50"/>
      <c r="R532" s="50"/>
      <c r="S532" s="50"/>
      <c r="T532" s="50"/>
      <c r="U532" s="50"/>
      <c r="V532" s="50"/>
      <c r="W532" s="50"/>
      <c r="X532" s="50"/>
      <c r="Y532" s="50"/>
      <c r="Z532" s="50"/>
      <c r="AA532" s="50"/>
      <c r="AB532" s="50"/>
    </row>
    <row r="533" customFormat="false" ht="15.75" hidden="false" customHeight="false" outlineLevel="0" collapsed="false">
      <c r="A533" s="50"/>
      <c r="B533" s="50"/>
      <c r="C533" s="5"/>
      <c r="D533" s="48"/>
      <c r="E533" s="50"/>
      <c r="F533" s="5"/>
      <c r="G533" s="5"/>
      <c r="H533" s="5"/>
      <c r="I533" s="5"/>
      <c r="J533" s="5"/>
      <c r="K533" s="50"/>
      <c r="L533" s="50"/>
      <c r="M533" s="50"/>
      <c r="N533" s="50"/>
      <c r="O533" s="50"/>
      <c r="P533" s="50"/>
      <c r="Q533" s="50"/>
      <c r="R533" s="50"/>
      <c r="S533" s="50"/>
      <c r="T533" s="50"/>
      <c r="U533" s="50"/>
      <c r="V533" s="50"/>
      <c r="W533" s="50"/>
      <c r="X533" s="50"/>
      <c r="Y533" s="50"/>
      <c r="Z533" s="50"/>
      <c r="AA533" s="50"/>
      <c r="AB533" s="50"/>
    </row>
    <row r="534" customFormat="false" ht="15.75" hidden="false" customHeight="false" outlineLevel="0" collapsed="false">
      <c r="A534" s="50"/>
      <c r="B534" s="50"/>
      <c r="C534" s="5"/>
      <c r="D534" s="48"/>
      <c r="E534" s="50"/>
      <c r="F534" s="5"/>
      <c r="G534" s="5"/>
      <c r="H534" s="5"/>
      <c r="I534" s="5"/>
      <c r="J534" s="5"/>
      <c r="K534" s="50"/>
      <c r="L534" s="50"/>
      <c r="M534" s="50"/>
      <c r="N534" s="50"/>
      <c r="O534" s="50"/>
      <c r="P534" s="50"/>
      <c r="Q534" s="50"/>
      <c r="R534" s="50"/>
      <c r="S534" s="50"/>
      <c r="T534" s="50"/>
      <c r="U534" s="50"/>
      <c r="V534" s="50"/>
      <c r="W534" s="50"/>
      <c r="X534" s="50"/>
      <c r="Y534" s="50"/>
      <c r="Z534" s="50"/>
      <c r="AA534" s="50"/>
      <c r="AB534" s="50"/>
    </row>
    <row r="535" customFormat="false" ht="15.75" hidden="false" customHeight="false" outlineLevel="0" collapsed="false">
      <c r="A535" s="50"/>
      <c r="B535" s="50"/>
      <c r="C535" s="5"/>
      <c r="D535" s="48"/>
      <c r="E535" s="50"/>
      <c r="F535" s="5"/>
      <c r="G535" s="5"/>
      <c r="H535" s="5"/>
      <c r="I535" s="5"/>
      <c r="J535" s="5"/>
      <c r="K535" s="50"/>
      <c r="L535" s="50"/>
      <c r="M535" s="50"/>
      <c r="N535" s="50"/>
      <c r="O535" s="50"/>
      <c r="P535" s="50"/>
      <c r="Q535" s="50"/>
      <c r="R535" s="50"/>
      <c r="S535" s="50"/>
      <c r="T535" s="50"/>
      <c r="U535" s="50"/>
      <c r="V535" s="50"/>
      <c r="W535" s="50"/>
      <c r="X535" s="50"/>
      <c r="Y535" s="50"/>
      <c r="Z535" s="50"/>
      <c r="AA535" s="50"/>
      <c r="AB535" s="50"/>
    </row>
    <row r="536" customFormat="false" ht="15.75" hidden="false" customHeight="false" outlineLevel="0" collapsed="false">
      <c r="A536" s="50"/>
      <c r="B536" s="50"/>
      <c r="C536" s="5"/>
      <c r="D536" s="48"/>
      <c r="E536" s="50"/>
      <c r="F536" s="5"/>
      <c r="G536" s="5"/>
      <c r="H536" s="5"/>
      <c r="I536" s="5"/>
      <c r="J536" s="5"/>
      <c r="K536" s="50"/>
      <c r="L536" s="50"/>
      <c r="M536" s="50"/>
      <c r="N536" s="50"/>
      <c r="O536" s="50"/>
      <c r="P536" s="50"/>
      <c r="Q536" s="50"/>
      <c r="R536" s="50"/>
      <c r="S536" s="50"/>
      <c r="T536" s="50"/>
      <c r="U536" s="50"/>
      <c r="V536" s="50"/>
      <c r="W536" s="50"/>
      <c r="X536" s="50"/>
      <c r="Y536" s="50"/>
      <c r="Z536" s="50"/>
      <c r="AA536" s="50"/>
      <c r="AB536" s="50"/>
    </row>
    <row r="537" customFormat="false" ht="15.75" hidden="false" customHeight="false" outlineLevel="0" collapsed="false">
      <c r="A537" s="50"/>
      <c r="B537" s="50"/>
      <c r="C537" s="5"/>
      <c r="D537" s="48"/>
      <c r="E537" s="50"/>
      <c r="F537" s="5"/>
      <c r="G537" s="5"/>
      <c r="H537" s="5"/>
      <c r="I537" s="5"/>
      <c r="J537" s="5"/>
      <c r="K537" s="50"/>
      <c r="L537" s="50"/>
      <c r="M537" s="50"/>
      <c r="N537" s="50"/>
      <c r="O537" s="50"/>
      <c r="P537" s="50"/>
      <c r="Q537" s="50"/>
      <c r="R537" s="50"/>
      <c r="S537" s="50"/>
      <c r="T537" s="50"/>
      <c r="U537" s="50"/>
      <c r="V537" s="50"/>
      <c r="W537" s="50"/>
      <c r="X537" s="50"/>
      <c r="Y537" s="50"/>
      <c r="Z537" s="50"/>
      <c r="AA537" s="50"/>
      <c r="AB537" s="50"/>
    </row>
    <row r="538" customFormat="false" ht="15.75" hidden="false" customHeight="false" outlineLevel="0" collapsed="false">
      <c r="A538" s="50"/>
      <c r="B538" s="50"/>
      <c r="C538" s="5"/>
      <c r="D538" s="48"/>
      <c r="E538" s="50"/>
      <c r="F538" s="5"/>
      <c r="G538" s="5"/>
      <c r="H538" s="5"/>
      <c r="I538" s="5"/>
      <c r="J538" s="5"/>
      <c r="K538" s="50"/>
      <c r="L538" s="50"/>
      <c r="M538" s="50"/>
      <c r="N538" s="50"/>
      <c r="O538" s="50"/>
      <c r="P538" s="50"/>
      <c r="Q538" s="50"/>
      <c r="R538" s="50"/>
      <c r="S538" s="50"/>
      <c r="T538" s="50"/>
      <c r="U538" s="50"/>
      <c r="V538" s="50"/>
      <c r="W538" s="50"/>
      <c r="X538" s="50"/>
      <c r="Y538" s="50"/>
      <c r="Z538" s="50"/>
      <c r="AA538" s="50"/>
      <c r="AB538" s="50"/>
    </row>
    <row r="539" customFormat="false" ht="15.75" hidden="false" customHeight="false" outlineLevel="0" collapsed="false">
      <c r="A539" s="50"/>
      <c r="B539" s="50"/>
      <c r="C539" s="5"/>
      <c r="D539" s="48"/>
      <c r="E539" s="50"/>
      <c r="F539" s="5"/>
      <c r="G539" s="5"/>
      <c r="H539" s="5"/>
      <c r="I539" s="5"/>
      <c r="J539" s="5"/>
      <c r="K539" s="50"/>
      <c r="L539" s="50"/>
      <c r="M539" s="50"/>
      <c r="N539" s="50"/>
      <c r="O539" s="50"/>
      <c r="P539" s="50"/>
      <c r="Q539" s="50"/>
      <c r="R539" s="50"/>
      <c r="S539" s="50"/>
      <c r="T539" s="50"/>
      <c r="U539" s="50"/>
      <c r="V539" s="50"/>
      <c r="W539" s="50"/>
      <c r="X539" s="50"/>
      <c r="Y539" s="50"/>
      <c r="Z539" s="50"/>
      <c r="AA539" s="50"/>
      <c r="AB539" s="50"/>
    </row>
    <row r="540" customFormat="false" ht="15.75" hidden="false" customHeight="false" outlineLevel="0" collapsed="false">
      <c r="A540" s="50"/>
      <c r="B540" s="50"/>
      <c r="C540" s="5"/>
      <c r="D540" s="48"/>
      <c r="E540" s="50"/>
      <c r="F540" s="5"/>
      <c r="G540" s="5"/>
      <c r="H540" s="5"/>
      <c r="I540" s="5"/>
      <c r="J540" s="5"/>
      <c r="K540" s="50"/>
      <c r="L540" s="50"/>
      <c r="M540" s="50"/>
      <c r="N540" s="50"/>
      <c r="O540" s="50"/>
      <c r="P540" s="50"/>
      <c r="Q540" s="50"/>
      <c r="R540" s="50"/>
      <c r="S540" s="50"/>
      <c r="T540" s="50"/>
      <c r="U540" s="50"/>
      <c r="V540" s="50"/>
      <c r="W540" s="50"/>
      <c r="X540" s="50"/>
      <c r="Y540" s="50"/>
      <c r="Z540" s="50"/>
      <c r="AA540" s="50"/>
      <c r="AB540" s="50"/>
    </row>
    <row r="541" customFormat="false" ht="15.75" hidden="false" customHeight="false" outlineLevel="0" collapsed="false">
      <c r="A541" s="50"/>
      <c r="B541" s="50"/>
      <c r="C541" s="5"/>
      <c r="D541" s="48"/>
      <c r="E541" s="50"/>
      <c r="F541" s="5"/>
      <c r="G541" s="5"/>
      <c r="H541" s="5"/>
      <c r="I541" s="5"/>
      <c r="J541" s="5"/>
      <c r="K541" s="50"/>
      <c r="L541" s="50"/>
      <c r="M541" s="50"/>
      <c r="N541" s="50"/>
      <c r="O541" s="50"/>
      <c r="P541" s="50"/>
      <c r="Q541" s="50"/>
      <c r="R541" s="50"/>
      <c r="S541" s="50"/>
      <c r="T541" s="50"/>
      <c r="U541" s="50"/>
      <c r="V541" s="50"/>
      <c r="W541" s="50"/>
      <c r="X541" s="50"/>
      <c r="Y541" s="50"/>
      <c r="Z541" s="50"/>
      <c r="AA541" s="50"/>
      <c r="AB541" s="50"/>
    </row>
    <row r="542" customFormat="false" ht="15.75" hidden="false" customHeight="false" outlineLevel="0" collapsed="false">
      <c r="A542" s="50"/>
      <c r="B542" s="50"/>
      <c r="C542" s="5"/>
      <c r="D542" s="48"/>
      <c r="E542" s="50"/>
      <c r="F542" s="5"/>
      <c r="G542" s="5"/>
      <c r="H542" s="5"/>
      <c r="I542" s="5"/>
      <c r="J542" s="5"/>
      <c r="K542" s="50"/>
      <c r="L542" s="50"/>
      <c r="M542" s="50"/>
      <c r="N542" s="50"/>
      <c r="O542" s="50"/>
      <c r="P542" s="50"/>
      <c r="Q542" s="50"/>
      <c r="R542" s="50"/>
      <c r="S542" s="50"/>
      <c r="T542" s="50"/>
      <c r="U542" s="50"/>
      <c r="V542" s="50"/>
      <c r="W542" s="50"/>
      <c r="X542" s="50"/>
      <c r="Y542" s="50"/>
      <c r="Z542" s="50"/>
      <c r="AA542" s="50"/>
      <c r="AB542" s="50"/>
    </row>
    <row r="543" customFormat="false" ht="15.75" hidden="false" customHeight="false" outlineLevel="0" collapsed="false">
      <c r="A543" s="50"/>
      <c r="B543" s="50"/>
      <c r="C543" s="5"/>
      <c r="D543" s="48"/>
      <c r="E543" s="50"/>
      <c r="F543" s="5"/>
      <c r="G543" s="5"/>
      <c r="H543" s="5"/>
      <c r="I543" s="5"/>
      <c r="J543" s="5"/>
      <c r="K543" s="50"/>
      <c r="L543" s="50"/>
      <c r="M543" s="50"/>
      <c r="N543" s="50"/>
      <c r="O543" s="50"/>
      <c r="P543" s="50"/>
      <c r="Q543" s="50"/>
      <c r="R543" s="50"/>
      <c r="S543" s="50"/>
      <c r="T543" s="50"/>
      <c r="U543" s="50"/>
      <c r="V543" s="50"/>
      <c r="W543" s="50"/>
      <c r="X543" s="50"/>
      <c r="Y543" s="50"/>
      <c r="Z543" s="50"/>
      <c r="AA543" s="50"/>
      <c r="AB543" s="50"/>
    </row>
    <row r="544" customFormat="false" ht="15.75" hidden="false" customHeight="false" outlineLevel="0" collapsed="false">
      <c r="A544" s="50"/>
      <c r="B544" s="50"/>
      <c r="C544" s="5"/>
      <c r="D544" s="48"/>
      <c r="E544" s="50"/>
      <c r="F544" s="5"/>
      <c r="G544" s="5"/>
      <c r="H544" s="5"/>
      <c r="I544" s="5"/>
      <c r="J544" s="5"/>
      <c r="K544" s="50"/>
      <c r="L544" s="50"/>
      <c r="M544" s="50"/>
      <c r="N544" s="50"/>
      <c r="O544" s="50"/>
      <c r="P544" s="50"/>
      <c r="Q544" s="50"/>
      <c r="R544" s="50"/>
      <c r="S544" s="50"/>
      <c r="T544" s="50"/>
      <c r="U544" s="50"/>
      <c r="V544" s="50"/>
      <c r="W544" s="50"/>
      <c r="X544" s="50"/>
      <c r="Y544" s="50"/>
      <c r="Z544" s="50"/>
      <c r="AA544" s="50"/>
      <c r="AB544" s="50"/>
    </row>
    <row r="545" customFormat="false" ht="15.75" hidden="false" customHeight="false" outlineLevel="0" collapsed="false">
      <c r="A545" s="50"/>
      <c r="B545" s="50"/>
      <c r="C545" s="5"/>
      <c r="D545" s="48"/>
      <c r="E545" s="50"/>
      <c r="F545" s="5"/>
      <c r="G545" s="5"/>
      <c r="H545" s="5"/>
      <c r="I545" s="5"/>
      <c r="J545" s="5"/>
      <c r="K545" s="50"/>
      <c r="L545" s="50"/>
      <c r="M545" s="50"/>
      <c r="N545" s="50"/>
      <c r="O545" s="50"/>
      <c r="P545" s="50"/>
      <c r="Q545" s="50"/>
      <c r="R545" s="50"/>
      <c r="S545" s="50"/>
      <c r="T545" s="50"/>
      <c r="U545" s="50"/>
      <c r="V545" s="50"/>
      <c r="W545" s="50"/>
      <c r="X545" s="50"/>
      <c r="Y545" s="50"/>
      <c r="Z545" s="50"/>
      <c r="AA545" s="50"/>
      <c r="AB545" s="50"/>
    </row>
    <row r="546" customFormat="false" ht="15.75" hidden="false" customHeight="false" outlineLevel="0" collapsed="false">
      <c r="A546" s="50"/>
      <c r="B546" s="50"/>
      <c r="C546" s="5"/>
      <c r="D546" s="48"/>
      <c r="E546" s="50"/>
      <c r="F546" s="5"/>
      <c r="G546" s="5"/>
      <c r="H546" s="5"/>
      <c r="I546" s="5"/>
      <c r="J546" s="5"/>
      <c r="K546" s="50"/>
      <c r="L546" s="50"/>
      <c r="M546" s="50"/>
      <c r="N546" s="50"/>
      <c r="O546" s="50"/>
      <c r="P546" s="50"/>
      <c r="Q546" s="50"/>
      <c r="R546" s="50"/>
      <c r="S546" s="50"/>
      <c r="T546" s="50"/>
      <c r="U546" s="50"/>
      <c r="V546" s="50"/>
      <c r="W546" s="50"/>
      <c r="X546" s="50"/>
      <c r="Y546" s="50"/>
      <c r="Z546" s="50"/>
      <c r="AA546" s="50"/>
      <c r="AB546" s="50"/>
    </row>
    <row r="547" customFormat="false" ht="15.75" hidden="false" customHeight="false" outlineLevel="0" collapsed="false">
      <c r="A547" s="50"/>
      <c r="B547" s="50"/>
      <c r="C547" s="5"/>
      <c r="D547" s="48"/>
      <c r="E547" s="50"/>
      <c r="F547" s="5"/>
      <c r="G547" s="5"/>
      <c r="H547" s="5"/>
      <c r="I547" s="5"/>
      <c r="J547" s="5"/>
      <c r="K547" s="50"/>
      <c r="L547" s="50"/>
      <c r="M547" s="50"/>
      <c r="N547" s="50"/>
      <c r="O547" s="50"/>
      <c r="P547" s="50"/>
      <c r="Q547" s="50"/>
      <c r="R547" s="50"/>
      <c r="S547" s="50"/>
      <c r="T547" s="50"/>
      <c r="U547" s="50"/>
      <c r="V547" s="50"/>
      <c r="W547" s="50"/>
      <c r="X547" s="50"/>
      <c r="Y547" s="50"/>
      <c r="Z547" s="50"/>
      <c r="AA547" s="50"/>
      <c r="AB547" s="50"/>
    </row>
    <row r="548" customFormat="false" ht="15.75" hidden="false" customHeight="false" outlineLevel="0" collapsed="false">
      <c r="A548" s="50"/>
      <c r="B548" s="50"/>
      <c r="C548" s="5"/>
      <c r="D548" s="48"/>
      <c r="E548" s="50"/>
      <c r="F548" s="5"/>
      <c r="G548" s="5"/>
      <c r="H548" s="5"/>
      <c r="I548" s="5"/>
      <c r="J548" s="5"/>
      <c r="K548" s="50"/>
      <c r="L548" s="50"/>
      <c r="M548" s="50"/>
      <c r="N548" s="50"/>
      <c r="O548" s="50"/>
      <c r="P548" s="50"/>
      <c r="Q548" s="50"/>
      <c r="R548" s="50"/>
      <c r="S548" s="50"/>
      <c r="T548" s="50"/>
      <c r="U548" s="50"/>
      <c r="V548" s="50"/>
      <c r="W548" s="50"/>
      <c r="X548" s="50"/>
      <c r="Y548" s="50"/>
      <c r="Z548" s="50"/>
      <c r="AA548" s="50"/>
      <c r="AB548" s="50"/>
    </row>
    <row r="549" customFormat="false" ht="15.75" hidden="false" customHeight="false" outlineLevel="0" collapsed="false">
      <c r="A549" s="50"/>
      <c r="B549" s="50"/>
      <c r="C549" s="5"/>
      <c r="D549" s="48"/>
      <c r="E549" s="50"/>
      <c r="F549" s="5"/>
      <c r="G549" s="5"/>
      <c r="H549" s="5"/>
      <c r="I549" s="5"/>
      <c r="J549" s="5"/>
      <c r="K549" s="50"/>
      <c r="L549" s="50"/>
      <c r="M549" s="50"/>
      <c r="N549" s="50"/>
      <c r="O549" s="50"/>
      <c r="P549" s="50"/>
      <c r="Q549" s="50"/>
      <c r="R549" s="50"/>
      <c r="S549" s="50"/>
      <c r="T549" s="50"/>
      <c r="U549" s="50"/>
      <c r="V549" s="50"/>
      <c r="W549" s="50"/>
      <c r="X549" s="50"/>
      <c r="Y549" s="50"/>
      <c r="Z549" s="50"/>
      <c r="AA549" s="50"/>
      <c r="AB549" s="50"/>
    </row>
    <row r="550" customFormat="false" ht="15.75" hidden="false" customHeight="false" outlineLevel="0" collapsed="false">
      <c r="A550" s="50"/>
      <c r="B550" s="50"/>
      <c r="C550" s="5"/>
      <c r="D550" s="48"/>
      <c r="E550" s="50"/>
      <c r="F550" s="5"/>
      <c r="G550" s="5"/>
      <c r="H550" s="5"/>
      <c r="I550" s="5"/>
      <c r="J550" s="5"/>
      <c r="K550" s="50"/>
      <c r="L550" s="50"/>
      <c r="M550" s="50"/>
      <c r="N550" s="50"/>
      <c r="O550" s="50"/>
      <c r="P550" s="50"/>
      <c r="Q550" s="50"/>
      <c r="R550" s="50"/>
      <c r="S550" s="50"/>
      <c r="T550" s="50"/>
      <c r="U550" s="50"/>
      <c r="V550" s="50"/>
      <c r="W550" s="50"/>
      <c r="X550" s="50"/>
      <c r="Y550" s="50"/>
      <c r="Z550" s="50"/>
      <c r="AA550" s="50"/>
      <c r="AB550" s="50"/>
    </row>
    <row r="551" customFormat="false" ht="15.75" hidden="false" customHeight="false" outlineLevel="0" collapsed="false">
      <c r="A551" s="50"/>
      <c r="B551" s="50"/>
      <c r="C551" s="5"/>
      <c r="D551" s="48"/>
      <c r="E551" s="50"/>
      <c r="F551" s="5"/>
      <c r="G551" s="5"/>
      <c r="H551" s="5"/>
      <c r="I551" s="5"/>
      <c r="J551" s="5"/>
      <c r="K551" s="50"/>
      <c r="L551" s="50"/>
      <c r="M551" s="50"/>
      <c r="N551" s="50"/>
      <c r="O551" s="50"/>
      <c r="P551" s="50"/>
      <c r="Q551" s="50"/>
      <c r="R551" s="50"/>
      <c r="S551" s="50"/>
      <c r="T551" s="50"/>
      <c r="U551" s="50"/>
      <c r="V551" s="50"/>
      <c r="W551" s="50"/>
      <c r="X551" s="50"/>
      <c r="Y551" s="50"/>
      <c r="Z551" s="50"/>
      <c r="AA551" s="50"/>
      <c r="AB551" s="50"/>
    </row>
    <row r="552" customFormat="false" ht="15.75" hidden="false" customHeight="false" outlineLevel="0" collapsed="false">
      <c r="A552" s="50"/>
      <c r="B552" s="50"/>
      <c r="C552" s="5"/>
      <c r="D552" s="48"/>
      <c r="E552" s="50"/>
      <c r="F552" s="5"/>
      <c r="G552" s="5"/>
      <c r="H552" s="5"/>
      <c r="I552" s="5"/>
      <c r="J552" s="5"/>
      <c r="K552" s="50"/>
      <c r="L552" s="50"/>
      <c r="M552" s="50"/>
      <c r="N552" s="50"/>
      <c r="O552" s="50"/>
      <c r="P552" s="50"/>
      <c r="Q552" s="50"/>
      <c r="R552" s="50"/>
      <c r="S552" s="50"/>
      <c r="T552" s="50"/>
      <c r="U552" s="50"/>
      <c r="V552" s="50"/>
      <c r="W552" s="50"/>
      <c r="X552" s="50"/>
      <c r="Y552" s="50"/>
      <c r="Z552" s="50"/>
      <c r="AA552" s="50"/>
      <c r="AB552" s="50"/>
    </row>
    <row r="553" customFormat="false" ht="15.75" hidden="false" customHeight="false" outlineLevel="0" collapsed="false">
      <c r="A553" s="50"/>
      <c r="B553" s="50"/>
      <c r="C553" s="5"/>
      <c r="D553" s="48"/>
      <c r="E553" s="50"/>
      <c r="F553" s="5"/>
      <c r="G553" s="5"/>
      <c r="H553" s="5"/>
      <c r="I553" s="5"/>
      <c r="J553" s="5"/>
      <c r="K553" s="50"/>
      <c r="L553" s="50"/>
      <c r="M553" s="50"/>
      <c r="N553" s="50"/>
      <c r="O553" s="50"/>
      <c r="P553" s="50"/>
      <c r="Q553" s="50"/>
      <c r="R553" s="50"/>
      <c r="S553" s="50"/>
      <c r="T553" s="50"/>
      <c r="U553" s="50"/>
      <c r="V553" s="50"/>
      <c r="W553" s="50"/>
      <c r="X553" s="50"/>
      <c r="Y553" s="50"/>
      <c r="Z553" s="50"/>
      <c r="AA553" s="50"/>
      <c r="AB553" s="50"/>
    </row>
    <row r="554" customFormat="false" ht="15.75" hidden="false" customHeight="false" outlineLevel="0" collapsed="false">
      <c r="A554" s="50"/>
      <c r="B554" s="50"/>
      <c r="C554" s="5"/>
      <c r="D554" s="48"/>
      <c r="E554" s="50"/>
      <c r="F554" s="5"/>
      <c r="G554" s="5"/>
      <c r="H554" s="5"/>
      <c r="I554" s="5"/>
      <c r="J554" s="5"/>
      <c r="K554" s="50"/>
      <c r="L554" s="50"/>
      <c r="M554" s="50"/>
      <c r="N554" s="50"/>
      <c r="O554" s="50"/>
      <c r="P554" s="50"/>
      <c r="Q554" s="50"/>
      <c r="R554" s="50"/>
      <c r="S554" s="50"/>
      <c r="T554" s="50"/>
      <c r="U554" s="50"/>
      <c r="V554" s="50"/>
      <c r="W554" s="50"/>
      <c r="X554" s="50"/>
      <c r="Y554" s="50"/>
      <c r="Z554" s="50"/>
      <c r="AA554" s="50"/>
      <c r="AB554" s="50"/>
    </row>
    <row r="555" customFormat="false" ht="15.75" hidden="false" customHeight="false" outlineLevel="0" collapsed="false">
      <c r="A555" s="50"/>
      <c r="B555" s="50"/>
      <c r="C555" s="5"/>
      <c r="D555" s="48"/>
      <c r="E555" s="50"/>
      <c r="F555" s="5"/>
      <c r="G555" s="5"/>
      <c r="H555" s="5"/>
      <c r="I555" s="5"/>
      <c r="J555" s="5"/>
      <c r="K555" s="50"/>
      <c r="L555" s="50"/>
      <c r="M555" s="50"/>
      <c r="N555" s="50"/>
      <c r="O555" s="50"/>
      <c r="P555" s="50"/>
      <c r="Q555" s="50"/>
      <c r="R555" s="50"/>
      <c r="S555" s="50"/>
      <c r="T555" s="50"/>
      <c r="U555" s="50"/>
      <c r="V555" s="50"/>
      <c r="W555" s="50"/>
      <c r="X555" s="50"/>
      <c r="Y555" s="50"/>
      <c r="Z555" s="50"/>
      <c r="AA555" s="50"/>
      <c r="AB555" s="50"/>
    </row>
    <row r="556" customFormat="false" ht="15.75" hidden="false" customHeight="false" outlineLevel="0" collapsed="false">
      <c r="A556" s="50"/>
      <c r="B556" s="50"/>
      <c r="C556" s="5"/>
      <c r="D556" s="48"/>
      <c r="E556" s="50"/>
      <c r="F556" s="5"/>
      <c r="G556" s="5"/>
      <c r="H556" s="5"/>
      <c r="I556" s="5"/>
      <c r="J556" s="5"/>
      <c r="K556" s="50"/>
      <c r="L556" s="50"/>
      <c r="M556" s="50"/>
      <c r="N556" s="50"/>
      <c r="O556" s="50"/>
      <c r="P556" s="50"/>
      <c r="Q556" s="50"/>
      <c r="R556" s="50"/>
      <c r="S556" s="50"/>
      <c r="T556" s="50"/>
      <c r="U556" s="50"/>
      <c r="V556" s="50"/>
      <c r="W556" s="50"/>
      <c r="X556" s="50"/>
      <c r="Y556" s="50"/>
      <c r="Z556" s="50"/>
      <c r="AA556" s="50"/>
      <c r="AB556" s="50"/>
    </row>
    <row r="557" customFormat="false" ht="15.75" hidden="false" customHeight="false" outlineLevel="0" collapsed="false">
      <c r="A557" s="50"/>
      <c r="B557" s="50"/>
      <c r="C557" s="5"/>
      <c r="D557" s="48"/>
      <c r="E557" s="50"/>
      <c r="F557" s="5"/>
      <c r="G557" s="5"/>
      <c r="H557" s="5"/>
      <c r="I557" s="5"/>
      <c r="J557" s="5"/>
      <c r="K557" s="50"/>
      <c r="L557" s="50"/>
      <c r="M557" s="50"/>
      <c r="N557" s="50"/>
      <c r="O557" s="50"/>
      <c r="P557" s="50"/>
      <c r="Q557" s="50"/>
      <c r="R557" s="50"/>
      <c r="S557" s="50"/>
      <c r="T557" s="50"/>
      <c r="U557" s="50"/>
      <c r="V557" s="50"/>
      <c r="W557" s="50"/>
      <c r="X557" s="50"/>
      <c r="Y557" s="50"/>
      <c r="Z557" s="50"/>
      <c r="AA557" s="50"/>
      <c r="AB557" s="50"/>
    </row>
    <row r="558" customFormat="false" ht="15.75" hidden="false" customHeight="false" outlineLevel="0" collapsed="false">
      <c r="A558" s="50"/>
      <c r="B558" s="50"/>
      <c r="C558" s="5"/>
      <c r="D558" s="48"/>
      <c r="E558" s="50"/>
      <c r="F558" s="5"/>
      <c r="G558" s="5"/>
      <c r="H558" s="5"/>
      <c r="I558" s="5"/>
      <c r="J558" s="5"/>
      <c r="K558" s="50"/>
      <c r="L558" s="50"/>
      <c r="M558" s="50"/>
      <c r="N558" s="50"/>
      <c r="O558" s="50"/>
      <c r="P558" s="50"/>
      <c r="Q558" s="50"/>
      <c r="R558" s="50"/>
      <c r="S558" s="50"/>
      <c r="T558" s="50"/>
      <c r="U558" s="50"/>
      <c r="V558" s="50"/>
      <c r="W558" s="50"/>
      <c r="X558" s="50"/>
      <c r="Y558" s="50"/>
      <c r="Z558" s="50"/>
      <c r="AA558" s="50"/>
      <c r="AB558" s="50"/>
    </row>
    <row r="559" customFormat="false" ht="15.75" hidden="false" customHeight="false" outlineLevel="0" collapsed="false">
      <c r="A559" s="50"/>
      <c r="B559" s="50"/>
      <c r="C559" s="5"/>
      <c r="D559" s="48"/>
      <c r="E559" s="50"/>
      <c r="F559" s="5"/>
      <c r="G559" s="5"/>
      <c r="H559" s="5"/>
      <c r="I559" s="5"/>
      <c r="J559" s="5"/>
      <c r="K559" s="50"/>
      <c r="L559" s="50"/>
      <c r="M559" s="50"/>
      <c r="N559" s="50"/>
      <c r="O559" s="50"/>
      <c r="P559" s="50"/>
      <c r="Q559" s="50"/>
      <c r="R559" s="50"/>
      <c r="S559" s="50"/>
      <c r="T559" s="50"/>
      <c r="U559" s="50"/>
      <c r="V559" s="50"/>
      <c r="W559" s="50"/>
      <c r="X559" s="50"/>
      <c r="Y559" s="50"/>
      <c r="Z559" s="50"/>
      <c r="AA559" s="50"/>
      <c r="AB559" s="50"/>
    </row>
    <row r="560" customFormat="false" ht="15.75" hidden="false" customHeight="false" outlineLevel="0" collapsed="false">
      <c r="A560" s="50"/>
      <c r="B560" s="50"/>
      <c r="C560" s="5"/>
      <c r="D560" s="48"/>
      <c r="E560" s="50"/>
      <c r="F560" s="5"/>
      <c r="G560" s="5"/>
      <c r="H560" s="5"/>
      <c r="I560" s="5"/>
      <c r="J560" s="5"/>
      <c r="K560" s="50"/>
      <c r="L560" s="50"/>
      <c r="M560" s="50"/>
      <c r="N560" s="50"/>
      <c r="O560" s="50"/>
      <c r="P560" s="50"/>
      <c r="Q560" s="50"/>
      <c r="R560" s="50"/>
      <c r="S560" s="50"/>
      <c r="T560" s="50"/>
      <c r="U560" s="50"/>
      <c r="V560" s="50"/>
      <c r="W560" s="50"/>
      <c r="X560" s="50"/>
      <c r="Y560" s="50"/>
      <c r="Z560" s="50"/>
      <c r="AA560" s="50"/>
      <c r="AB560" s="50"/>
    </row>
    <row r="561" customFormat="false" ht="15.75" hidden="false" customHeight="false" outlineLevel="0" collapsed="false">
      <c r="A561" s="50"/>
      <c r="B561" s="50"/>
      <c r="C561" s="5"/>
      <c r="D561" s="48"/>
      <c r="E561" s="50"/>
      <c r="F561" s="5"/>
      <c r="G561" s="5"/>
      <c r="H561" s="5"/>
      <c r="I561" s="5"/>
      <c r="J561" s="5"/>
      <c r="K561" s="50"/>
      <c r="L561" s="50"/>
      <c r="M561" s="50"/>
      <c r="N561" s="50"/>
      <c r="O561" s="50"/>
      <c r="P561" s="50"/>
      <c r="Q561" s="50"/>
      <c r="R561" s="50"/>
      <c r="S561" s="50"/>
      <c r="T561" s="50"/>
      <c r="U561" s="50"/>
      <c r="V561" s="50"/>
      <c r="W561" s="50"/>
      <c r="X561" s="50"/>
      <c r="Y561" s="50"/>
      <c r="Z561" s="50"/>
      <c r="AA561" s="50"/>
      <c r="AB561" s="50"/>
    </row>
    <row r="562" customFormat="false" ht="15.75" hidden="false" customHeight="false" outlineLevel="0" collapsed="false">
      <c r="A562" s="50"/>
      <c r="B562" s="50"/>
      <c r="C562" s="5"/>
      <c r="D562" s="48"/>
      <c r="E562" s="50"/>
      <c r="F562" s="5"/>
      <c r="G562" s="5"/>
      <c r="H562" s="5"/>
      <c r="I562" s="5"/>
      <c r="J562" s="5"/>
      <c r="K562" s="50"/>
      <c r="L562" s="50"/>
      <c r="M562" s="50"/>
      <c r="N562" s="50"/>
      <c r="O562" s="50"/>
      <c r="P562" s="50"/>
      <c r="Q562" s="50"/>
      <c r="R562" s="50"/>
      <c r="S562" s="50"/>
      <c r="T562" s="50"/>
      <c r="U562" s="50"/>
      <c r="V562" s="50"/>
      <c r="W562" s="50"/>
      <c r="X562" s="50"/>
      <c r="Y562" s="50"/>
      <c r="Z562" s="50"/>
      <c r="AA562" s="50"/>
      <c r="AB562" s="50"/>
    </row>
    <row r="563" customFormat="false" ht="15.75" hidden="false" customHeight="false" outlineLevel="0" collapsed="false">
      <c r="A563" s="50"/>
      <c r="B563" s="50"/>
      <c r="C563" s="5"/>
      <c r="D563" s="48"/>
      <c r="E563" s="50"/>
      <c r="F563" s="5"/>
      <c r="G563" s="5"/>
      <c r="H563" s="5"/>
      <c r="I563" s="5"/>
      <c r="J563" s="5"/>
      <c r="K563" s="50"/>
      <c r="L563" s="50"/>
      <c r="M563" s="50"/>
      <c r="N563" s="50"/>
      <c r="O563" s="50"/>
      <c r="P563" s="50"/>
      <c r="Q563" s="50"/>
      <c r="R563" s="50"/>
      <c r="S563" s="50"/>
      <c r="T563" s="50"/>
      <c r="U563" s="50"/>
      <c r="V563" s="50"/>
      <c r="W563" s="50"/>
      <c r="X563" s="50"/>
      <c r="Y563" s="50"/>
      <c r="Z563" s="50"/>
      <c r="AA563" s="50"/>
      <c r="AB563" s="50"/>
    </row>
    <row r="564" customFormat="false" ht="15.75" hidden="false" customHeight="false" outlineLevel="0" collapsed="false">
      <c r="A564" s="50"/>
      <c r="B564" s="50"/>
      <c r="C564" s="5"/>
      <c r="D564" s="48"/>
      <c r="E564" s="50"/>
      <c r="F564" s="5"/>
      <c r="G564" s="5"/>
      <c r="H564" s="5"/>
      <c r="I564" s="5"/>
      <c r="J564" s="5"/>
      <c r="K564" s="50"/>
      <c r="L564" s="50"/>
      <c r="M564" s="50"/>
      <c r="N564" s="50"/>
      <c r="O564" s="50"/>
      <c r="P564" s="50"/>
      <c r="Q564" s="50"/>
      <c r="R564" s="50"/>
      <c r="S564" s="50"/>
      <c r="T564" s="50"/>
      <c r="U564" s="50"/>
      <c r="V564" s="50"/>
      <c r="W564" s="50"/>
      <c r="X564" s="50"/>
      <c r="Y564" s="50"/>
      <c r="Z564" s="50"/>
      <c r="AA564" s="50"/>
      <c r="AB564" s="50"/>
    </row>
    <row r="565" customFormat="false" ht="15.75" hidden="false" customHeight="false" outlineLevel="0" collapsed="false">
      <c r="A565" s="50"/>
      <c r="B565" s="50"/>
      <c r="C565" s="5"/>
      <c r="D565" s="48"/>
      <c r="E565" s="50"/>
      <c r="F565" s="5"/>
      <c r="G565" s="5"/>
      <c r="H565" s="5"/>
      <c r="I565" s="5"/>
      <c r="J565" s="5"/>
      <c r="K565" s="50"/>
      <c r="L565" s="50"/>
      <c r="M565" s="50"/>
      <c r="N565" s="50"/>
      <c r="O565" s="50"/>
      <c r="P565" s="50"/>
      <c r="Q565" s="50"/>
      <c r="R565" s="50"/>
      <c r="S565" s="50"/>
      <c r="T565" s="50"/>
      <c r="U565" s="50"/>
      <c r="V565" s="50"/>
      <c r="W565" s="50"/>
      <c r="X565" s="50"/>
      <c r="Y565" s="50"/>
      <c r="Z565" s="50"/>
      <c r="AA565" s="50"/>
      <c r="AB565" s="50"/>
    </row>
    <row r="566" customFormat="false" ht="15.75" hidden="false" customHeight="false" outlineLevel="0" collapsed="false">
      <c r="A566" s="50"/>
      <c r="B566" s="50"/>
      <c r="C566" s="5"/>
      <c r="D566" s="48"/>
      <c r="E566" s="50"/>
      <c r="F566" s="5"/>
      <c r="G566" s="5"/>
      <c r="H566" s="5"/>
      <c r="I566" s="5"/>
      <c r="J566" s="5"/>
      <c r="K566" s="50"/>
      <c r="L566" s="50"/>
      <c r="M566" s="50"/>
      <c r="N566" s="50"/>
      <c r="O566" s="50"/>
      <c r="P566" s="50"/>
      <c r="Q566" s="50"/>
      <c r="R566" s="50"/>
      <c r="S566" s="50"/>
      <c r="T566" s="50"/>
      <c r="U566" s="50"/>
      <c r="V566" s="50"/>
      <c r="W566" s="50"/>
      <c r="X566" s="50"/>
      <c r="Y566" s="50"/>
      <c r="Z566" s="50"/>
      <c r="AA566" s="50"/>
      <c r="AB566" s="50"/>
    </row>
    <row r="567" customFormat="false" ht="15.75" hidden="false" customHeight="false" outlineLevel="0" collapsed="false">
      <c r="A567" s="50"/>
      <c r="B567" s="50"/>
      <c r="C567" s="5"/>
      <c r="D567" s="48"/>
      <c r="E567" s="50"/>
      <c r="F567" s="5"/>
      <c r="G567" s="5"/>
      <c r="H567" s="5"/>
      <c r="I567" s="5"/>
      <c r="J567" s="5"/>
      <c r="K567" s="50"/>
      <c r="L567" s="50"/>
      <c r="M567" s="50"/>
      <c r="N567" s="50"/>
      <c r="O567" s="50"/>
      <c r="P567" s="50"/>
      <c r="Q567" s="50"/>
      <c r="R567" s="50"/>
      <c r="S567" s="50"/>
      <c r="T567" s="50"/>
      <c r="U567" s="50"/>
      <c r="V567" s="50"/>
      <c r="W567" s="50"/>
      <c r="X567" s="50"/>
      <c r="Y567" s="50"/>
      <c r="Z567" s="50"/>
      <c r="AA567" s="50"/>
      <c r="AB567" s="50"/>
    </row>
    <row r="568" customFormat="false" ht="15.75" hidden="false" customHeight="false" outlineLevel="0" collapsed="false">
      <c r="A568" s="50"/>
      <c r="B568" s="50"/>
      <c r="C568" s="5"/>
      <c r="D568" s="48"/>
      <c r="E568" s="50"/>
      <c r="F568" s="5"/>
      <c r="G568" s="5"/>
      <c r="H568" s="5"/>
      <c r="I568" s="5"/>
      <c r="J568" s="5"/>
      <c r="K568" s="50"/>
      <c r="L568" s="50"/>
      <c r="M568" s="50"/>
      <c r="N568" s="50"/>
      <c r="O568" s="50"/>
      <c r="P568" s="50"/>
      <c r="Q568" s="50"/>
      <c r="R568" s="50"/>
      <c r="S568" s="50"/>
      <c r="T568" s="50"/>
      <c r="U568" s="50"/>
      <c r="V568" s="50"/>
      <c r="W568" s="50"/>
      <c r="X568" s="50"/>
      <c r="Y568" s="50"/>
      <c r="Z568" s="50"/>
      <c r="AA568" s="50"/>
      <c r="AB568" s="50"/>
    </row>
    <row r="569" customFormat="false" ht="15.75" hidden="false" customHeight="false" outlineLevel="0" collapsed="false">
      <c r="A569" s="50"/>
      <c r="B569" s="50"/>
      <c r="C569" s="5"/>
      <c r="D569" s="48"/>
      <c r="E569" s="50"/>
      <c r="F569" s="5"/>
      <c r="G569" s="5"/>
      <c r="H569" s="5"/>
      <c r="I569" s="5"/>
      <c r="J569" s="5"/>
      <c r="K569" s="50"/>
      <c r="L569" s="50"/>
      <c r="M569" s="50"/>
      <c r="N569" s="50"/>
      <c r="O569" s="50"/>
      <c r="P569" s="50"/>
      <c r="Q569" s="50"/>
      <c r="R569" s="50"/>
      <c r="S569" s="50"/>
      <c r="T569" s="50"/>
      <c r="U569" s="50"/>
      <c r="V569" s="50"/>
      <c r="W569" s="50"/>
      <c r="X569" s="50"/>
      <c r="Y569" s="50"/>
      <c r="Z569" s="50"/>
      <c r="AA569" s="50"/>
      <c r="AB569" s="50"/>
    </row>
    <row r="570" customFormat="false" ht="15.75" hidden="false" customHeight="false" outlineLevel="0" collapsed="false">
      <c r="A570" s="50"/>
      <c r="B570" s="50"/>
      <c r="C570" s="5"/>
      <c r="D570" s="48"/>
      <c r="E570" s="50"/>
      <c r="F570" s="5"/>
      <c r="G570" s="5"/>
      <c r="H570" s="5"/>
      <c r="I570" s="5"/>
      <c r="J570" s="5"/>
      <c r="K570" s="50"/>
      <c r="L570" s="50"/>
      <c r="M570" s="50"/>
      <c r="N570" s="50"/>
      <c r="O570" s="50"/>
      <c r="P570" s="50"/>
      <c r="Q570" s="50"/>
      <c r="R570" s="50"/>
      <c r="S570" s="50"/>
      <c r="T570" s="50"/>
      <c r="U570" s="50"/>
      <c r="V570" s="50"/>
      <c r="W570" s="50"/>
      <c r="X570" s="50"/>
      <c r="Y570" s="50"/>
      <c r="Z570" s="50"/>
      <c r="AA570" s="50"/>
      <c r="AB570" s="50"/>
    </row>
    <row r="571" customFormat="false" ht="15.75" hidden="false" customHeight="false" outlineLevel="0" collapsed="false">
      <c r="A571" s="50"/>
      <c r="B571" s="50"/>
      <c r="C571" s="5"/>
      <c r="D571" s="48"/>
      <c r="E571" s="50"/>
      <c r="F571" s="5"/>
      <c r="G571" s="5"/>
      <c r="H571" s="5"/>
      <c r="I571" s="5"/>
      <c r="J571" s="5"/>
      <c r="K571" s="50"/>
      <c r="L571" s="50"/>
      <c r="M571" s="50"/>
      <c r="N571" s="50"/>
      <c r="O571" s="50"/>
      <c r="P571" s="50"/>
      <c r="Q571" s="50"/>
      <c r="R571" s="50"/>
      <c r="S571" s="50"/>
      <c r="T571" s="50"/>
      <c r="U571" s="50"/>
      <c r="V571" s="50"/>
      <c r="W571" s="50"/>
      <c r="X571" s="50"/>
      <c r="Y571" s="50"/>
      <c r="Z571" s="50"/>
      <c r="AA571" s="50"/>
      <c r="AB571" s="50"/>
    </row>
    <row r="572" customFormat="false" ht="15.75" hidden="false" customHeight="false" outlineLevel="0" collapsed="false">
      <c r="A572" s="50"/>
      <c r="B572" s="50"/>
      <c r="C572" s="5"/>
      <c r="D572" s="48"/>
      <c r="E572" s="50"/>
      <c r="F572" s="5"/>
      <c r="G572" s="5"/>
      <c r="H572" s="5"/>
      <c r="I572" s="5"/>
      <c r="J572" s="5"/>
      <c r="K572" s="50"/>
      <c r="L572" s="50"/>
      <c r="M572" s="50"/>
      <c r="N572" s="50"/>
      <c r="O572" s="50"/>
      <c r="P572" s="50"/>
      <c r="Q572" s="50"/>
      <c r="R572" s="50"/>
      <c r="S572" s="50"/>
      <c r="T572" s="50"/>
      <c r="U572" s="50"/>
      <c r="V572" s="50"/>
      <c r="W572" s="50"/>
      <c r="X572" s="50"/>
      <c r="Y572" s="50"/>
      <c r="Z572" s="50"/>
      <c r="AA572" s="50"/>
      <c r="AB572" s="50"/>
    </row>
    <row r="573" customFormat="false" ht="15.75" hidden="false" customHeight="false" outlineLevel="0" collapsed="false">
      <c r="A573" s="50"/>
      <c r="B573" s="50"/>
      <c r="C573" s="5"/>
      <c r="D573" s="48"/>
      <c r="E573" s="50"/>
      <c r="F573" s="5"/>
      <c r="G573" s="5"/>
      <c r="H573" s="5"/>
      <c r="I573" s="5"/>
      <c r="J573" s="5"/>
      <c r="K573" s="50"/>
      <c r="L573" s="50"/>
      <c r="M573" s="50"/>
      <c r="N573" s="50"/>
      <c r="O573" s="50"/>
      <c r="P573" s="50"/>
      <c r="Q573" s="50"/>
      <c r="R573" s="50"/>
      <c r="S573" s="50"/>
      <c r="T573" s="50"/>
      <c r="U573" s="50"/>
      <c r="V573" s="50"/>
      <c r="W573" s="50"/>
      <c r="X573" s="50"/>
      <c r="Y573" s="50"/>
      <c r="Z573" s="50"/>
      <c r="AA573" s="50"/>
      <c r="AB573" s="50"/>
    </row>
    <row r="574" customFormat="false" ht="15.75" hidden="false" customHeight="false" outlineLevel="0" collapsed="false">
      <c r="A574" s="50"/>
      <c r="B574" s="50"/>
      <c r="C574" s="5"/>
      <c r="D574" s="48"/>
      <c r="E574" s="50"/>
      <c r="F574" s="5"/>
      <c r="G574" s="5"/>
      <c r="H574" s="5"/>
      <c r="I574" s="5"/>
      <c r="J574" s="5"/>
      <c r="K574" s="50"/>
      <c r="L574" s="50"/>
      <c r="M574" s="50"/>
      <c r="N574" s="50"/>
      <c r="O574" s="50"/>
      <c r="P574" s="50"/>
      <c r="Q574" s="50"/>
      <c r="R574" s="50"/>
      <c r="S574" s="50"/>
      <c r="T574" s="50"/>
      <c r="U574" s="50"/>
      <c r="V574" s="50"/>
      <c r="W574" s="50"/>
      <c r="X574" s="50"/>
      <c r="Y574" s="50"/>
      <c r="Z574" s="50"/>
      <c r="AA574" s="50"/>
      <c r="AB574" s="50"/>
    </row>
    <row r="575" customFormat="false" ht="15.75" hidden="false" customHeight="false" outlineLevel="0" collapsed="false">
      <c r="A575" s="50"/>
      <c r="B575" s="50"/>
      <c r="C575" s="5"/>
      <c r="D575" s="48"/>
      <c r="E575" s="50"/>
      <c r="F575" s="5"/>
      <c r="G575" s="5"/>
      <c r="H575" s="5"/>
      <c r="I575" s="5"/>
      <c r="J575" s="5"/>
      <c r="K575" s="50"/>
      <c r="L575" s="50"/>
      <c r="M575" s="50"/>
      <c r="N575" s="50"/>
      <c r="O575" s="50"/>
      <c r="P575" s="50"/>
      <c r="Q575" s="50"/>
      <c r="R575" s="50"/>
      <c r="S575" s="50"/>
      <c r="T575" s="50"/>
      <c r="U575" s="50"/>
      <c r="V575" s="50"/>
      <c r="W575" s="50"/>
      <c r="X575" s="50"/>
      <c r="Y575" s="50"/>
      <c r="Z575" s="50"/>
      <c r="AA575" s="50"/>
      <c r="AB575" s="50"/>
    </row>
    <row r="576" customFormat="false" ht="15.75" hidden="false" customHeight="false" outlineLevel="0" collapsed="false">
      <c r="A576" s="50"/>
      <c r="B576" s="50"/>
      <c r="C576" s="5"/>
      <c r="D576" s="48"/>
      <c r="E576" s="50"/>
      <c r="F576" s="5"/>
      <c r="G576" s="5"/>
      <c r="H576" s="5"/>
      <c r="I576" s="5"/>
      <c r="J576" s="5"/>
      <c r="K576" s="50"/>
      <c r="L576" s="50"/>
      <c r="M576" s="50"/>
      <c r="N576" s="50"/>
      <c r="O576" s="50"/>
      <c r="P576" s="50"/>
      <c r="Q576" s="50"/>
      <c r="R576" s="50"/>
      <c r="S576" s="50"/>
      <c r="T576" s="50"/>
      <c r="U576" s="50"/>
      <c r="V576" s="50"/>
      <c r="W576" s="50"/>
      <c r="X576" s="50"/>
      <c r="Y576" s="50"/>
      <c r="Z576" s="50"/>
      <c r="AA576" s="50"/>
      <c r="AB576" s="50"/>
    </row>
    <row r="577" customFormat="false" ht="15.75" hidden="false" customHeight="false" outlineLevel="0" collapsed="false">
      <c r="A577" s="50"/>
      <c r="B577" s="50"/>
      <c r="C577" s="5"/>
      <c r="D577" s="48"/>
      <c r="E577" s="50"/>
      <c r="F577" s="5"/>
      <c r="G577" s="5"/>
      <c r="H577" s="5"/>
      <c r="I577" s="5"/>
      <c r="J577" s="5"/>
      <c r="K577" s="50"/>
      <c r="L577" s="50"/>
      <c r="M577" s="50"/>
      <c r="N577" s="50"/>
      <c r="O577" s="50"/>
      <c r="P577" s="50"/>
      <c r="Q577" s="50"/>
      <c r="R577" s="50"/>
      <c r="S577" s="50"/>
      <c r="T577" s="50"/>
      <c r="U577" s="50"/>
      <c r="V577" s="50"/>
      <c r="W577" s="50"/>
      <c r="X577" s="50"/>
      <c r="Y577" s="50"/>
      <c r="Z577" s="50"/>
      <c r="AA577" s="50"/>
      <c r="AB577" s="50"/>
    </row>
    <row r="578" customFormat="false" ht="15.75" hidden="false" customHeight="false" outlineLevel="0" collapsed="false">
      <c r="A578" s="50"/>
      <c r="B578" s="50"/>
      <c r="C578" s="5"/>
      <c r="D578" s="48"/>
      <c r="E578" s="50"/>
      <c r="F578" s="5"/>
      <c r="G578" s="5"/>
      <c r="H578" s="5"/>
      <c r="I578" s="5"/>
      <c r="J578" s="5"/>
      <c r="K578" s="50"/>
      <c r="L578" s="50"/>
      <c r="M578" s="50"/>
      <c r="N578" s="50"/>
      <c r="O578" s="50"/>
      <c r="P578" s="50"/>
      <c r="Q578" s="50"/>
      <c r="R578" s="50"/>
      <c r="S578" s="50"/>
      <c r="T578" s="50"/>
      <c r="U578" s="50"/>
      <c r="V578" s="50"/>
      <c r="W578" s="50"/>
      <c r="X578" s="50"/>
      <c r="Y578" s="50"/>
      <c r="Z578" s="50"/>
      <c r="AA578" s="50"/>
      <c r="AB578" s="50"/>
    </row>
    <row r="579" customFormat="false" ht="15.75" hidden="false" customHeight="false" outlineLevel="0" collapsed="false">
      <c r="A579" s="50"/>
      <c r="B579" s="50"/>
      <c r="C579" s="5"/>
      <c r="D579" s="48"/>
      <c r="E579" s="50"/>
      <c r="F579" s="5"/>
      <c r="G579" s="5"/>
      <c r="H579" s="5"/>
      <c r="I579" s="5"/>
      <c r="J579" s="5"/>
      <c r="K579" s="50"/>
      <c r="L579" s="50"/>
      <c r="M579" s="50"/>
      <c r="N579" s="50"/>
      <c r="O579" s="50"/>
      <c r="P579" s="50"/>
      <c r="Q579" s="50"/>
      <c r="R579" s="50"/>
      <c r="S579" s="50"/>
      <c r="T579" s="50"/>
      <c r="U579" s="50"/>
      <c r="V579" s="50"/>
      <c r="W579" s="50"/>
      <c r="X579" s="50"/>
      <c r="Y579" s="50"/>
      <c r="Z579" s="50"/>
      <c r="AA579" s="50"/>
      <c r="AB579" s="50"/>
    </row>
    <row r="580" customFormat="false" ht="15.75" hidden="false" customHeight="false" outlineLevel="0" collapsed="false">
      <c r="A580" s="50"/>
      <c r="B580" s="50"/>
      <c r="C580" s="5"/>
      <c r="D580" s="48"/>
      <c r="E580" s="50"/>
      <c r="F580" s="5"/>
      <c r="G580" s="5"/>
      <c r="H580" s="5"/>
      <c r="I580" s="5"/>
      <c r="J580" s="5"/>
      <c r="K580" s="50"/>
      <c r="L580" s="50"/>
      <c r="M580" s="50"/>
      <c r="N580" s="50"/>
      <c r="O580" s="50"/>
      <c r="P580" s="50"/>
      <c r="Q580" s="50"/>
      <c r="R580" s="50"/>
      <c r="S580" s="50"/>
      <c r="T580" s="50"/>
      <c r="U580" s="50"/>
      <c r="V580" s="50"/>
      <c r="W580" s="50"/>
      <c r="X580" s="50"/>
      <c r="Y580" s="50"/>
      <c r="Z580" s="50"/>
      <c r="AA580" s="50"/>
      <c r="AB580" s="50"/>
    </row>
    <row r="581" customFormat="false" ht="15.75" hidden="false" customHeight="false" outlineLevel="0" collapsed="false">
      <c r="A581" s="50"/>
      <c r="B581" s="50"/>
      <c r="C581" s="5"/>
      <c r="D581" s="48"/>
      <c r="E581" s="50"/>
      <c r="F581" s="5"/>
      <c r="G581" s="5"/>
      <c r="H581" s="5"/>
      <c r="I581" s="5"/>
      <c r="J581" s="5"/>
      <c r="K581" s="50"/>
      <c r="L581" s="50"/>
      <c r="M581" s="50"/>
      <c r="N581" s="50"/>
      <c r="O581" s="50"/>
      <c r="P581" s="50"/>
      <c r="Q581" s="50"/>
      <c r="R581" s="50"/>
      <c r="S581" s="50"/>
      <c r="T581" s="50"/>
      <c r="U581" s="50"/>
      <c r="V581" s="50"/>
      <c r="W581" s="50"/>
      <c r="X581" s="50"/>
      <c r="Y581" s="50"/>
      <c r="Z581" s="50"/>
      <c r="AA581" s="50"/>
      <c r="AB581" s="50"/>
    </row>
    <row r="582" customFormat="false" ht="15.75" hidden="false" customHeight="false" outlineLevel="0" collapsed="false">
      <c r="A582" s="50"/>
      <c r="B582" s="50"/>
      <c r="C582" s="5"/>
      <c r="D582" s="48"/>
      <c r="E582" s="50"/>
      <c r="F582" s="5"/>
      <c r="G582" s="5"/>
      <c r="H582" s="5"/>
      <c r="I582" s="5"/>
      <c r="J582" s="5"/>
      <c r="K582" s="50"/>
      <c r="L582" s="50"/>
      <c r="M582" s="50"/>
      <c r="N582" s="50"/>
      <c r="O582" s="50"/>
      <c r="P582" s="50"/>
      <c r="Q582" s="50"/>
      <c r="R582" s="50"/>
      <c r="S582" s="50"/>
      <c r="T582" s="50"/>
      <c r="U582" s="50"/>
      <c r="V582" s="50"/>
      <c r="W582" s="50"/>
      <c r="X582" s="50"/>
      <c r="Y582" s="50"/>
      <c r="Z582" s="50"/>
      <c r="AA582" s="50"/>
      <c r="AB582" s="50"/>
    </row>
    <row r="583" customFormat="false" ht="15.75" hidden="false" customHeight="false" outlineLevel="0" collapsed="false">
      <c r="A583" s="50"/>
      <c r="B583" s="50"/>
      <c r="C583" s="5"/>
      <c r="D583" s="48"/>
      <c r="E583" s="50"/>
      <c r="F583" s="5"/>
      <c r="G583" s="5"/>
      <c r="H583" s="5"/>
      <c r="I583" s="5"/>
      <c r="J583" s="5"/>
      <c r="K583" s="50"/>
      <c r="L583" s="50"/>
      <c r="M583" s="50"/>
      <c r="N583" s="50"/>
      <c r="O583" s="50"/>
      <c r="P583" s="50"/>
      <c r="Q583" s="50"/>
      <c r="R583" s="50"/>
      <c r="S583" s="50"/>
      <c r="T583" s="50"/>
      <c r="U583" s="50"/>
      <c r="V583" s="50"/>
      <c r="W583" s="50"/>
      <c r="X583" s="50"/>
      <c r="Y583" s="50"/>
      <c r="Z583" s="50"/>
      <c r="AA583" s="50"/>
      <c r="AB583" s="50"/>
    </row>
    <row r="584" customFormat="false" ht="15.75" hidden="false" customHeight="false" outlineLevel="0" collapsed="false">
      <c r="A584" s="50"/>
      <c r="B584" s="50"/>
      <c r="C584" s="5"/>
      <c r="D584" s="48"/>
      <c r="E584" s="50"/>
      <c r="F584" s="5"/>
      <c r="G584" s="5"/>
      <c r="H584" s="5"/>
      <c r="I584" s="5"/>
      <c r="J584" s="5"/>
      <c r="K584" s="50"/>
      <c r="L584" s="50"/>
      <c r="M584" s="50"/>
      <c r="N584" s="50"/>
      <c r="O584" s="50"/>
      <c r="P584" s="50"/>
      <c r="Q584" s="50"/>
      <c r="R584" s="50"/>
      <c r="S584" s="50"/>
      <c r="T584" s="50"/>
      <c r="U584" s="50"/>
      <c r="V584" s="50"/>
      <c r="W584" s="50"/>
      <c r="X584" s="50"/>
      <c r="Y584" s="50"/>
      <c r="Z584" s="50"/>
      <c r="AA584" s="50"/>
      <c r="AB584" s="50"/>
    </row>
    <row r="585" customFormat="false" ht="15.75" hidden="false" customHeight="false" outlineLevel="0" collapsed="false">
      <c r="A585" s="50"/>
      <c r="B585" s="50"/>
      <c r="C585" s="5"/>
      <c r="D585" s="48"/>
      <c r="E585" s="50"/>
      <c r="F585" s="5"/>
      <c r="G585" s="5"/>
      <c r="H585" s="5"/>
      <c r="I585" s="5"/>
      <c r="J585" s="5"/>
      <c r="K585" s="50"/>
      <c r="L585" s="50"/>
      <c r="M585" s="50"/>
      <c r="N585" s="50"/>
      <c r="O585" s="50"/>
      <c r="P585" s="50"/>
      <c r="Q585" s="50"/>
      <c r="R585" s="50"/>
      <c r="S585" s="50"/>
      <c r="T585" s="50"/>
      <c r="U585" s="50"/>
      <c r="V585" s="50"/>
      <c r="W585" s="50"/>
      <c r="X585" s="50"/>
      <c r="Y585" s="50"/>
      <c r="Z585" s="50"/>
      <c r="AA585" s="50"/>
      <c r="AB585" s="50"/>
    </row>
    <row r="586" customFormat="false" ht="15.75" hidden="false" customHeight="false" outlineLevel="0" collapsed="false">
      <c r="A586" s="50"/>
      <c r="B586" s="50"/>
      <c r="C586" s="5"/>
      <c r="D586" s="48"/>
      <c r="E586" s="50"/>
      <c r="F586" s="5"/>
      <c r="G586" s="5"/>
      <c r="H586" s="5"/>
      <c r="I586" s="5"/>
      <c r="J586" s="5"/>
      <c r="K586" s="50"/>
      <c r="L586" s="50"/>
      <c r="M586" s="50"/>
      <c r="N586" s="50"/>
      <c r="O586" s="50"/>
      <c r="P586" s="50"/>
      <c r="Q586" s="50"/>
      <c r="R586" s="50"/>
      <c r="S586" s="50"/>
      <c r="T586" s="50"/>
      <c r="U586" s="50"/>
      <c r="V586" s="50"/>
      <c r="W586" s="50"/>
      <c r="X586" s="50"/>
      <c r="Y586" s="50"/>
      <c r="Z586" s="50"/>
      <c r="AA586" s="50"/>
      <c r="AB586" s="50"/>
    </row>
    <row r="587" customFormat="false" ht="15.75" hidden="false" customHeight="false" outlineLevel="0" collapsed="false">
      <c r="A587" s="50"/>
      <c r="B587" s="50"/>
      <c r="C587" s="5"/>
      <c r="D587" s="48"/>
      <c r="E587" s="50"/>
      <c r="F587" s="5"/>
      <c r="G587" s="5"/>
      <c r="H587" s="5"/>
      <c r="I587" s="5"/>
      <c r="J587" s="5"/>
      <c r="K587" s="50"/>
      <c r="L587" s="50"/>
      <c r="M587" s="50"/>
      <c r="N587" s="50"/>
      <c r="O587" s="50"/>
      <c r="P587" s="50"/>
      <c r="Q587" s="50"/>
      <c r="R587" s="50"/>
      <c r="S587" s="50"/>
      <c r="T587" s="50"/>
      <c r="U587" s="50"/>
      <c r="V587" s="50"/>
      <c r="W587" s="50"/>
      <c r="X587" s="50"/>
      <c r="Y587" s="50"/>
      <c r="Z587" s="50"/>
      <c r="AA587" s="50"/>
      <c r="AB587" s="50"/>
    </row>
    <row r="588" customFormat="false" ht="15.75" hidden="false" customHeight="false" outlineLevel="0" collapsed="false">
      <c r="A588" s="50"/>
      <c r="B588" s="50"/>
      <c r="C588" s="5"/>
      <c r="D588" s="48"/>
      <c r="E588" s="50"/>
      <c r="F588" s="5"/>
      <c r="G588" s="5"/>
      <c r="H588" s="5"/>
      <c r="I588" s="5"/>
      <c r="J588" s="5"/>
      <c r="K588" s="50"/>
      <c r="L588" s="50"/>
      <c r="M588" s="50"/>
      <c r="N588" s="50"/>
      <c r="O588" s="50"/>
      <c r="P588" s="50"/>
      <c r="Q588" s="50"/>
      <c r="R588" s="50"/>
      <c r="S588" s="50"/>
      <c r="T588" s="50"/>
      <c r="U588" s="50"/>
      <c r="V588" s="50"/>
      <c r="W588" s="50"/>
      <c r="X588" s="50"/>
      <c r="Y588" s="50"/>
      <c r="Z588" s="50"/>
      <c r="AA588" s="50"/>
      <c r="AB588" s="50"/>
    </row>
    <row r="589" customFormat="false" ht="15.75" hidden="false" customHeight="false" outlineLevel="0" collapsed="false">
      <c r="A589" s="50"/>
      <c r="B589" s="50"/>
      <c r="C589" s="5"/>
      <c r="D589" s="48"/>
      <c r="E589" s="50"/>
      <c r="F589" s="5"/>
      <c r="G589" s="5"/>
      <c r="H589" s="5"/>
      <c r="I589" s="5"/>
      <c r="J589" s="5"/>
      <c r="K589" s="50"/>
      <c r="L589" s="50"/>
      <c r="M589" s="50"/>
      <c r="N589" s="50"/>
      <c r="O589" s="50"/>
      <c r="P589" s="50"/>
      <c r="Q589" s="50"/>
      <c r="R589" s="50"/>
      <c r="S589" s="50"/>
      <c r="T589" s="50"/>
      <c r="U589" s="50"/>
      <c r="V589" s="50"/>
      <c r="W589" s="50"/>
      <c r="X589" s="50"/>
      <c r="Y589" s="50"/>
      <c r="Z589" s="50"/>
      <c r="AA589" s="50"/>
      <c r="AB589" s="50"/>
    </row>
    <row r="590" customFormat="false" ht="15.75" hidden="false" customHeight="false" outlineLevel="0" collapsed="false">
      <c r="A590" s="50"/>
      <c r="B590" s="50"/>
      <c r="C590" s="5"/>
      <c r="D590" s="48"/>
      <c r="E590" s="50"/>
      <c r="F590" s="5"/>
      <c r="G590" s="5"/>
      <c r="H590" s="5"/>
      <c r="I590" s="5"/>
      <c r="J590" s="5"/>
      <c r="K590" s="50"/>
      <c r="L590" s="50"/>
      <c r="M590" s="50"/>
      <c r="N590" s="50"/>
      <c r="O590" s="50"/>
      <c r="P590" s="50"/>
      <c r="Q590" s="50"/>
      <c r="R590" s="50"/>
      <c r="S590" s="50"/>
      <c r="T590" s="50"/>
      <c r="U590" s="50"/>
      <c r="V590" s="50"/>
      <c r="W590" s="50"/>
      <c r="X590" s="50"/>
      <c r="Y590" s="50"/>
      <c r="Z590" s="50"/>
      <c r="AA590" s="50"/>
      <c r="AB590" s="50"/>
    </row>
    <row r="591" customFormat="false" ht="15.75" hidden="false" customHeight="false" outlineLevel="0" collapsed="false">
      <c r="A591" s="50"/>
      <c r="B591" s="50"/>
      <c r="C591" s="5"/>
      <c r="D591" s="48"/>
      <c r="E591" s="50"/>
      <c r="F591" s="5"/>
      <c r="G591" s="5"/>
      <c r="H591" s="5"/>
      <c r="I591" s="5"/>
      <c r="J591" s="5"/>
      <c r="K591" s="50"/>
      <c r="L591" s="50"/>
      <c r="M591" s="50"/>
      <c r="N591" s="50"/>
      <c r="O591" s="50"/>
      <c r="P591" s="50"/>
      <c r="Q591" s="50"/>
      <c r="R591" s="50"/>
      <c r="S591" s="50"/>
      <c r="T591" s="50"/>
      <c r="U591" s="50"/>
      <c r="V591" s="50"/>
      <c r="W591" s="50"/>
      <c r="X591" s="50"/>
      <c r="Y591" s="50"/>
      <c r="Z591" s="50"/>
      <c r="AA591" s="50"/>
      <c r="AB591" s="50"/>
    </row>
    <row r="592" customFormat="false" ht="15.75" hidden="false" customHeight="false" outlineLevel="0" collapsed="false">
      <c r="A592" s="50"/>
      <c r="B592" s="50"/>
      <c r="C592" s="5"/>
      <c r="D592" s="48"/>
      <c r="E592" s="50"/>
      <c r="F592" s="5"/>
      <c r="G592" s="5"/>
      <c r="H592" s="5"/>
      <c r="I592" s="5"/>
      <c r="J592" s="5"/>
      <c r="K592" s="50"/>
      <c r="L592" s="50"/>
      <c r="M592" s="50"/>
      <c r="N592" s="50"/>
      <c r="O592" s="50"/>
      <c r="P592" s="50"/>
      <c r="Q592" s="50"/>
      <c r="R592" s="50"/>
      <c r="S592" s="50"/>
      <c r="T592" s="50"/>
      <c r="U592" s="50"/>
      <c r="V592" s="50"/>
      <c r="W592" s="50"/>
      <c r="X592" s="50"/>
      <c r="Y592" s="50"/>
      <c r="Z592" s="50"/>
      <c r="AA592" s="50"/>
      <c r="AB592" s="50"/>
    </row>
    <row r="593" customFormat="false" ht="15.75" hidden="false" customHeight="false" outlineLevel="0" collapsed="false">
      <c r="A593" s="50"/>
      <c r="B593" s="50"/>
      <c r="C593" s="5"/>
      <c r="D593" s="48"/>
      <c r="E593" s="50"/>
      <c r="F593" s="5"/>
      <c r="G593" s="5"/>
      <c r="H593" s="5"/>
      <c r="I593" s="5"/>
      <c r="J593" s="5"/>
      <c r="K593" s="50"/>
      <c r="L593" s="50"/>
      <c r="M593" s="50"/>
      <c r="N593" s="50"/>
      <c r="O593" s="50"/>
      <c r="P593" s="50"/>
      <c r="Q593" s="50"/>
      <c r="R593" s="50"/>
      <c r="S593" s="50"/>
      <c r="T593" s="50"/>
      <c r="U593" s="50"/>
      <c r="V593" s="50"/>
      <c r="W593" s="50"/>
      <c r="X593" s="50"/>
      <c r="Y593" s="50"/>
      <c r="Z593" s="50"/>
      <c r="AA593" s="50"/>
      <c r="AB593" s="50"/>
    </row>
    <row r="594" customFormat="false" ht="15.75" hidden="false" customHeight="false" outlineLevel="0" collapsed="false">
      <c r="A594" s="50"/>
      <c r="B594" s="50"/>
      <c r="C594" s="5"/>
      <c r="D594" s="48"/>
      <c r="E594" s="50"/>
      <c r="F594" s="5"/>
      <c r="G594" s="5"/>
      <c r="H594" s="5"/>
      <c r="I594" s="5"/>
      <c r="J594" s="5"/>
      <c r="K594" s="50"/>
      <c r="L594" s="50"/>
      <c r="M594" s="50"/>
      <c r="N594" s="50"/>
      <c r="O594" s="50"/>
      <c r="P594" s="50"/>
      <c r="Q594" s="50"/>
      <c r="R594" s="50"/>
      <c r="S594" s="50"/>
      <c r="T594" s="50"/>
      <c r="U594" s="50"/>
      <c r="V594" s="50"/>
      <c r="W594" s="50"/>
      <c r="X594" s="50"/>
      <c r="Y594" s="50"/>
      <c r="Z594" s="50"/>
      <c r="AA594" s="50"/>
      <c r="AB594" s="50"/>
    </row>
    <row r="595" customFormat="false" ht="15.75" hidden="false" customHeight="false" outlineLevel="0" collapsed="false">
      <c r="A595" s="50"/>
      <c r="B595" s="50"/>
      <c r="C595" s="5"/>
      <c r="D595" s="48"/>
      <c r="E595" s="50"/>
      <c r="F595" s="5"/>
      <c r="G595" s="5"/>
      <c r="H595" s="5"/>
      <c r="I595" s="5"/>
      <c r="J595" s="5"/>
      <c r="K595" s="50"/>
      <c r="L595" s="50"/>
      <c r="M595" s="50"/>
      <c r="N595" s="50"/>
      <c r="O595" s="50"/>
      <c r="P595" s="50"/>
      <c r="Q595" s="50"/>
      <c r="R595" s="50"/>
      <c r="S595" s="50"/>
      <c r="T595" s="50"/>
      <c r="U595" s="50"/>
      <c r="V595" s="50"/>
      <c r="W595" s="50"/>
      <c r="X595" s="50"/>
      <c r="Y595" s="50"/>
      <c r="Z595" s="50"/>
      <c r="AA595" s="50"/>
      <c r="AB595" s="50"/>
    </row>
    <row r="596" customFormat="false" ht="15.75" hidden="false" customHeight="false" outlineLevel="0" collapsed="false">
      <c r="A596" s="50"/>
      <c r="B596" s="50"/>
      <c r="C596" s="5"/>
      <c r="D596" s="48"/>
      <c r="E596" s="50"/>
      <c r="F596" s="5"/>
      <c r="G596" s="5"/>
      <c r="H596" s="5"/>
      <c r="I596" s="5"/>
      <c r="J596" s="5"/>
      <c r="K596" s="50"/>
      <c r="L596" s="50"/>
      <c r="M596" s="50"/>
      <c r="N596" s="50"/>
      <c r="O596" s="50"/>
      <c r="P596" s="50"/>
      <c r="Q596" s="50"/>
      <c r="R596" s="50"/>
      <c r="S596" s="50"/>
      <c r="T596" s="50"/>
      <c r="U596" s="50"/>
      <c r="V596" s="50"/>
      <c r="W596" s="50"/>
      <c r="X596" s="50"/>
      <c r="Y596" s="50"/>
      <c r="Z596" s="50"/>
      <c r="AA596" s="50"/>
      <c r="AB596" s="50"/>
    </row>
    <row r="597" customFormat="false" ht="15.75" hidden="false" customHeight="false" outlineLevel="0" collapsed="false">
      <c r="A597" s="50"/>
      <c r="B597" s="50"/>
      <c r="C597" s="5"/>
      <c r="D597" s="48"/>
      <c r="E597" s="50"/>
      <c r="F597" s="5"/>
      <c r="G597" s="5"/>
      <c r="H597" s="5"/>
      <c r="I597" s="5"/>
      <c r="J597" s="5"/>
      <c r="K597" s="50"/>
      <c r="L597" s="50"/>
      <c r="M597" s="50"/>
      <c r="N597" s="50"/>
      <c r="O597" s="50"/>
      <c r="P597" s="50"/>
      <c r="Q597" s="50"/>
      <c r="R597" s="50"/>
      <c r="S597" s="50"/>
      <c r="T597" s="50"/>
      <c r="U597" s="50"/>
      <c r="V597" s="50"/>
      <c r="W597" s="50"/>
      <c r="X597" s="50"/>
      <c r="Y597" s="50"/>
      <c r="Z597" s="50"/>
      <c r="AA597" s="50"/>
      <c r="AB597" s="50"/>
    </row>
    <row r="598" customFormat="false" ht="15.75" hidden="false" customHeight="false" outlineLevel="0" collapsed="false">
      <c r="A598" s="50"/>
      <c r="B598" s="50"/>
      <c r="C598" s="5"/>
      <c r="D598" s="48"/>
      <c r="E598" s="50"/>
      <c r="F598" s="5"/>
      <c r="G598" s="5"/>
      <c r="H598" s="5"/>
      <c r="I598" s="5"/>
      <c r="J598" s="5"/>
      <c r="K598" s="50"/>
      <c r="L598" s="50"/>
      <c r="M598" s="50"/>
      <c r="N598" s="50"/>
      <c r="O598" s="50"/>
      <c r="P598" s="50"/>
      <c r="Q598" s="50"/>
      <c r="R598" s="50"/>
      <c r="S598" s="50"/>
      <c r="T598" s="50"/>
      <c r="U598" s="50"/>
      <c r="V598" s="50"/>
      <c r="W598" s="50"/>
      <c r="X598" s="50"/>
      <c r="Y598" s="50"/>
      <c r="Z598" s="50"/>
      <c r="AA598" s="50"/>
      <c r="AB598" s="50"/>
    </row>
    <row r="599" customFormat="false" ht="15.75" hidden="false" customHeight="false" outlineLevel="0" collapsed="false">
      <c r="A599" s="50"/>
      <c r="B599" s="50"/>
      <c r="C599" s="5"/>
      <c r="D599" s="48"/>
      <c r="E599" s="50"/>
      <c r="F599" s="5"/>
      <c r="G599" s="5"/>
      <c r="H599" s="5"/>
      <c r="I599" s="5"/>
      <c r="J599" s="5"/>
      <c r="K599" s="50"/>
      <c r="L599" s="50"/>
      <c r="M599" s="50"/>
      <c r="N599" s="50"/>
      <c r="O599" s="50"/>
      <c r="P599" s="50"/>
      <c r="Q599" s="50"/>
      <c r="R599" s="50"/>
      <c r="S599" s="50"/>
      <c r="T599" s="50"/>
      <c r="U599" s="50"/>
      <c r="V599" s="50"/>
      <c r="W599" s="50"/>
      <c r="X599" s="50"/>
      <c r="Y599" s="50"/>
      <c r="Z599" s="50"/>
      <c r="AA599" s="50"/>
      <c r="AB599" s="50"/>
    </row>
    <row r="600" customFormat="false" ht="15.75" hidden="false" customHeight="false" outlineLevel="0" collapsed="false">
      <c r="A600" s="50"/>
      <c r="B600" s="50"/>
      <c r="C600" s="5"/>
      <c r="D600" s="48"/>
      <c r="E600" s="50"/>
      <c r="F600" s="5"/>
      <c r="G600" s="5"/>
      <c r="H600" s="5"/>
      <c r="I600" s="5"/>
      <c r="J600" s="5"/>
      <c r="K600" s="50"/>
      <c r="L600" s="50"/>
      <c r="M600" s="50"/>
      <c r="N600" s="50"/>
      <c r="O600" s="50"/>
      <c r="P600" s="50"/>
      <c r="Q600" s="50"/>
      <c r="R600" s="50"/>
      <c r="S600" s="50"/>
      <c r="T600" s="50"/>
      <c r="U600" s="50"/>
      <c r="V600" s="50"/>
      <c r="W600" s="50"/>
      <c r="X600" s="50"/>
      <c r="Y600" s="50"/>
      <c r="Z600" s="50"/>
      <c r="AA600" s="50"/>
      <c r="AB600" s="50"/>
    </row>
    <row r="601" customFormat="false" ht="15.75" hidden="false" customHeight="false" outlineLevel="0" collapsed="false">
      <c r="A601" s="50"/>
      <c r="B601" s="50"/>
      <c r="C601" s="5"/>
      <c r="D601" s="48"/>
      <c r="E601" s="50"/>
      <c r="F601" s="5"/>
      <c r="G601" s="5"/>
      <c r="H601" s="5"/>
      <c r="I601" s="5"/>
      <c r="J601" s="5"/>
      <c r="K601" s="50"/>
      <c r="L601" s="50"/>
      <c r="M601" s="50"/>
      <c r="N601" s="50"/>
      <c r="O601" s="50"/>
      <c r="P601" s="50"/>
      <c r="Q601" s="50"/>
      <c r="R601" s="50"/>
      <c r="S601" s="50"/>
      <c r="T601" s="50"/>
      <c r="U601" s="50"/>
      <c r="V601" s="50"/>
      <c r="W601" s="50"/>
      <c r="X601" s="50"/>
      <c r="Y601" s="50"/>
      <c r="Z601" s="50"/>
      <c r="AA601" s="50"/>
      <c r="AB601" s="50"/>
    </row>
    <row r="602" customFormat="false" ht="15.75" hidden="false" customHeight="false" outlineLevel="0" collapsed="false">
      <c r="A602" s="50"/>
      <c r="B602" s="50"/>
      <c r="C602" s="5"/>
      <c r="D602" s="48"/>
      <c r="E602" s="50"/>
      <c r="F602" s="5"/>
      <c r="G602" s="5"/>
      <c r="H602" s="5"/>
      <c r="I602" s="5"/>
      <c r="J602" s="5"/>
      <c r="K602" s="50"/>
      <c r="L602" s="50"/>
      <c r="M602" s="50"/>
      <c r="N602" s="50"/>
      <c r="O602" s="50"/>
      <c r="P602" s="50"/>
      <c r="Q602" s="50"/>
      <c r="R602" s="50"/>
      <c r="S602" s="50"/>
      <c r="T602" s="50"/>
      <c r="U602" s="50"/>
      <c r="V602" s="50"/>
      <c r="W602" s="50"/>
      <c r="X602" s="50"/>
      <c r="Y602" s="50"/>
      <c r="Z602" s="50"/>
      <c r="AA602" s="50"/>
      <c r="AB602" s="50"/>
    </row>
    <row r="603" customFormat="false" ht="15.75" hidden="false" customHeight="false" outlineLevel="0" collapsed="false">
      <c r="A603" s="50"/>
      <c r="B603" s="50"/>
      <c r="C603" s="5"/>
      <c r="D603" s="48"/>
      <c r="E603" s="50"/>
      <c r="F603" s="5"/>
      <c r="G603" s="5"/>
      <c r="H603" s="5"/>
      <c r="I603" s="5"/>
      <c r="J603" s="5"/>
      <c r="K603" s="50"/>
      <c r="L603" s="50"/>
      <c r="M603" s="50"/>
      <c r="N603" s="50"/>
      <c r="O603" s="50"/>
      <c r="P603" s="50"/>
      <c r="Q603" s="50"/>
      <c r="R603" s="50"/>
      <c r="S603" s="50"/>
      <c r="T603" s="50"/>
      <c r="U603" s="50"/>
      <c r="V603" s="50"/>
      <c r="W603" s="50"/>
      <c r="X603" s="50"/>
      <c r="Y603" s="50"/>
      <c r="Z603" s="50"/>
      <c r="AA603" s="50"/>
      <c r="AB603" s="50"/>
    </row>
    <row r="604" customFormat="false" ht="15.75" hidden="false" customHeight="false" outlineLevel="0" collapsed="false">
      <c r="A604" s="50"/>
      <c r="B604" s="50"/>
      <c r="C604" s="5"/>
      <c r="D604" s="48"/>
      <c r="E604" s="50"/>
      <c r="F604" s="5"/>
      <c r="G604" s="5"/>
      <c r="H604" s="5"/>
      <c r="I604" s="5"/>
      <c r="J604" s="5"/>
      <c r="K604" s="50"/>
      <c r="L604" s="50"/>
      <c r="M604" s="50"/>
      <c r="N604" s="50"/>
      <c r="O604" s="50"/>
      <c r="P604" s="50"/>
      <c r="Q604" s="50"/>
      <c r="R604" s="50"/>
      <c r="S604" s="50"/>
      <c r="T604" s="50"/>
      <c r="U604" s="50"/>
      <c r="V604" s="50"/>
      <c r="W604" s="50"/>
      <c r="X604" s="50"/>
      <c r="Y604" s="50"/>
      <c r="Z604" s="50"/>
      <c r="AA604" s="50"/>
      <c r="AB604" s="50"/>
    </row>
    <row r="605" customFormat="false" ht="15.75" hidden="false" customHeight="false" outlineLevel="0" collapsed="false">
      <c r="A605" s="50"/>
      <c r="B605" s="50"/>
      <c r="C605" s="5"/>
      <c r="D605" s="48"/>
      <c r="E605" s="50"/>
      <c r="F605" s="5"/>
      <c r="G605" s="5"/>
      <c r="H605" s="5"/>
      <c r="I605" s="5"/>
      <c r="J605" s="5"/>
      <c r="K605" s="50"/>
      <c r="L605" s="50"/>
      <c r="M605" s="50"/>
      <c r="N605" s="50"/>
      <c r="O605" s="50"/>
      <c r="P605" s="50"/>
      <c r="Q605" s="50"/>
      <c r="R605" s="50"/>
      <c r="S605" s="50"/>
      <c r="T605" s="50"/>
      <c r="U605" s="50"/>
      <c r="V605" s="50"/>
      <c r="W605" s="50"/>
      <c r="X605" s="50"/>
      <c r="Y605" s="50"/>
      <c r="Z605" s="50"/>
      <c r="AA605" s="50"/>
      <c r="AB605" s="50"/>
    </row>
    <row r="606" customFormat="false" ht="15.75" hidden="false" customHeight="false" outlineLevel="0" collapsed="false">
      <c r="A606" s="50"/>
      <c r="B606" s="50"/>
      <c r="C606" s="5"/>
      <c r="D606" s="48"/>
      <c r="E606" s="50"/>
      <c r="F606" s="5"/>
      <c r="G606" s="5"/>
      <c r="H606" s="5"/>
      <c r="I606" s="5"/>
      <c r="J606" s="5"/>
      <c r="K606" s="50"/>
      <c r="L606" s="50"/>
      <c r="M606" s="50"/>
      <c r="N606" s="50"/>
      <c r="O606" s="50"/>
      <c r="P606" s="50"/>
      <c r="Q606" s="50"/>
      <c r="R606" s="50"/>
      <c r="S606" s="50"/>
      <c r="T606" s="50"/>
      <c r="U606" s="50"/>
      <c r="V606" s="50"/>
      <c r="W606" s="50"/>
      <c r="X606" s="50"/>
      <c r="Y606" s="50"/>
      <c r="Z606" s="50"/>
      <c r="AA606" s="50"/>
      <c r="AB606" s="50"/>
    </row>
    <row r="607" customFormat="false" ht="15.75" hidden="false" customHeight="false" outlineLevel="0" collapsed="false">
      <c r="A607" s="50"/>
      <c r="B607" s="50"/>
      <c r="C607" s="5"/>
      <c r="D607" s="48"/>
      <c r="E607" s="50"/>
      <c r="F607" s="5"/>
      <c r="G607" s="5"/>
      <c r="H607" s="5"/>
      <c r="I607" s="5"/>
      <c r="J607" s="5"/>
      <c r="K607" s="50"/>
      <c r="L607" s="50"/>
      <c r="M607" s="50"/>
      <c r="N607" s="50"/>
      <c r="O607" s="50"/>
      <c r="P607" s="50"/>
      <c r="Q607" s="50"/>
      <c r="R607" s="50"/>
      <c r="S607" s="50"/>
      <c r="T607" s="50"/>
      <c r="U607" s="50"/>
      <c r="V607" s="50"/>
      <c r="W607" s="50"/>
      <c r="X607" s="50"/>
      <c r="Y607" s="50"/>
      <c r="Z607" s="50"/>
      <c r="AA607" s="50"/>
      <c r="AB607" s="50"/>
    </row>
    <row r="608" customFormat="false" ht="15.75" hidden="false" customHeight="false" outlineLevel="0" collapsed="false">
      <c r="A608" s="50"/>
      <c r="B608" s="50"/>
      <c r="C608" s="5"/>
      <c r="D608" s="48"/>
      <c r="E608" s="50"/>
      <c r="F608" s="5"/>
      <c r="G608" s="5"/>
      <c r="H608" s="5"/>
      <c r="I608" s="5"/>
      <c r="J608" s="5"/>
      <c r="K608" s="50"/>
      <c r="L608" s="50"/>
      <c r="M608" s="50"/>
      <c r="N608" s="50"/>
      <c r="O608" s="50"/>
      <c r="P608" s="50"/>
      <c r="Q608" s="50"/>
      <c r="R608" s="50"/>
      <c r="S608" s="50"/>
      <c r="T608" s="50"/>
      <c r="U608" s="50"/>
      <c r="V608" s="50"/>
      <c r="W608" s="50"/>
      <c r="X608" s="50"/>
      <c r="Y608" s="50"/>
      <c r="Z608" s="50"/>
      <c r="AA608" s="50"/>
      <c r="AB608" s="50"/>
    </row>
    <row r="609" customFormat="false" ht="15.75" hidden="false" customHeight="false" outlineLevel="0" collapsed="false">
      <c r="A609" s="50"/>
      <c r="B609" s="50"/>
      <c r="C609" s="5"/>
      <c r="D609" s="48"/>
      <c r="E609" s="50"/>
      <c r="F609" s="5"/>
      <c r="G609" s="5"/>
      <c r="H609" s="5"/>
      <c r="I609" s="5"/>
      <c r="J609" s="5"/>
      <c r="K609" s="50"/>
      <c r="L609" s="50"/>
      <c r="M609" s="50"/>
      <c r="N609" s="50"/>
      <c r="O609" s="50"/>
      <c r="P609" s="50"/>
      <c r="Q609" s="50"/>
      <c r="R609" s="50"/>
      <c r="S609" s="50"/>
      <c r="T609" s="50"/>
      <c r="U609" s="50"/>
      <c r="V609" s="50"/>
      <c r="W609" s="50"/>
      <c r="X609" s="50"/>
      <c r="Y609" s="50"/>
      <c r="Z609" s="50"/>
      <c r="AA609" s="50"/>
      <c r="AB609" s="50"/>
    </row>
    <row r="610" customFormat="false" ht="15.75" hidden="false" customHeight="false" outlineLevel="0" collapsed="false">
      <c r="A610" s="50"/>
      <c r="B610" s="50"/>
      <c r="C610" s="5"/>
      <c r="D610" s="48"/>
      <c r="E610" s="50"/>
      <c r="F610" s="5"/>
      <c r="G610" s="5"/>
      <c r="H610" s="5"/>
      <c r="I610" s="5"/>
      <c r="J610" s="5"/>
      <c r="K610" s="50"/>
      <c r="L610" s="50"/>
      <c r="M610" s="50"/>
      <c r="N610" s="50"/>
      <c r="O610" s="50"/>
      <c r="P610" s="50"/>
      <c r="Q610" s="50"/>
      <c r="R610" s="50"/>
      <c r="S610" s="50"/>
      <c r="T610" s="50"/>
      <c r="U610" s="50"/>
      <c r="V610" s="50"/>
      <c r="W610" s="50"/>
      <c r="X610" s="50"/>
      <c r="Y610" s="50"/>
      <c r="Z610" s="50"/>
      <c r="AA610" s="50"/>
      <c r="AB610" s="50"/>
    </row>
    <row r="611" customFormat="false" ht="15.75" hidden="false" customHeight="false" outlineLevel="0" collapsed="false">
      <c r="A611" s="50"/>
      <c r="B611" s="50"/>
      <c r="C611" s="5"/>
      <c r="D611" s="48"/>
      <c r="E611" s="50"/>
      <c r="F611" s="5"/>
      <c r="G611" s="5"/>
      <c r="H611" s="5"/>
      <c r="I611" s="5"/>
      <c r="J611" s="5"/>
      <c r="K611" s="50"/>
      <c r="L611" s="50"/>
      <c r="M611" s="50"/>
      <c r="N611" s="50"/>
      <c r="O611" s="50"/>
      <c r="P611" s="50"/>
      <c r="Q611" s="50"/>
      <c r="R611" s="50"/>
      <c r="S611" s="50"/>
      <c r="T611" s="50"/>
      <c r="U611" s="50"/>
      <c r="V611" s="50"/>
      <c r="W611" s="50"/>
      <c r="X611" s="50"/>
      <c r="Y611" s="50"/>
      <c r="Z611" s="50"/>
      <c r="AA611" s="50"/>
      <c r="AB611" s="50"/>
    </row>
    <row r="612" customFormat="false" ht="15.75" hidden="false" customHeight="false" outlineLevel="0" collapsed="false">
      <c r="A612" s="50"/>
      <c r="B612" s="50"/>
      <c r="C612" s="5"/>
      <c r="D612" s="48"/>
      <c r="E612" s="50"/>
      <c r="F612" s="5"/>
      <c r="G612" s="5"/>
      <c r="H612" s="5"/>
      <c r="I612" s="5"/>
      <c r="J612" s="5"/>
      <c r="K612" s="50"/>
      <c r="L612" s="50"/>
      <c r="M612" s="50"/>
      <c r="N612" s="50"/>
      <c r="O612" s="50"/>
      <c r="P612" s="50"/>
      <c r="Q612" s="50"/>
      <c r="R612" s="50"/>
      <c r="S612" s="50"/>
      <c r="T612" s="50"/>
      <c r="U612" s="50"/>
      <c r="V612" s="50"/>
      <c r="W612" s="50"/>
      <c r="X612" s="50"/>
      <c r="Y612" s="50"/>
      <c r="Z612" s="50"/>
      <c r="AA612" s="50"/>
      <c r="AB612" s="50"/>
    </row>
    <row r="613" customFormat="false" ht="15.75" hidden="false" customHeight="false" outlineLevel="0" collapsed="false">
      <c r="A613" s="50"/>
      <c r="B613" s="50"/>
      <c r="C613" s="5"/>
      <c r="D613" s="48"/>
      <c r="E613" s="50"/>
      <c r="F613" s="5"/>
      <c r="G613" s="5"/>
      <c r="H613" s="5"/>
      <c r="I613" s="5"/>
      <c r="J613" s="5"/>
      <c r="K613" s="50"/>
      <c r="L613" s="50"/>
      <c r="M613" s="50"/>
      <c r="N613" s="50"/>
      <c r="O613" s="50"/>
      <c r="P613" s="50"/>
      <c r="Q613" s="50"/>
      <c r="R613" s="50"/>
      <c r="S613" s="50"/>
      <c r="T613" s="50"/>
      <c r="U613" s="50"/>
      <c r="V613" s="50"/>
      <c r="W613" s="50"/>
      <c r="X613" s="50"/>
      <c r="Y613" s="50"/>
      <c r="Z613" s="50"/>
      <c r="AA613" s="50"/>
      <c r="AB613" s="50"/>
    </row>
    <row r="614" customFormat="false" ht="15.75" hidden="false" customHeight="false" outlineLevel="0" collapsed="false">
      <c r="A614" s="50"/>
      <c r="B614" s="50"/>
      <c r="C614" s="5"/>
      <c r="D614" s="48"/>
      <c r="E614" s="50"/>
      <c r="F614" s="5"/>
      <c r="G614" s="5"/>
      <c r="H614" s="5"/>
      <c r="I614" s="5"/>
      <c r="J614" s="5"/>
      <c r="K614" s="50"/>
      <c r="L614" s="50"/>
      <c r="M614" s="50"/>
      <c r="N614" s="50"/>
      <c r="O614" s="50"/>
      <c r="P614" s="50"/>
      <c r="Q614" s="50"/>
      <c r="R614" s="50"/>
      <c r="S614" s="50"/>
      <c r="T614" s="50"/>
      <c r="U614" s="50"/>
      <c r="V614" s="50"/>
      <c r="W614" s="50"/>
      <c r="X614" s="50"/>
      <c r="Y614" s="50"/>
      <c r="Z614" s="50"/>
      <c r="AA614" s="50"/>
      <c r="AB614" s="50"/>
    </row>
    <row r="615" customFormat="false" ht="15.75" hidden="false" customHeight="false" outlineLevel="0" collapsed="false">
      <c r="A615" s="50"/>
      <c r="B615" s="50"/>
      <c r="C615" s="5"/>
      <c r="D615" s="48"/>
      <c r="E615" s="50"/>
      <c r="F615" s="5"/>
      <c r="G615" s="5"/>
      <c r="H615" s="5"/>
      <c r="I615" s="5"/>
      <c r="J615" s="5"/>
      <c r="K615" s="50"/>
      <c r="L615" s="50"/>
      <c r="M615" s="50"/>
      <c r="N615" s="50"/>
      <c r="O615" s="50"/>
      <c r="P615" s="50"/>
      <c r="Q615" s="50"/>
      <c r="R615" s="50"/>
      <c r="S615" s="50"/>
      <c r="T615" s="50"/>
      <c r="U615" s="50"/>
      <c r="V615" s="50"/>
      <c r="W615" s="50"/>
      <c r="X615" s="50"/>
      <c r="Y615" s="50"/>
      <c r="Z615" s="50"/>
      <c r="AA615" s="50"/>
      <c r="AB615" s="50"/>
    </row>
    <row r="616" customFormat="false" ht="15.75" hidden="false" customHeight="false" outlineLevel="0" collapsed="false">
      <c r="A616" s="50"/>
      <c r="B616" s="50"/>
      <c r="C616" s="5"/>
      <c r="D616" s="48"/>
      <c r="E616" s="50"/>
      <c r="F616" s="5"/>
      <c r="G616" s="5"/>
      <c r="H616" s="5"/>
      <c r="I616" s="5"/>
      <c r="J616" s="5"/>
      <c r="K616" s="50"/>
      <c r="L616" s="50"/>
      <c r="M616" s="50"/>
      <c r="N616" s="50"/>
      <c r="O616" s="50"/>
      <c r="P616" s="50"/>
      <c r="Q616" s="50"/>
      <c r="R616" s="50"/>
      <c r="S616" s="50"/>
      <c r="T616" s="50"/>
      <c r="U616" s="50"/>
      <c r="V616" s="50"/>
      <c r="W616" s="50"/>
      <c r="X616" s="50"/>
      <c r="Y616" s="50"/>
      <c r="Z616" s="50"/>
      <c r="AA616" s="50"/>
      <c r="AB616" s="50"/>
    </row>
    <row r="617" customFormat="false" ht="15.75" hidden="false" customHeight="false" outlineLevel="0" collapsed="false">
      <c r="A617" s="50"/>
      <c r="B617" s="50"/>
      <c r="C617" s="5"/>
      <c r="D617" s="48"/>
      <c r="E617" s="50"/>
      <c r="F617" s="5"/>
      <c r="G617" s="5"/>
      <c r="H617" s="5"/>
      <c r="I617" s="5"/>
      <c r="J617" s="5"/>
      <c r="K617" s="50"/>
      <c r="L617" s="50"/>
      <c r="M617" s="50"/>
      <c r="N617" s="50"/>
      <c r="O617" s="50"/>
      <c r="P617" s="50"/>
      <c r="Q617" s="50"/>
      <c r="R617" s="50"/>
      <c r="S617" s="50"/>
      <c r="T617" s="50"/>
      <c r="U617" s="50"/>
      <c r="V617" s="50"/>
      <c r="W617" s="50"/>
      <c r="X617" s="50"/>
      <c r="Y617" s="50"/>
      <c r="Z617" s="50"/>
      <c r="AA617" s="50"/>
      <c r="AB617" s="50"/>
    </row>
    <row r="618" customFormat="false" ht="15.75" hidden="false" customHeight="false" outlineLevel="0" collapsed="false">
      <c r="A618" s="50"/>
      <c r="B618" s="50"/>
      <c r="C618" s="5"/>
      <c r="D618" s="48"/>
      <c r="E618" s="50"/>
      <c r="F618" s="5"/>
      <c r="G618" s="5"/>
      <c r="H618" s="5"/>
      <c r="I618" s="5"/>
      <c r="J618" s="5"/>
      <c r="K618" s="50"/>
      <c r="L618" s="50"/>
      <c r="M618" s="50"/>
      <c r="N618" s="50"/>
      <c r="O618" s="50"/>
      <c r="P618" s="50"/>
      <c r="Q618" s="50"/>
      <c r="R618" s="50"/>
      <c r="S618" s="50"/>
      <c r="T618" s="50"/>
      <c r="U618" s="50"/>
      <c r="V618" s="50"/>
      <c r="W618" s="50"/>
      <c r="X618" s="50"/>
      <c r="Y618" s="50"/>
      <c r="Z618" s="50"/>
      <c r="AA618" s="50"/>
      <c r="AB618" s="50"/>
    </row>
    <row r="619" customFormat="false" ht="15.75" hidden="false" customHeight="false" outlineLevel="0" collapsed="false">
      <c r="A619" s="50"/>
      <c r="B619" s="50"/>
      <c r="C619" s="5"/>
      <c r="D619" s="48"/>
      <c r="E619" s="50"/>
      <c r="F619" s="5"/>
      <c r="G619" s="5"/>
      <c r="H619" s="5"/>
      <c r="I619" s="5"/>
      <c r="J619" s="5"/>
      <c r="K619" s="50"/>
      <c r="L619" s="50"/>
      <c r="M619" s="50"/>
      <c r="N619" s="50"/>
      <c r="O619" s="50"/>
      <c r="P619" s="50"/>
      <c r="Q619" s="50"/>
      <c r="R619" s="50"/>
      <c r="S619" s="50"/>
      <c r="T619" s="50"/>
      <c r="U619" s="50"/>
      <c r="V619" s="50"/>
      <c r="W619" s="50"/>
      <c r="X619" s="50"/>
      <c r="Y619" s="50"/>
      <c r="Z619" s="50"/>
      <c r="AA619" s="50"/>
      <c r="AB619" s="50"/>
    </row>
    <row r="620" customFormat="false" ht="15.75" hidden="false" customHeight="false" outlineLevel="0" collapsed="false">
      <c r="A620" s="50"/>
      <c r="B620" s="50"/>
      <c r="C620" s="5"/>
      <c r="D620" s="48"/>
      <c r="E620" s="50"/>
      <c r="F620" s="5"/>
      <c r="G620" s="5"/>
      <c r="H620" s="5"/>
      <c r="I620" s="5"/>
      <c r="J620" s="5"/>
      <c r="K620" s="50"/>
      <c r="L620" s="50"/>
      <c r="M620" s="50"/>
      <c r="N620" s="50"/>
      <c r="O620" s="50"/>
      <c r="P620" s="50"/>
      <c r="Q620" s="50"/>
      <c r="R620" s="50"/>
      <c r="S620" s="50"/>
      <c r="T620" s="50"/>
      <c r="U620" s="50"/>
      <c r="V620" s="50"/>
      <c r="W620" s="50"/>
      <c r="X620" s="50"/>
      <c r="Y620" s="50"/>
      <c r="Z620" s="50"/>
      <c r="AA620" s="50"/>
      <c r="AB620" s="50"/>
    </row>
    <row r="621" customFormat="false" ht="15.75" hidden="false" customHeight="false" outlineLevel="0" collapsed="false">
      <c r="A621" s="50"/>
      <c r="B621" s="50"/>
      <c r="C621" s="5"/>
      <c r="D621" s="48"/>
      <c r="E621" s="50"/>
      <c r="F621" s="5"/>
      <c r="G621" s="5"/>
      <c r="H621" s="5"/>
      <c r="I621" s="5"/>
      <c r="J621" s="5"/>
      <c r="K621" s="50"/>
      <c r="L621" s="50"/>
      <c r="M621" s="50"/>
      <c r="N621" s="50"/>
      <c r="O621" s="50"/>
      <c r="P621" s="50"/>
      <c r="Q621" s="50"/>
      <c r="R621" s="50"/>
      <c r="S621" s="50"/>
      <c r="T621" s="50"/>
      <c r="U621" s="50"/>
      <c r="V621" s="50"/>
      <c r="W621" s="50"/>
      <c r="X621" s="50"/>
      <c r="Y621" s="50"/>
      <c r="Z621" s="50"/>
      <c r="AA621" s="50"/>
      <c r="AB621" s="50"/>
    </row>
    <row r="622" customFormat="false" ht="15.75" hidden="false" customHeight="false" outlineLevel="0" collapsed="false">
      <c r="A622" s="50"/>
      <c r="B622" s="50"/>
      <c r="C622" s="5"/>
      <c r="D622" s="48"/>
      <c r="E622" s="50"/>
      <c r="F622" s="5"/>
      <c r="G622" s="5"/>
      <c r="H622" s="5"/>
      <c r="I622" s="5"/>
      <c r="J622" s="5"/>
      <c r="K622" s="50"/>
      <c r="L622" s="50"/>
      <c r="M622" s="50"/>
      <c r="N622" s="50"/>
      <c r="O622" s="50"/>
      <c r="P622" s="50"/>
      <c r="Q622" s="50"/>
      <c r="R622" s="50"/>
      <c r="S622" s="50"/>
      <c r="T622" s="50"/>
      <c r="U622" s="50"/>
      <c r="V622" s="50"/>
      <c r="W622" s="50"/>
      <c r="X622" s="50"/>
      <c r="Y622" s="50"/>
      <c r="Z622" s="50"/>
      <c r="AA622" s="50"/>
      <c r="AB622" s="50"/>
    </row>
    <row r="623" customFormat="false" ht="15.75" hidden="false" customHeight="false" outlineLevel="0" collapsed="false">
      <c r="A623" s="50"/>
      <c r="B623" s="50"/>
      <c r="C623" s="5"/>
      <c r="D623" s="48"/>
      <c r="E623" s="50"/>
      <c r="F623" s="5"/>
      <c r="G623" s="5"/>
      <c r="H623" s="5"/>
      <c r="I623" s="5"/>
      <c r="J623" s="5"/>
      <c r="K623" s="50"/>
      <c r="L623" s="50"/>
      <c r="M623" s="50"/>
      <c r="N623" s="50"/>
      <c r="O623" s="50"/>
      <c r="P623" s="50"/>
      <c r="Q623" s="50"/>
      <c r="R623" s="50"/>
      <c r="S623" s="50"/>
      <c r="T623" s="50"/>
      <c r="U623" s="50"/>
      <c r="V623" s="50"/>
      <c r="W623" s="50"/>
      <c r="X623" s="50"/>
      <c r="Y623" s="50"/>
      <c r="Z623" s="50"/>
      <c r="AA623" s="50"/>
      <c r="AB623" s="50"/>
    </row>
    <row r="624" customFormat="false" ht="15.75" hidden="false" customHeight="false" outlineLevel="0" collapsed="false">
      <c r="A624" s="50"/>
      <c r="B624" s="50"/>
      <c r="C624" s="5"/>
      <c r="D624" s="48"/>
      <c r="E624" s="50"/>
      <c r="F624" s="5"/>
      <c r="G624" s="5"/>
      <c r="H624" s="5"/>
      <c r="I624" s="5"/>
      <c r="J624" s="5"/>
      <c r="K624" s="50"/>
      <c r="L624" s="50"/>
      <c r="M624" s="50"/>
      <c r="N624" s="50"/>
      <c r="O624" s="50"/>
      <c r="P624" s="50"/>
      <c r="Q624" s="50"/>
      <c r="R624" s="50"/>
      <c r="S624" s="50"/>
      <c r="T624" s="50"/>
      <c r="U624" s="50"/>
      <c r="V624" s="50"/>
      <c r="W624" s="50"/>
      <c r="X624" s="50"/>
      <c r="Y624" s="50"/>
      <c r="Z624" s="50"/>
      <c r="AA624" s="50"/>
      <c r="AB624" s="50"/>
    </row>
    <row r="625" customFormat="false" ht="15.75" hidden="false" customHeight="false" outlineLevel="0" collapsed="false">
      <c r="A625" s="50"/>
      <c r="B625" s="50"/>
      <c r="C625" s="5"/>
      <c r="D625" s="48"/>
      <c r="E625" s="50"/>
      <c r="F625" s="5"/>
      <c r="G625" s="5"/>
      <c r="H625" s="5"/>
      <c r="I625" s="5"/>
      <c r="J625" s="5"/>
      <c r="K625" s="50"/>
      <c r="L625" s="50"/>
      <c r="M625" s="50"/>
      <c r="N625" s="50"/>
      <c r="O625" s="50"/>
      <c r="P625" s="50"/>
      <c r="Q625" s="50"/>
      <c r="R625" s="50"/>
      <c r="S625" s="50"/>
      <c r="T625" s="50"/>
      <c r="U625" s="50"/>
      <c r="V625" s="50"/>
      <c r="W625" s="50"/>
      <c r="X625" s="50"/>
      <c r="Y625" s="50"/>
      <c r="Z625" s="50"/>
      <c r="AA625" s="50"/>
      <c r="AB625" s="50"/>
    </row>
    <row r="626" customFormat="false" ht="15.75" hidden="false" customHeight="false" outlineLevel="0" collapsed="false">
      <c r="A626" s="50"/>
      <c r="B626" s="50"/>
      <c r="C626" s="5"/>
      <c r="D626" s="48"/>
      <c r="E626" s="50"/>
      <c r="F626" s="5"/>
      <c r="G626" s="5"/>
      <c r="H626" s="5"/>
      <c r="I626" s="5"/>
      <c r="J626" s="5"/>
      <c r="K626" s="50"/>
      <c r="L626" s="50"/>
      <c r="M626" s="50"/>
      <c r="N626" s="50"/>
      <c r="O626" s="50"/>
      <c r="P626" s="50"/>
      <c r="Q626" s="50"/>
      <c r="R626" s="50"/>
      <c r="S626" s="50"/>
      <c r="T626" s="50"/>
      <c r="U626" s="50"/>
      <c r="V626" s="50"/>
      <c r="W626" s="50"/>
      <c r="X626" s="50"/>
      <c r="Y626" s="50"/>
      <c r="Z626" s="50"/>
      <c r="AA626" s="50"/>
      <c r="AB626" s="50"/>
    </row>
    <row r="627" customFormat="false" ht="15.75" hidden="false" customHeight="false" outlineLevel="0" collapsed="false">
      <c r="A627" s="50"/>
      <c r="B627" s="50"/>
      <c r="C627" s="5"/>
      <c r="D627" s="48"/>
      <c r="E627" s="50"/>
      <c r="F627" s="5"/>
      <c r="G627" s="5"/>
      <c r="H627" s="5"/>
      <c r="I627" s="5"/>
      <c r="J627" s="5"/>
      <c r="K627" s="50"/>
      <c r="L627" s="50"/>
      <c r="M627" s="50"/>
      <c r="N627" s="50"/>
      <c r="O627" s="50"/>
      <c r="P627" s="50"/>
      <c r="Q627" s="50"/>
      <c r="R627" s="50"/>
      <c r="S627" s="50"/>
      <c r="T627" s="50"/>
      <c r="U627" s="50"/>
      <c r="V627" s="50"/>
      <c r="W627" s="50"/>
      <c r="X627" s="50"/>
      <c r="Y627" s="50"/>
      <c r="Z627" s="50"/>
      <c r="AA627" s="50"/>
      <c r="AB627" s="50"/>
    </row>
    <row r="628" customFormat="false" ht="15.75" hidden="false" customHeight="false" outlineLevel="0" collapsed="false">
      <c r="A628" s="50"/>
      <c r="B628" s="50"/>
      <c r="C628" s="5"/>
      <c r="D628" s="48"/>
      <c r="E628" s="50"/>
      <c r="F628" s="5"/>
      <c r="G628" s="5"/>
      <c r="H628" s="5"/>
      <c r="I628" s="5"/>
      <c r="J628" s="5"/>
      <c r="K628" s="50"/>
      <c r="L628" s="50"/>
      <c r="M628" s="50"/>
      <c r="N628" s="50"/>
      <c r="O628" s="50"/>
      <c r="P628" s="50"/>
      <c r="Q628" s="50"/>
      <c r="R628" s="50"/>
      <c r="S628" s="50"/>
      <c r="T628" s="50"/>
      <c r="U628" s="50"/>
      <c r="V628" s="50"/>
      <c r="W628" s="50"/>
      <c r="X628" s="50"/>
      <c r="Y628" s="50"/>
      <c r="Z628" s="50"/>
      <c r="AA628" s="50"/>
      <c r="AB628" s="50"/>
    </row>
    <row r="629" customFormat="false" ht="15.75" hidden="false" customHeight="false" outlineLevel="0" collapsed="false">
      <c r="A629" s="50"/>
      <c r="B629" s="50"/>
      <c r="C629" s="5"/>
      <c r="D629" s="48"/>
      <c r="E629" s="50"/>
      <c r="F629" s="5"/>
      <c r="G629" s="5"/>
      <c r="H629" s="5"/>
      <c r="I629" s="5"/>
      <c r="J629" s="5"/>
      <c r="K629" s="50"/>
      <c r="L629" s="50"/>
      <c r="M629" s="50"/>
      <c r="N629" s="50"/>
      <c r="O629" s="50"/>
      <c r="P629" s="50"/>
      <c r="Q629" s="50"/>
      <c r="R629" s="50"/>
      <c r="S629" s="50"/>
      <c r="T629" s="50"/>
      <c r="U629" s="50"/>
      <c r="V629" s="50"/>
      <c r="W629" s="50"/>
      <c r="X629" s="50"/>
      <c r="Y629" s="50"/>
      <c r="Z629" s="50"/>
      <c r="AA629" s="50"/>
      <c r="AB629" s="50"/>
    </row>
    <row r="630" customFormat="false" ht="15.75" hidden="false" customHeight="false" outlineLevel="0" collapsed="false">
      <c r="A630" s="50"/>
      <c r="B630" s="50"/>
      <c r="C630" s="5"/>
      <c r="D630" s="48"/>
      <c r="E630" s="50"/>
      <c r="F630" s="5"/>
      <c r="G630" s="5"/>
      <c r="H630" s="5"/>
      <c r="I630" s="5"/>
      <c r="J630" s="5"/>
      <c r="K630" s="50"/>
      <c r="L630" s="50"/>
      <c r="M630" s="50"/>
      <c r="N630" s="50"/>
      <c r="O630" s="50"/>
      <c r="P630" s="50"/>
      <c r="Q630" s="50"/>
      <c r="R630" s="50"/>
      <c r="S630" s="50"/>
      <c r="T630" s="50"/>
      <c r="U630" s="50"/>
      <c r="V630" s="50"/>
      <c r="W630" s="50"/>
      <c r="X630" s="50"/>
      <c r="Y630" s="50"/>
      <c r="Z630" s="50"/>
      <c r="AA630" s="50"/>
      <c r="AB630" s="50"/>
    </row>
    <row r="631" customFormat="false" ht="15.75" hidden="false" customHeight="false" outlineLevel="0" collapsed="false">
      <c r="A631" s="50"/>
      <c r="B631" s="50"/>
      <c r="C631" s="5"/>
      <c r="D631" s="48"/>
      <c r="E631" s="50"/>
      <c r="F631" s="5"/>
      <c r="G631" s="5"/>
      <c r="H631" s="5"/>
      <c r="I631" s="5"/>
      <c r="J631" s="5"/>
      <c r="K631" s="50"/>
      <c r="L631" s="50"/>
      <c r="M631" s="50"/>
      <c r="N631" s="50"/>
      <c r="O631" s="50"/>
      <c r="P631" s="50"/>
      <c r="Q631" s="50"/>
      <c r="R631" s="50"/>
      <c r="S631" s="50"/>
      <c r="T631" s="50"/>
      <c r="U631" s="50"/>
      <c r="V631" s="50"/>
      <c r="W631" s="50"/>
      <c r="X631" s="50"/>
      <c r="Y631" s="50"/>
      <c r="Z631" s="50"/>
      <c r="AA631" s="50"/>
      <c r="AB631" s="50"/>
    </row>
    <row r="632" customFormat="false" ht="15.75" hidden="false" customHeight="false" outlineLevel="0" collapsed="false">
      <c r="A632" s="50"/>
      <c r="B632" s="50"/>
      <c r="C632" s="5"/>
      <c r="D632" s="48"/>
      <c r="E632" s="50"/>
      <c r="F632" s="5"/>
      <c r="G632" s="5"/>
      <c r="H632" s="5"/>
      <c r="I632" s="5"/>
      <c r="J632" s="5"/>
      <c r="K632" s="50"/>
      <c r="L632" s="50"/>
      <c r="M632" s="50"/>
      <c r="N632" s="50"/>
      <c r="O632" s="50"/>
      <c r="P632" s="50"/>
      <c r="Q632" s="50"/>
      <c r="R632" s="50"/>
      <c r="S632" s="50"/>
      <c r="T632" s="50"/>
      <c r="U632" s="50"/>
      <c r="V632" s="50"/>
      <c r="W632" s="50"/>
      <c r="X632" s="50"/>
      <c r="Y632" s="50"/>
      <c r="Z632" s="50"/>
      <c r="AA632" s="50"/>
      <c r="AB632" s="50"/>
    </row>
    <row r="633" customFormat="false" ht="15.75" hidden="false" customHeight="false" outlineLevel="0" collapsed="false">
      <c r="A633" s="50"/>
      <c r="B633" s="50"/>
      <c r="C633" s="5"/>
      <c r="D633" s="48"/>
      <c r="E633" s="50"/>
      <c r="F633" s="5"/>
      <c r="G633" s="5"/>
      <c r="H633" s="5"/>
      <c r="I633" s="5"/>
      <c r="J633" s="5"/>
      <c r="K633" s="50"/>
      <c r="L633" s="50"/>
      <c r="M633" s="50"/>
      <c r="N633" s="50"/>
      <c r="O633" s="50"/>
      <c r="P633" s="50"/>
      <c r="Q633" s="50"/>
      <c r="R633" s="50"/>
      <c r="S633" s="50"/>
      <c r="T633" s="50"/>
      <c r="U633" s="50"/>
      <c r="V633" s="50"/>
      <c r="W633" s="50"/>
      <c r="X633" s="50"/>
      <c r="Y633" s="50"/>
      <c r="Z633" s="50"/>
      <c r="AA633" s="50"/>
      <c r="AB633" s="50"/>
    </row>
    <row r="634" customFormat="false" ht="15.75" hidden="false" customHeight="false" outlineLevel="0" collapsed="false">
      <c r="A634" s="50"/>
      <c r="B634" s="50"/>
      <c r="C634" s="5"/>
      <c r="D634" s="48"/>
      <c r="E634" s="50"/>
      <c r="F634" s="5"/>
      <c r="G634" s="5"/>
      <c r="H634" s="5"/>
      <c r="I634" s="5"/>
      <c r="J634" s="5"/>
      <c r="K634" s="50"/>
      <c r="L634" s="50"/>
      <c r="M634" s="50"/>
      <c r="N634" s="50"/>
      <c r="O634" s="50"/>
      <c r="P634" s="50"/>
      <c r="Q634" s="50"/>
      <c r="R634" s="50"/>
      <c r="S634" s="50"/>
      <c r="T634" s="50"/>
      <c r="U634" s="50"/>
      <c r="V634" s="50"/>
      <c r="W634" s="50"/>
      <c r="X634" s="50"/>
      <c r="Y634" s="50"/>
      <c r="Z634" s="50"/>
      <c r="AA634" s="50"/>
      <c r="AB634" s="50"/>
    </row>
    <row r="635" customFormat="false" ht="15.75" hidden="false" customHeight="false" outlineLevel="0" collapsed="false">
      <c r="A635" s="50"/>
      <c r="B635" s="50"/>
      <c r="C635" s="5"/>
      <c r="D635" s="48"/>
      <c r="E635" s="50"/>
      <c r="F635" s="5"/>
      <c r="G635" s="5"/>
      <c r="H635" s="5"/>
      <c r="I635" s="5"/>
      <c r="J635" s="5"/>
      <c r="K635" s="50"/>
      <c r="L635" s="50"/>
      <c r="M635" s="50"/>
      <c r="N635" s="50"/>
      <c r="O635" s="50"/>
      <c r="P635" s="50"/>
      <c r="Q635" s="50"/>
      <c r="R635" s="50"/>
      <c r="S635" s="50"/>
      <c r="T635" s="50"/>
      <c r="U635" s="50"/>
      <c r="V635" s="50"/>
      <c r="W635" s="50"/>
      <c r="X635" s="50"/>
      <c r="Y635" s="50"/>
      <c r="Z635" s="50"/>
      <c r="AA635" s="50"/>
      <c r="AB635" s="50"/>
    </row>
    <row r="636" customFormat="false" ht="15.75" hidden="false" customHeight="false" outlineLevel="0" collapsed="false">
      <c r="A636" s="50"/>
      <c r="B636" s="50"/>
      <c r="C636" s="5"/>
      <c r="D636" s="48"/>
      <c r="E636" s="50"/>
      <c r="F636" s="5"/>
      <c r="G636" s="5"/>
      <c r="H636" s="5"/>
      <c r="I636" s="5"/>
      <c r="J636" s="5"/>
      <c r="K636" s="50"/>
      <c r="L636" s="50"/>
      <c r="M636" s="50"/>
      <c r="N636" s="50"/>
      <c r="O636" s="50"/>
      <c r="P636" s="50"/>
      <c r="Q636" s="50"/>
      <c r="R636" s="50"/>
      <c r="S636" s="50"/>
      <c r="T636" s="50"/>
      <c r="U636" s="50"/>
      <c r="V636" s="50"/>
      <c r="W636" s="50"/>
      <c r="X636" s="50"/>
      <c r="Y636" s="50"/>
      <c r="Z636" s="50"/>
      <c r="AA636" s="50"/>
      <c r="AB636" s="50"/>
    </row>
    <row r="637" customFormat="false" ht="15.75" hidden="false" customHeight="false" outlineLevel="0" collapsed="false">
      <c r="A637" s="50"/>
      <c r="B637" s="50"/>
      <c r="C637" s="5"/>
      <c r="D637" s="48"/>
      <c r="E637" s="50"/>
      <c r="F637" s="5"/>
      <c r="G637" s="5"/>
      <c r="H637" s="5"/>
      <c r="I637" s="5"/>
      <c r="J637" s="5"/>
      <c r="K637" s="50"/>
      <c r="L637" s="50"/>
      <c r="M637" s="50"/>
      <c r="N637" s="50"/>
      <c r="O637" s="50"/>
      <c r="P637" s="50"/>
      <c r="Q637" s="50"/>
      <c r="R637" s="50"/>
      <c r="S637" s="50"/>
      <c r="T637" s="50"/>
      <c r="U637" s="50"/>
      <c r="V637" s="50"/>
      <c r="W637" s="50"/>
      <c r="X637" s="50"/>
      <c r="Y637" s="50"/>
      <c r="Z637" s="50"/>
      <c r="AA637" s="50"/>
      <c r="AB637" s="50"/>
    </row>
    <row r="638" customFormat="false" ht="15.75" hidden="false" customHeight="false" outlineLevel="0" collapsed="false">
      <c r="A638" s="50"/>
      <c r="B638" s="50"/>
      <c r="C638" s="5"/>
      <c r="D638" s="48"/>
      <c r="E638" s="50"/>
      <c r="F638" s="5"/>
      <c r="G638" s="5"/>
      <c r="H638" s="5"/>
      <c r="I638" s="5"/>
      <c r="J638" s="5"/>
      <c r="K638" s="50"/>
      <c r="L638" s="50"/>
      <c r="M638" s="50"/>
      <c r="N638" s="50"/>
      <c r="O638" s="50"/>
      <c r="P638" s="50"/>
      <c r="Q638" s="50"/>
      <c r="R638" s="50"/>
      <c r="S638" s="50"/>
      <c r="T638" s="50"/>
      <c r="U638" s="50"/>
      <c r="V638" s="50"/>
      <c r="W638" s="50"/>
      <c r="X638" s="50"/>
      <c r="Y638" s="50"/>
      <c r="Z638" s="50"/>
      <c r="AA638" s="50"/>
      <c r="AB638" s="50"/>
    </row>
    <row r="639" customFormat="false" ht="15.75" hidden="false" customHeight="false" outlineLevel="0" collapsed="false">
      <c r="A639" s="50"/>
      <c r="B639" s="50"/>
      <c r="C639" s="5"/>
      <c r="D639" s="48"/>
      <c r="E639" s="50"/>
      <c r="F639" s="5"/>
      <c r="G639" s="5"/>
      <c r="H639" s="5"/>
      <c r="I639" s="5"/>
      <c r="J639" s="5"/>
      <c r="K639" s="50"/>
      <c r="L639" s="50"/>
      <c r="M639" s="50"/>
      <c r="N639" s="50"/>
      <c r="O639" s="50"/>
      <c r="P639" s="50"/>
      <c r="Q639" s="50"/>
      <c r="R639" s="50"/>
      <c r="S639" s="50"/>
      <c r="T639" s="50"/>
      <c r="U639" s="50"/>
      <c r="V639" s="50"/>
      <c r="W639" s="50"/>
      <c r="X639" s="50"/>
      <c r="Y639" s="50"/>
      <c r="Z639" s="50"/>
      <c r="AA639" s="50"/>
      <c r="AB639" s="50"/>
    </row>
    <row r="640" customFormat="false" ht="15.75" hidden="false" customHeight="false" outlineLevel="0" collapsed="false">
      <c r="A640" s="50"/>
      <c r="B640" s="50"/>
      <c r="C640" s="5"/>
      <c r="D640" s="48"/>
      <c r="E640" s="50"/>
      <c r="F640" s="5"/>
      <c r="G640" s="5"/>
      <c r="H640" s="5"/>
      <c r="I640" s="5"/>
      <c r="J640" s="5"/>
      <c r="K640" s="50"/>
      <c r="L640" s="50"/>
      <c r="M640" s="50"/>
      <c r="N640" s="50"/>
      <c r="O640" s="50"/>
      <c r="P640" s="50"/>
      <c r="Q640" s="50"/>
      <c r="R640" s="50"/>
      <c r="S640" s="50"/>
      <c r="T640" s="50"/>
      <c r="U640" s="50"/>
      <c r="V640" s="50"/>
      <c r="W640" s="50"/>
      <c r="X640" s="50"/>
      <c r="Y640" s="50"/>
      <c r="Z640" s="50"/>
      <c r="AA640" s="50"/>
      <c r="AB640" s="50"/>
    </row>
    <row r="641" customFormat="false" ht="15.75" hidden="false" customHeight="false" outlineLevel="0" collapsed="false">
      <c r="A641" s="50"/>
      <c r="B641" s="50"/>
      <c r="C641" s="5"/>
      <c r="D641" s="48"/>
      <c r="E641" s="50"/>
      <c r="F641" s="5"/>
      <c r="G641" s="5"/>
      <c r="H641" s="5"/>
      <c r="I641" s="5"/>
      <c r="J641" s="5"/>
      <c r="K641" s="50"/>
      <c r="L641" s="50"/>
      <c r="M641" s="50"/>
      <c r="N641" s="50"/>
      <c r="O641" s="50"/>
      <c r="P641" s="50"/>
      <c r="Q641" s="50"/>
      <c r="R641" s="50"/>
      <c r="S641" s="50"/>
      <c r="T641" s="50"/>
      <c r="U641" s="50"/>
      <c r="V641" s="50"/>
      <c r="W641" s="50"/>
      <c r="X641" s="50"/>
      <c r="Y641" s="50"/>
      <c r="Z641" s="50"/>
      <c r="AA641" s="50"/>
      <c r="AB641" s="50"/>
    </row>
    <row r="642" customFormat="false" ht="15.75" hidden="false" customHeight="false" outlineLevel="0" collapsed="false">
      <c r="A642" s="50"/>
      <c r="B642" s="50"/>
      <c r="C642" s="5"/>
      <c r="D642" s="48"/>
      <c r="E642" s="50"/>
      <c r="F642" s="5"/>
      <c r="G642" s="5"/>
      <c r="H642" s="5"/>
      <c r="I642" s="5"/>
      <c r="J642" s="5"/>
      <c r="K642" s="50"/>
      <c r="L642" s="50"/>
      <c r="M642" s="50"/>
      <c r="N642" s="50"/>
      <c r="O642" s="50"/>
      <c r="P642" s="50"/>
      <c r="Q642" s="50"/>
      <c r="R642" s="50"/>
      <c r="S642" s="50"/>
      <c r="T642" s="50"/>
      <c r="U642" s="50"/>
      <c r="V642" s="50"/>
      <c r="W642" s="50"/>
      <c r="X642" s="50"/>
      <c r="Y642" s="50"/>
      <c r="Z642" s="50"/>
      <c r="AA642" s="50"/>
      <c r="AB642" s="50"/>
    </row>
    <row r="643" customFormat="false" ht="15.75" hidden="false" customHeight="false" outlineLevel="0" collapsed="false">
      <c r="A643" s="50"/>
      <c r="B643" s="50"/>
      <c r="C643" s="5"/>
      <c r="D643" s="48"/>
      <c r="E643" s="50"/>
      <c r="F643" s="5"/>
      <c r="G643" s="5"/>
      <c r="H643" s="5"/>
      <c r="I643" s="5"/>
      <c r="J643" s="5"/>
      <c r="K643" s="50"/>
      <c r="L643" s="50"/>
      <c r="M643" s="50"/>
      <c r="N643" s="50"/>
      <c r="O643" s="50"/>
      <c r="P643" s="50"/>
      <c r="Q643" s="50"/>
      <c r="R643" s="50"/>
      <c r="S643" s="50"/>
      <c r="T643" s="50"/>
      <c r="U643" s="50"/>
      <c r="V643" s="50"/>
      <c r="W643" s="50"/>
      <c r="X643" s="50"/>
      <c r="Y643" s="50"/>
      <c r="Z643" s="50"/>
      <c r="AA643" s="50"/>
      <c r="AB643" s="50"/>
    </row>
    <row r="644" customFormat="false" ht="15.75" hidden="false" customHeight="false" outlineLevel="0" collapsed="false">
      <c r="A644" s="50"/>
      <c r="B644" s="50"/>
      <c r="C644" s="5"/>
      <c r="D644" s="48"/>
      <c r="E644" s="50"/>
      <c r="F644" s="5"/>
      <c r="G644" s="5"/>
      <c r="H644" s="5"/>
      <c r="I644" s="5"/>
      <c r="J644" s="5"/>
      <c r="K644" s="50"/>
      <c r="L644" s="50"/>
      <c r="M644" s="50"/>
      <c r="N644" s="50"/>
      <c r="O644" s="50"/>
      <c r="P644" s="50"/>
      <c r="Q644" s="50"/>
      <c r="R644" s="50"/>
      <c r="S644" s="50"/>
      <c r="T644" s="50"/>
      <c r="U644" s="50"/>
      <c r="V644" s="50"/>
      <c r="W644" s="50"/>
      <c r="X644" s="50"/>
      <c r="Y644" s="50"/>
      <c r="Z644" s="50"/>
      <c r="AA644" s="50"/>
      <c r="AB644" s="50"/>
    </row>
    <row r="645" customFormat="false" ht="15.75" hidden="false" customHeight="false" outlineLevel="0" collapsed="false">
      <c r="A645" s="50"/>
      <c r="B645" s="50"/>
      <c r="C645" s="5"/>
      <c r="D645" s="48"/>
      <c r="E645" s="50"/>
      <c r="F645" s="5"/>
      <c r="G645" s="5"/>
      <c r="H645" s="5"/>
      <c r="I645" s="5"/>
      <c r="J645" s="5"/>
      <c r="K645" s="50"/>
      <c r="L645" s="50"/>
      <c r="M645" s="50"/>
      <c r="N645" s="50"/>
      <c r="O645" s="50"/>
      <c r="P645" s="50"/>
      <c r="Q645" s="50"/>
      <c r="R645" s="50"/>
      <c r="S645" s="50"/>
      <c r="T645" s="50"/>
      <c r="U645" s="50"/>
      <c r="V645" s="50"/>
      <c r="W645" s="50"/>
      <c r="X645" s="50"/>
      <c r="Y645" s="50"/>
      <c r="Z645" s="50"/>
      <c r="AA645" s="50"/>
      <c r="AB645" s="50"/>
    </row>
    <row r="646" customFormat="false" ht="15.75" hidden="false" customHeight="false" outlineLevel="0" collapsed="false">
      <c r="A646" s="50"/>
      <c r="B646" s="50"/>
      <c r="C646" s="5"/>
      <c r="D646" s="48"/>
      <c r="E646" s="50"/>
      <c r="F646" s="5"/>
      <c r="G646" s="5"/>
      <c r="H646" s="5"/>
      <c r="I646" s="5"/>
      <c r="J646" s="5"/>
      <c r="K646" s="50"/>
      <c r="L646" s="50"/>
      <c r="M646" s="50"/>
      <c r="N646" s="50"/>
      <c r="O646" s="50"/>
      <c r="P646" s="50"/>
      <c r="Q646" s="50"/>
      <c r="R646" s="50"/>
      <c r="S646" s="50"/>
      <c r="T646" s="50"/>
      <c r="U646" s="50"/>
      <c r="V646" s="50"/>
      <c r="W646" s="50"/>
      <c r="X646" s="50"/>
      <c r="Y646" s="50"/>
      <c r="Z646" s="50"/>
      <c r="AA646" s="50"/>
      <c r="AB646" s="50"/>
    </row>
    <row r="647" customFormat="false" ht="15.75" hidden="false" customHeight="false" outlineLevel="0" collapsed="false">
      <c r="A647" s="50"/>
      <c r="B647" s="50"/>
      <c r="C647" s="5"/>
      <c r="D647" s="48"/>
      <c r="E647" s="50"/>
      <c r="F647" s="5"/>
      <c r="G647" s="5"/>
      <c r="H647" s="5"/>
      <c r="I647" s="5"/>
      <c r="J647" s="5"/>
      <c r="K647" s="50"/>
      <c r="L647" s="50"/>
      <c r="M647" s="50"/>
      <c r="N647" s="50"/>
      <c r="O647" s="50"/>
      <c r="P647" s="50"/>
      <c r="Q647" s="50"/>
      <c r="R647" s="50"/>
      <c r="S647" s="50"/>
      <c r="T647" s="50"/>
      <c r="U647" s="50"/>
      <c r="V647" s="50"/>
      <c r="W647" s="50"/>
      <c r="X647" s="50"/>
      <c r="Y647" s="50"/>
      <c r="Z647" s="50"/>
      <c r="AA647" s="50"/>
      <c r="AB647" s="50"/>
    </row>
    <row r="648" customFormat="false" ht="15.75" hidden="false" customHeight="false" outlineLevel="0" collapsed="false">
      <c r="A648" s="50"/>
      <c r="B648" s="50"/>
      <c r="C648" s="5"/>
      <c r="D648" s="48"/>
      <c r="E648" s="50"/>
      <c r="F648" s="5"/>
      <c r="G648" s="5"/>
      <c r="H648" s="5"/>
      <c r="I648" s="5"/>
      <c r="J648" s="5"/>
      <c r="K648" s="50"/>
      <c r="L648" s="50"/>
      <c r="M648" s="50"/>
      <c r="N648" s="50"/>
      <c r="O648" s="50"/>
      <c r="P648" s="50"/>
      <c r="Q648" s="50"/>
      <c r="R648" s="50"/>
      <c r="S648" s="50"/>
      <c r="T648" s="50"/>
      <c r="U648" s="50"/>
      <c r="V648" s="50"/>
      <c r="W648" s="50"/>
      <c r="X648" s="50"/>
      <c r="Y648" s="50"/>
      <c r="Z648" s="50"/>
      <c r="AA648" s="50"/>
      <c r="AB648" s="50"/>
    </row>
    <row r="649" customFormat="false" ht="15.75" hidden="false" customHeight="false" outlineLevel="0" collapsed="false">
      <c r="A649" s="50"/>
      <c r="B649" s="50"/>
      <c r="C649" s="5"/>
      <c r="D649" s="48"/>
      <c r="E649" s="50"/>
      <c r="F649" s="5"/>
      <c r="G649" s="5"/>
      <c r="H649" s="5"/>
      <c r="I649" s="5"/>
      <c r="J649" s="5"/>
      <c r="K649" s="50"/>
      <c r="L649" s="50"/>
      <c r="M649" s="50"/>
      <c r="N649" s="50"/>
      <c r="O649" s="50"/>
      <c r="P649" s="50"/>
      <c r="Q649" s="50"/>
      <c r="R649" s="50"/>
      <c r="S649" s="50"/>
      <c r="T649" s="50"/>
      <c r="U649" s="50"/>
      <c r="V649" s="50"/>
      <c r="W649" s="50"/>
      <c r="X649" s="50"/>
      <c r="Y649" s="50"/>
      <c r="Z649" s="50"/>
      <c r="AA649" s="50"/>
      <c r="AB649" s="50"/>
    </row>
    <row r="650" customFormat="false" ht="15.75" hidden="false" customHeight="false" outlineLevel="0" collapsed="false">
      <c r="A650" s="50"/>
      <c r="B650" s="50"/>
      <c r="C650" s="5"/>
      <c r="D650" s="48"/>
      <c r="E650" s="50"/>
      <c r="F650" s="5"/>
      <c r="G650" s="5"/>
      <c r="H650" s="5"/>
      <c r="I650" s="5"/>
      <c r="J650" s="5"/>
      <c r="K650" s="50"/>
      <c r="L650" s="50"/>
      <c r="M650" s="50"/>
      <c r="N650" s="50"/>
      <c r="O650" s="50"/>
      <c r="P650" s="50"/>
      <c r="Q650" s="50"/>
      <c r="R650" s="50"/>
      <c r="S650" s="50"/>
      <c r="T650" s="50"/>
      <c r="U650" s="50"/>
      <c r="V650" s="50"/>
      <c r="W650" s="50"/>
      <c r="X650" s="50"/>
      <c r="Y650" s="50"/>
      <c r="Z650" s="50"/>
      <c r="AA650" s="50"/>
      <c r="AB650" s="50"/>
    </row>
    <row r="651" customFormat="false" ht="15.75" hidden="false" customHeight="false" outlineLevel="0" collapsed="false">
      <c r="A651" s="50"/>
      <c r="B651" s="50"/>
      <c r="C651" s="5"/>
      <c r="D651" s="48"/>
      <c r="E651" s="50"/>
      <c r="F651" s="5"/>
      <c r="G651" s="5"/>
      <c r="H651" s="5"/>
      <c r="I651" s="5"/>
      <c r="J651" s="5"/>
      <c r="K651" s="50"/>
      <c r="L651" s="50"/>
      <c r="M651" s="50"/>
      <c r="N651" s="50"/>
      <c r="O651" s="50"/>
      <c r="P651" s="50"/>
      <c r="Q651" s="50"/>
      <c r="R651" s="50"/>
      <c r="S651" s="50"/>
      <c r="T651" s="50"/>
      <c r="U651" s="50"/>
      <c r="V651" s="50"/>
      <c r="W651" s="50"/>
      <c r="X651" s="50"/>
      <c r="Y651" s="50"/>
      <c r="Z651" s="50"/>
      <c r="AA651" s="50"/>
      <c r="AB651" s="50"/>
    </row>
    <row r="652" customFormat="false" ht="15.75" hidden="false" customHeight="false" outlineLevel="0" collapsed="false">
      <c r="A652" s="50"/>
      <c r="B652" s="50"/>
      <c r="C652" s="5"/>
      <c r="D652" s="48"/>
      <c r="E652" s="50"/>
      <c r="F652" s="5"/>
      <c r="G652" s="5"/>
      <c r="H652" s="5"/>
      <c r="I652" s="5"/>
      <c r="J652" s="5"/>
      <c r="K652" s="50"/>
      <c r="L652" s="50"/>
      <c r="M652" s="50"/>
      <c r="N652" s="50"/>
      <c r="O652" s="50"/>
      <c r="P652" s="50"/>
      <c r="Q652" s="50"/>
      <c r="R652" s="50"/>
      <c r="S652" s="50"/>
      <c r="T652" s="50"/>
      <c r="U652" s="50"/>
      <c r="V652" s="50"/>
      <c r="W652" s="50"/>
      <c r="X652" s="50"/>
      <c r="Y652" s="50"/>
      <c r="Z652" s="50"/>
      <c r="AA652" s="50"/>
      <c r="AB652" s="50"/>
    </row>
    <row r="653" customFormat="false" ht="15.75" hidden="false" customHeight="false" outlineLevel="0" collapsed="false">
      <c r="A653" s="50"/>
      <c r="B653" s="50"/>
      <c r="C653" s="5"/>
      <c r="D653" s="48"/>
      <c r="E653" s="50"/>
      <c r="F653" s="5"/>
      <c r="G653" s="5"/>
      <c r="H653" s="5"/>
      <c r="I653" s="5"/>
      <c r="J653" s="5"/>
      <c r="K653" s="50"/>
      <c r="L653" s="50"/>
      <c r="M653" s="50"/>
      <c r="N653" s="50"/>
      <c r="O653" s="50"/>
      <c r="P653" s="50"/>
      <c r="Q653" s="50"/>
      <c r="R653" s="50"/>
      <c r="S653" s="50"/>
      <c r="T653" s="50"/>
      <c r="U653" s="50"/>
      <c r="V653" s="50"/>
      <c r="W653" s="50"/>
      <c r="X653" s="50"/>
      <c r="Y653" s="50"/>
      <c r="Z653" s="50"/>
      <c r="AA653" s="50"/>
      <c r="AB653" s="50"/>
    </row>
    <row r="654" customFormat="false" ht="15.75" hidden="false" customHeight="false" outlineLevel="0" collapsed="false">
      <c r="A654" s="50"/>
      <c r="B654" s="50"/>
      <c r="C654" s="5"/>
      <c r="D654" s="48"/>
      <c r="E654" s="50"/>
      <c r="F654" s="5"/>
      <c r="G654" s="5"/>
      <c r="H654" s="5"/>
      <c r="I654" s="5"/>
      <c r="J654" s="5"/>
      <c r="K654" s="50"/>
      <c r="L654" s="50"/>
      <c r="M654" s="50"/>
      <c r="N654" s="50"/>
      <c r="O654" s="50"/>
      <c r="P654" s="50"/>
      <c r="Q654" s="50"/>
      <c r="R654" s="50"/>
      <c r="S654" s="50"/>
      <c r="T654" s="50"/>
      <c r="U654" s="50"/>
      <c r="V654" s="50"/>
      <c r="W654" s="50"/>
      <c r="X654" s="50"/>
      <c r="Y654" s="50"/>
      <c r="Z654" s="50"/>
      <c r="AA654" s="50"/>
      <c r="AB654" s="50"/>
    </row>
    <row r="655" customFormat="false" ht="15.75" hidden="false" customHeight="false" outlineLevel="0" collapsed="false">
      <c r="A655" s="50"/>
      <c r="B655" s="50"/>
      <c r="C655" s="5"/>
      <c r="D655" s="48"/>
      <c r="E655" s="50"/>
      <c r="F655" s="5"/>
      <c r="G655" s="5"/>
      <c r="H655" s="5"/>
      <c r="I655" s="5"/>
      <c r="J655" s="5"/>
      <c r="K655" s="50"/>
      <c r="L655" s="50"/>
      <c r="M655" s="50"/>
      <c r="N655" s="50"/>
      <c r="O655" s="50"/>
      <c r="P655" s="50"/>
      <c r="Q655" s="50"/>
      <c r="R655" s="50"/>
      <c r="S655" s="50"/>
      <c r="T655" s="50"/>
      <c r="U655" s="50"/>
      <c r="V655" s="50"/>
      <c r="W655" s="50"/>
      <c r="X655" s="50"/>
      <c r="Y655" s="50"/>
      <c r="Z655" s="50"/>
      <c r="AA655" s="50"/>
      <c r="AB655" s="50"/>
    </row>
    <row r="656" customFormat="false" ht="15.75" hidden="false" customHeight="false" outlineLevel="0" collapsed="false">
      <c r="A656" s="50"/>
      <c r="B656" s="50"/>
      <c r="C656" s="5"/>
      <c r="D656" s="48"/>
      <c r="E656" s="50"/>
      <c r="F656" s="5"/>
      <c r="G656" s="5"/>
      <c r="H656" s="5"/>
      <c r="I656" s="5"/>
      <c r="J656" s="5"/>
      <c r="K656" s="50"/>
      <c r="L656" s="50"/>
      <c r="M656" s="50"/>
      <c r="N656" s="50"/>
      <c r="O656" s="50"/>
      <c r="P656" s="50"/>
      <c r="Q656" s="50"/>
      <c r="R656" s="50"/>
      <c r="S656" s="50"/>
      <c r="T656" s="50"/>
      <c r="U656" s="50"/>
      <c r="V656" s="50"/>
      <c r="W656" s="50"/>
      <c r="X656" s="50"/>
      <c r="Y656" s="50"/>
      <c r="Z656" s="50"/>
      <c r="AA656" s="50"/>
      <c r="AB656" s="50"/>
    </row>
    <row r="657" customFormat="false" ht="15.75" hidden="false" customHeight="false" outlineLevel="0" collapsed="false">
      <c r="A657" s="50"/>
      <c r="B657" s="50"/>
      <c r="C657" s="5"/>
      <c r="D657" s="48"/>
      <c r="E657" s="50"/>
      <c r="F657" s="5"/>
      <c r="G657" s="5"/>
      <c r="H657" s="5"/>
      <c r="I657" s="5"/>
      <c r="J657" s="5"/>
      <c r="K657" s="50"/>
      <c r="L657" s="50"/>
      <c r="M657" s="50"/>
      <c r="N657" s="50"/>
      <c r="O657" s="50"/>
      <c r="P657" s="50"/>
      <c r="Q657" s="50"/>
      <c r="R657" s="50"/>
      <c r="S657" s="50"/>
      <c r="T657" s="50"/>
      <c r="U657" s="50"/>
      <c r="V657" s="50"/>
      <c r="W657" s="50"/>
      <c r="X657" s="50"/>
      <c r="Y657" s="50"/>
      <c r="Z657" s="50"/>
      <c r="AA657" s="50"/>
      <c r="AB657" s="50"/>
    </row>
    <row r="658" customFormat="false" ht="15.75" hidden="false" customHeight="false" outlineLevel="0" collapsed="false">
      <c r="A658" s="50"/>
      <c r="B658" s="50"/>
      <c r="C658" s="5"/>
      <c r="D658" s="48"/>
      <c r="E658" s="50"/>
      <c r="F658" s="5"/>
      <c r="G658" s="5"/>
      <c r="H658" s="5"/>
      <c r="I658" s="5"/>
      <c r="J658" s="5"/>
      <c r="K658" s="50"/>
      <c r="L658" s="50"/>
      <c r="M658" s="50"/>
      <c r="N658" s="50"/>
      <c r="O658" s="50"/>
      <c r="P658" s="50"/>
      <c r="Q658" s="50"/>
      <c r="R658" s="50"/>
      <c r="S658" s="50"/>
      <c r="T658" s="50"/>
      <c r="U658" s="50"/>
      <c r="V658" s="50"/>
      <c r="W658" s="50"/>
      <c r="X658" s="50"/>
      <c r="Y658" s="50"/>
      <c r="Z658" s="50"/>
      <c r="AA658" s="50"/>
      <c r="AB658" s="50"/>
    </row>
    <row r="659" customFormat="false" ht="15.75" hidden="false" customHeight="false" outlineLevel="0" collapsed="false">
      <c r="A659" s="50"/>
      <c r="B659" s="50"/>
      <c r="C659" s="5"/>
      <c r="D659" s="48"/>
      <c r="E659" s="50"/>
      <c r="F659" s="5"/>
      <c r="G659" s="5"/>
      <c r="H659" s="5"/>
      <c r="I659" s="5"/>
      <c r="J659" s="5"/>
      <c r="K659" s="50"/>
      <c r="L659" s="50"/>
      <c r="M659" s="50"/>
      <c r="N659" s="50"/>
      <c r="O659" s="50"/>
      <c r="P659" s="50"/>
      <c r="Q659" s="50"/>
      <c r="R659" s="50"/>
      <c r="S659" s="50"/>
      <c r="T659" s="50"/>
      <c r="U659" s="50"/>
      <c r="V659" s="50"/>
      <c r="W659" s="50"/>
      <c r="X659" s="50"/>
      <c r="Y659" s="50"/>
      <c r="Z659" s="50"/>
      <c r="AA659" s="50"/>
      <c r="AB659" s="50"/>
    </row>
    <row r="660" customFormat="false" ht="15.75" hidden="false" customHeight="false" outlineLevel="0" collapsed="false">
      <c r="A660" s="50"/>
      <c r="B660" s="50"/>
      <c r="C660" s="5"/>
      <c r="D660" s="48"/>
      <c r="E660" s="50"/>
      <c r="F660" s="5"/>
      <c r="G660" s="5"/>
      <c r="H660" s="5"/>
      <c r="I660" s="5"/>
      <c r="J660" s="5"/>
      <c r="K660" s="50"/>
      <c r="L660" s="50"/>
      <c r="M660" s="50"/>
      <c r="N660" s="50"/>
      <c r="O660" s="50"/>
      <c r="P660" s="50"/>
      <c r="Q660" s="50"/>
      <c r="R660" s="50"/>
      <c r="S660" s="50"/>
      <c r="T660" s="50"/>
      <c r="U660" s="50"/>
      <c r="V660" s="50"/>
      <c r="W660" s="50"/>
      <c r="X660" s="50"/>
      <c r="Y660" s="50"/>
      <c r="Z660" s="50"/>
      <c r="AA660" s="50"/>
      <c r="AB660" s="50"/>
    </row>
    <row r="661" customFormat="false" ht="15.75" hidden="false" customHeight="false" outlineLevel="0" collapsed="false">
      <c r="A661" s="50"/>
      <c r="B661" s="50"/>
      <c r="C661" s="5"/>
      <c r="D661" s="48"/>
      <c r="E661" s="50"/>
      <c r="F661" s="5"/>
      <c r="G661" s="5"/>
      <c r="H661" s="5"/>
      <c r="I661" s="5"/>
      <c r="J661" s="5"/>
      <c r="K661" s="50"/>
      <c r="L661" s="50"/>
      <c r="M661" s="50"/>
      <c r="N661" s="50"/>
      <c r="O661" s="50"/>
      <c r="P661" s="50"/>
      <c r="Q661" s="50"/>
      <c r="R661" s="50"/>
      <c r="S661" s="50"/>
      <c r="T661" s="50"/>
      <c r="U661" s="50"/>
      <c r="V661" s="50"/>
      <c r="W661" s="50"/>
      <c r="X661" s="50"/>
      <c r="Y661" s="50"/>
      <c r="Z661" s="50"/>
      <c r="AA661" s="50"/>
      <c r="AB661" s="50"/>
    </row>
    <row r="662" customFormat="false" ht="15.75" hidden="false" customHeight="false" outlineLevel="0" collapsed="false">
      <c r="A662" s="50"/>
      <c r="B662" s="50"/>
      <c r="C662" s="5"/>
      <c r="D662" s="48"/>
      <c r="E662" s="50"/>
      <c r="F662" s="5"/>
      <c r="G662" s="5"/>
      <c r="H662" s="5"/>
      <c r="I662" s="5"/>
      <c r="J662" s="5"/>
      <c r="K662" s="50"/>
      <c r="L662" s="50"/>
      <c r="M662" s="50"/>
      <c r="N662" s="50"/>
      <c r="O662" s="50"/>
      <c r="P662" s="50"/>
      <c r="Q662" s="50"/>
      <c r="R662" s="50"/>
      <c r="S662" s="50"/>
      <c r="T662" s="50"/>
      <c r="U662" s="50"/>
      <c r="V662" s="50"/>
      <c r="W662" s="50"/>
      <c r="X662" s="50"/>
      <c r="Y662" s="50"/>
      <c r="Z662" s="50"/>
      <c r="AA662" s="50"/>
      <c r="AB662" s="50"/>
    </row>
    <row r="663" customFormat="false" ht="15.75" hidden="false" customHeight="false" outlineLevel="0" collapsed="false">
      <c r="A663" s="50"/>
      <c r="B663" s="50"/>
      <c r="C663" s="5"/>
      <c r="D663" s="48"/>
      <c r="E663" s="50"/>
      <c r="F663" s="5"/>
      <c r="G663" s="5"/>
      <c r="H663" s="5"/>
      <c r="I663" s="5"/>
      <c r="J663" s="5"/>
      <c r="K663" s="50"/>
      <c r="L663" s="50"/>
      <c r="M663" s="50"/>
      <c r="N663" s="50"/>
      <c r="O663" s="50"/>
      <c r="P663" s="50"/>
      <c r="Q663" s="50"/>
      <c r="R663" s="50"/>
      <c r="S663" s="50"/>
      <c r="T663" s="50"/>
      <c r="U663" s="50"/>
      <c r="V663" s="50"/>
      <c r="W663" s="50"/>
      <c r="X663" s="50"/>
      <c r="Y663" s="50"/>
      <c r="Z663" s="50"/>
      <c r="AA663" s="50"/>
      <c r="AB663" s="50"/>
    </row>
    <row r="664" customFormat="false" ht="15.75" hidden="false" customHeight="false" outlineLevel="0" collapsed="false">
      <c r="A664" s="50"/>
      <c r="B664" s="50"/>
      <c r="C664" s="5"/>
      <c r="D664" s="48"/>
      <c r="E664" s="50"/>
      <c r="F664" s="5"/>
      <c r="G664" s="5"/>
      <c r="H664" s="5"/>
      <c r="I664" s="5"/>
      <c r="J664" s="5"/>
      <c r="K664" s="50"/>
      <c r="L664" s="50"/>
      <c r="M664" s="50"/>
      <c r="N664" s="50"/>
      <c r="O664" s="50"/>
      <c r="P664" s="50"/>
      <c r="Q664" s="50"/>
      <c r="R664" s="50"/>
      <c r="S664" s="50"/>
      <c r="T664" s="50"/>
      <c r="U664" s="50"/>
      <c r="V664" s="50"/>
      <c r="W664" s="50"/>
      <c r="X664" s="50"/>
      <c r="Y664" s="50"/>
      <c r="Z664" s="50"/>
      <c r="AA664" s="50"/>
      <c r="AB664" s="50"/>
    </row>
    <row r="665" customFormat="false" ht="15.75" hidden="false" customHeight="false" outlineLevel="0" collapsed="false">
      <c r="A665" s="50"/>
      <c r="B665" s="50"/>
      <c r="C665" s="5"/>
      <c r="D665" s="48"/>
      <c r="E665" s="50"/>
      <c r="F665" s="5"/>
      <c r="G665" s="5"/>
      <c r="H665" s="5"/>
      <c r="I665" s="5"/>
      <c r="J665" s="5"/>
      <c r="K665" s="50"/>
      <c r="L665" s="50"/>
      <c r="M665" s="50"/>
      <c r="N665" s="50"/>
      <c r="O665" s="50"/>
      <c r="P665" s="50"/>
      <c r="Q665" s="50"/>
      <c r="R665" s="50"/>
      <c r="S665" s="50"/>
      <c r="T665" s="50"/>
      <c r="U665" s="50"/>
      <c r="V665" s="50"/>
      <c r="W665" s="50"/>
      <c r="X665" s="50"/>
      <c r="Y665" s="50"/>
      <c r="Z665" s="50"/>
      <c r="AA665" s="50"/>
      <c r="AB665" s="50"/>
    </row>
    <row r="666" customFormat="false" ht="15.75" hidden="false" customHeight="false" outlineLevel="0" collapsed="false">
      <c r="A666" s="50"/>
      <c r="B666" s="50"/>
      <c r="C666" s="5"/>
      <c r="D666" s="48"/>
      <c r="E666" s="50"/>
      <c r="F666" s="5"/>
      <c r="G666" s="5"/>
      <c r="H666" s="5"/>
      <c r="I666" s="5"/>
      <c r="J666" s="5"/>
      <c r="K666" s="50"/>
      <c r="L666" s="50"/>
      <c r="M666" s="50"/>
      <c r="N666" s="50"/>
      <c r="O666" s="50"/>
      <c r="P666" s="50"/>
      <c r="Q666" s="50"/>
      <c r="R666" s="50"/>
      <c r="S666" s="50"/>
      <c r="T666" s="50"/>
      <c r="U666" s="50"/>
      <c r="V666" s="50"/>
      <c r="W666" s="50"/>
      <c r="X666" s="50"/>
      <c r="Y666" s="50"/>
      <c r="Z666" s="50"/>
      <c r="AA666" s="50"/>
      <c r="AB666" s="50"/>
    </row>
    <row r="667" customFormat="false" ht="15.75" hidden="false" customHeight="false" outlineLevel="0" collapsed="false">
      <c r="A667" s="50"/>
      <c r="B667" s="50"/>
      <c r="C667" s="5"/>
      <c r="D667" s="48"/>
      <c r="E667" s="50"/>
      <c r="F667" s="5"/>
      <c r="G667" s="5"/>
      <c r="H667" s="5"/>
      <c r="I667" s="5"/>
      <c r="J667" s="5"/>
      <c r="K667" s="50"/>
      <c r="L667" s="50"/>
      <c r="M667" s="50"/>
      <c r="N667" s="50"/>
      <c r="O667" s="50"/>
      <c r="P667" s="50"/>
      <c r="Q667" s="50"/>
      <c r="R667" s="50"/>
      <c r="S667" s="50"/>
      <c r="T667" s="50"/>
      <c r="U667" s="50"/>
      <c r="V667" s="50"/>
      <c r="W667" s="50"/>
      <c r="X667" s="50"/>
      <c r="Y667" s="50"/>
      <c r="Z667" s="50"/>
      <c r="AA667" s="50"/>
      <c r="AB667" s="50"/>
    </row>
    <row r="668" customFormat="false" ht="15.75" hidden="false" customHeight="false" outlineLevel="0" collapsed="false">
      <c r="A668" s="50"/>
      <c r="B668" s="50"/>
      <c r="C668" s="5"/>
      <c r="D668" s="48"/>
      <c r="E668" s="50"/>
      <c r="F668" s="5"/>
      <c r="G668" s="5"/>
      <c r="H668" s="5"/>
      <c r="I668" s="5"/>
      <c r="J668" s="5"/>
      <c r="K668" s="50"/>
      <c r="L668" s="50"/>
      <c r="M668" s="50"/>
      <c r="N668" s="50"/>
      <c r="O668" s="50"/>
      <c r="P668" s="50"/>
      <c r="Q668" s="50"/>
      <c r="R668" s="50"/>
      <c r="S668" s="50"/>
      <c r="T668" s="50"/>
      <c r="U668" s="50"/>
      <c r="V668" s="50"/>
      <c r="W668" s="50"/>
      <c r="X668" s="50"/>
      <c r="Y668" s="50"/>
      <c r="Z668" s="50"/>
      <c r="AA668" s="50"/>
      <c r="AB668" s="50"/>
    </row>
    <row r="669" customFormat="false" ht="15.75" hidden="false" customHeight="false" outlineLevel="0" collapsed="false">
      <c r="A669" s="50"/>
      <c r="B669" s="50"/>
      <c r="C669" s="5"/>
      <c r="D669" s="48"/>
      <c r="E669" s="50"/>
      <c r="F669" s="5"/>
      <c r="G669" s="5"/>
      <c r="H669" s="5"/>
      <c r="I669" s="5"/>
      <c r="J669" s="5"/>
      <c r="K669" s="50"/>
      <c r="L669" s="50"/>
      <c r="M669" s="50"/>
      <c r="N669" s="50"/>
      <c r="O669" s="50"/>
      <c r="P669" s="50"/>
      <c r="Q669" s="50"/>
      <c r="R669" s="50"/>
      <c r="S669" s="50"/>
      <c r="T669" s="50"/>
      <c r="U669" s="50"/>
      <c r="V669" s="50"/>
      <c r="W669" s="50"/>
      <c r="X669" s="50"/>
      <c r="Y669" s="50"/>
      <c r="Z669" s="50"/>
      <c r="AA669" s="50"/>
      <c r="AB669" s="50"/>
    </row>
    <row r="670" customFormat="false" ht="15.75" hidden="false" customHeight="false" outlineLevel="0" collapsed="false">
      <c r="A670" s="50"/>
      <c r="B670" s="50"/>
      <c r="C670" s="5"/>
      <c r="D670" s="48"/>
      <c r="E670" s="50"/>
      <c r="F670" s="5"/>
      <c r="G670" s="5"/>
      <c r="H670" s="5"/>
      <c r="I670" s="5"/>
      <c r="J670" s="5"/>
      <c r="K670" s="50"/>
      <c r="L670" s="50"/>
      <c r="M670" s="50"/>
      <c r="N670" s="50"/>
      <c r="O670" s="50"/>
      <c r="P670" s="50"/>
      <c r="Q670" s="50"/>
      <c r="R670" s="50"/>
      <c r="S670" s="50"/>
      <c r="T670" s="50"/>
      <c r="U670" s="50"/>
      <c r="V670" s="50"/>
      <c r="W670" s="50"/>
      <c r="X670" s="50"/>
      <c r="Y670" s="50"/>
      <c r="Z670" s="50"/>
      <c r="AA670" s="50"/>
      <c r="AB670" s="50"/>
    </row>
    <row r="671" customFormat="false" ht="15.75" hidden="false" customHeight="false" outlineLevel="0" collapsed="false">
      <c r="A671" s="50"/>
      <c r="B671" s="50"/>
      <c r="C671" s="5"/>
      <c r="D671" s="48"/>
      <c r="E671" s="50"/>
      <c r="F671" s="5"/>
      <c r="G671" s="5"/>
      <c r="H671" s="5"/>
      <c r="I671" s="5"/>
      <c r="J671" s="5"/>
      <c r="K671" s="50"/>
      <c r="L671" s="50"/>
      <c r="M671" s="50"/>
      <c r="N671" s="50"/>
      <c r="O671" s="50"/>
      <c r="P671" s="50"/>
      <c r="Q671" s="50"/>
      <c r="R671" s="50"/>
      <c r="S671" s="50"/>
      <c r="T671" s="50"/>
      <c r="U671" s="50"/>
      <c r="V671" s="50"/>
      <c r="W671" s="50"/>
      <c r="X671" s="50"/>
      <c r="Y671" s="50"/>
      <c r="Z671" s="50"/>
      <c r="AA671" s="50"/>
      <c r="AB671" s="50"/>
    </row>
    <row r="672" customFormat="false" ht="15.75" hidden="false" customHeight="false" outlineLevel="0" collapsed="false">
      <c r="A672" s="50"/>
      <c r="B672" s="50"/>
      <c r="C672" s="5"/>
      <c r="D672" s="48"/>
      <c r="E672" s="50"/>
      <c r="F672" s="5"/>
      <c r="G672" s="5"/>
      <c r="H672" s="5"/>
      <c r="I672" s="5"/>
      <c r="J672" s="5"/>
      <c r="K672" s="50"/>
      <c r="L672" s="50"/>
      <c r="M672" s="50"/>
      <c r="N672" s="50"/>
      <c r="O672" s="50"/>
      <c r="P672" s="50"/>
      <c r="Q672" s="50"/>
      <c r="R672" s="50"/>
      <c r="S672" s="50"/>
      <c r="T672" s="50"/>
      <c r="U672" s="50"/>
      <c r="V672" s="50"/>
      <c r="W672" s="50"/>
      <c r="X672" s="50"/>
      <c r="Y672" s="50"/>
      <c r="Z672" s="50"/>
      <c r="AA672" s="50"/>
      <c r="AB672" s="50"/>
    </row>
    <row r="673" customFormat="false" ht="15.75" hidden="false" customHeight="false" outlineLevel="0" collapsed="false">
      <c r="A673" s="50"/>
      <c r="B673" s="50"/>
      <c r="C673" s="5"/>
      <c r="D673" s="48"/>
      <c r="E673" s="50"/>
      <c r="F673" s="5"/>
      <c r="G673" s="5"/>
      <c r="H673" s="5"/>
      <c r="I673" s="5"/>
      <c r="J673" s="5"/>
      <c r="K673" s="50"/>
      <c r="L673" s="50"/>
      <c r="M673" s="50"/>
      <c r="N673" s="50"/>
      <c r="O673" s="50"/>
      <c r="P673" s="50"/>
      <c r="Q673" s="50"/>
      <c r="R673" s="50"/>
      <c r="S673" s="50"/>
      <c r="T673" s="50"/>
      <c r="U673" s="50"/>
      <c r="V673" s="50"/>
      <c r="W673" s="50"/>
      <c r="X673" s="50"/>
      <c r="Y673" s="50"/>
      <c r="Z673" s="50"/>
      <c r="AA673" s="50"/>
      <c r="AB673" s="50"/>
    </row>
    <row r="674" customFormat="false" ht="15.75" hidden="false" customHeight="false" outlineLevel="0" collapsed="false">
      <c r="A674" s="50"/>
      <c r="B674" s="50"/>
      <c r="C674" s="5"/>
      <c r="D674" s="48"/>
      <c r="E674" s="50"/>
      <c r="F674" s="5"/>
      <c r="G674" s="5"/>
      <c r="H674" s="5"/>
      <c r="I674" s="5"/>
      <c r="J674" s="5"/>
      <c r="K674" s="50"/>
      <c r="L674" s="50"/>
      <c r="M674" s="50"/>
      <c r="N674" s="50"/>
      <c r="O674" s="50"/>
      <c r="P674" s="50"/>
      <c r="Q674" s="50"/>
      <c r="R674" s="50"/>
      <c r="S674" s="50"/>
      <c r="T674" s="50"/>
      <c r="U674" s="50"/>
      <c r="V674" s="50"/>
      <c r="W674" s="50"/>
      <c r="X674" s="50"/>
      <c r="Y674" s="50"/>
      <c r="Z674" s="50"/>
      <c r="AA674" s="50"/>
      <c r="AB674" s="50"/>
    </row>
    <row r="675" customFormat="false" ht="15.75" hidden="false" customHeight="false" outlineLevel="0" collapsed="false">
      <c r="A675" s="50"/>
      <c r="B675" s="50"/>
      <c r="C675" s="5"/>
      <c r="D675" s="48"/>
      <c r="E675" s="50"/>
      <c r="F675" s="5"/>
      <c r="G675" s="5"/>
      <c r="H675" s="5"/>
      <c r="I675" s="5"/>
      <c r="J675" s="5"/>
      <c r="K675" s="50"/>
      <c r="L675" s="50"/>
      <c r="M675" s="50"/>
      <c r="N675" s="50"/>
      <c r="O675" s="50"/>
      <c r="P675" s="50"/>
      <c r="Q675" s="50"/>
      <c r="R675" s="50"/>
      <c r="S675" s="50"/>
      <c r="T675" s="50"/>
      <c r="U675" s="50"/>
      <c r="V675" s="50"/>
      <c r="W675" s="50"/>
      <c r="X675" s="50"/>
      <c r="Y675" s="50"/>
      <c r="Z675" s="50"/>
      <c r="AA675" s="50"/>
      <c r="AB675" s="50"/>
    </row>
    <row r="676" customFormat="false" ht="15.75" hidden="false" customHeight="false" outlineLevel="0" collapsed="false">
      <c r="A676" s="50"/>
      <c r="B676" s="50"/>
      <c r="C676" s="5"/>
      <c r="D676" s="48"/>
      <c r="E676" s="50"/>
      <c r="F676" s="5"/>
      <c r="G676" s="5"/>
      <c r="H676" s="5"/>
      <c r="I676" s="5"/>
      <c r="J676" s="5"/>
      <c r="K676" s="50"/>
      <c r="L676" s="50"/>
      <c r="M676" s="50"/>
      <c r="N676" s="50"/>
      <c r="O676" s="50"/>
      <c r="P676" s="50"/>
      <c r="Q676" s="50"/>
      <c r="R676" s="50"/>
      <c r="S676" s="50"/>
      <c r="T676" s="50"/>
      <c r="U676" s="50"/>
      <c r="V676" s="50"/>
      <c r="W676" s="50"/>
      <c r="X676" s="50"/>
      <c r="Y676" s="50"/>
      <c r="Z676" s="50"/>
      <c r="AA676" s="50"/>
      <c r="AB676" s="50"/>
    </row>
    <row r="677" customFormat="false" ht="15.75" hidden="false" customHeight="false" outlineLevel="0" collapsed="false">
      <c r="A677" s="50"/>
      <c r="B677" s="50"/>
      <c r="C677" s="5"/>
      <c r="D677" s="48"/>
      <c r="E677" s="50"/>
      <c r="F677" s="5"/>
      <c r="G677" s="5"/>
      <c r="H677" s="5"/>
      <c r="I677" s="5"/>
      <c r="J677" s="5"/>
      <c r="K677" s="50"/>
      <c r="L677" s="50"/>
      <c r="M677" s="50"/>
      <c r="N677" s="50"/>
      <c r="O677" s="50"/>
      <c r="P677" s="50"/>
      <c r="Q677" s="50"/>
      <c r="R677" s="50"/>
      <c r="S677" s="50"/>
      <c r="T677" s="50"/>
      <c r="U677" s="50"/>
      <c r="V677" s="50"/>
      <c r="W677" s="50"/>
      <c r="X677" s="50"/>
      <c r="Y677" s="50"/>
      <c r="Z677" s="50"/>
      <c r="AA677" s="50"/>
      <c r="AB677" s="50"/>
    </row>
    <row r="678" customFormat="false" ht="15.75" hidden="false" customHeight="false" outlineLevel="0" collapsed="false">
      <c r="A678" s="50"/>
      <c r="B678" s="50"/>
      <c r="C678" s="5"/>
      <c r="D678" s="48"/>
      <c r="E678" s="50"/>
      <c r="F678" s="5"/>
      <c r="G678" s="5"/>
      <c r="H678" s="5"/>
      <c r="I678" s="5"/>
      <c r="J678" s="5"/>
      <c r="K678" s="50"/>
      <c r="L678" s="50"/>
      <c r="M678" s="50"/>
      <c r="N678" s="50"/>
      <c r="O678" s="50"/>
      <c r="P678" s="50"/>
      <c r="Q678" s="50"/>
      <c r="R678" s="50"/>
      <c r="S678" s="50"/>
      <c r="T678" s="50"/>
      <c r="U678" s="50"/>
      <c r="V678" s="50"/>
      <c r="W678" s="50"/>
      <c r="X678" s="50"/>
      <c r="Y678" s="50"/>
      <c r="Z678" s="50"/>
      <c r="AA678" s="50"/>
      <c r="AB678" s="50"/>
    </row>
    <row r="679" customFormat="false" ht="15.75" hidden="false" customHeight="false" outlineLevel="0" collapsed="false">
      <c r="A679" s="50"/>
      <c r="B679" s="50"/>
      <c r="C679" s="5"/>
      <c r="D679" s="48"/>
      <c r="E679" s="50"/>
      <c r="F679" s="5"/>
      <c r="G679" s="5"/>
      <c r="H679" s="5"/>
      <c r="I679" s="5"/>
      <c r="J679" s="5"/>
      <c r="K679" s="50"/>
      <c r="L679" s="50"/>
      <c r="M679" s="50"/>
      <c r="N679" s="50"/>
      <c r="O679" s="50"/>
      <c r="P679" s="50"/>
      <c r="Q679" s="50"/>
      <c r="R679" s="50"/>
      <c r="S679" s="50"/>
      <c r="T679" s="50"/>
      <c r="U679" s="50"/>
      <c r="V679" s="50"/>
      <c r="W679" s="50"/>
      <c r="X679" s="50"/>
      <c r="Y679" s="50"/>
      <c r="Z679" s="50"/>
      <c r="AA679" s="50"/>
      <c r="AB679" s="50"/>
    </row>
    <row r="680" customFormat="false" ht="15.75" hidden="false" customHeight="false" outlineLevel="0" collapsed="false">
      <c r="A680" s="50"/>
      <c r="B680" s="50"/>
      <c r="C680" s="5"/>
      <c r="D680" s="48"/>
      <c r="E680" s="50"/>
      <c r="F680" s="5"/>
      <c r="G680" s="5"/>
      <c r="H680" s="5"/>
      <c r="I680" s="5"/>
      <c r="J680" s="5"/>
      <c r="K680" s="50"/>
      <c r="L680" s="50"/>
      <c r="M680" s="50"/>
      <c r="N680" s="50"/>
      <c r="O680" s="50"/>
      <c r="P680" s="50"/>
      <c r="Q680" s="50"/>
      <c r="R680" s="50"/>
      <c r="S680" s="50"/>
      <c r="T680" s="50"/>
      <c r="U680" s="50"/>
      <c r="V680" s="50"/>
      <c r="W680" s="50"/>
      <c r="X680" s="50"/>
      <c r="Y680" s="50"/>
      <c r="Z680" s="50"/>
      <c r="AA680" s="50"/>
      <c r="AB680" s="50"/>
    </row>
    <row r="681" customFormat="false" ht="15.75" hidden="false" customHeight="false" outlineLevel="0" collapsed="false">
      <c r="A681" s="50"/>
      <c r="B681" s="50"/>
      <c r="C681" s="5"/>
      <c r="D681" s="48"/>
      <c r="E681" s="50"/>
      <c r="F681" s="5"/>
      <c r="G681" s="5"/>
      <c r="H681" s="5"/>
      <c r="I681" s="5"/>
      <c r="J681" s="5"/>
      <c r="K681" s="50"/>
      <c r="L681" s="50"/>
      <c r="M681" s="50"/>
      <c r="N681" s="50"/>
      <c r="O681" s="50"/>
      <c r="P681" s="50"/>
      <c r="Q681" s="50"/>
      <c r="R681" s="50"/>
      <c r="S681" s="50"/>
      <c r="T681" s="50"/>
      <c r="U681" s="50"/>
      <c r="V681" s="50"/>
      <c r="W681" s="50"/>
      <c r="X681" s="50"/>
      <c r="Y681" s="50"/>
      <c r="Z681" s="50"/>
      <c r="AA681" s="50"/>
      <c r="AB681" s="50"/>
    </row>
    <row r="682" customFormat="false" ht="15.75" hidden="false" customHeight="false" outlineLevel="0" collapsed="false">
      <c r="A682" s="50"/>
      <c r="B682" s="50"/>
      <c r="C682" s="5"/>
      <c r="D682" s="48"/>
      <c r="E682" s="50"/>
      <c r="F682" s="5"/>
      <c r="G682" s="5"/>
      <c r="H682" s="5"/>
      <c r="I682" s="5"/>
      <c r="J682" s="5"/>
      <c r="K682" s="50"/>
      <c r="L682" s="50"/>
      <c r="M682" s="50"/>
      <c r="N682" s="50"/>
      <c r="O682" s="50"/>
      <c r="P682" s="50"/>
      <c r="Q682" s="50"/>
      <c r="R682" s="50"/>
      <c r="S682" s="50"/>
      <c r="T682" s="50"/>
      <c r="U682" s="50"/>
      <c r="V682" s="50"/>
      <c r="W682" s="50"/>
      <c r="X682" s="50"/>
      <c r="Y682" s="50"/>
      <c r="Z682" s="50"/>
      <c r="AA682" s="50"/>
      <c r="AB682" s="50"/>
    </row>
    <row r="683" customFormat="false" ht="15.75" hidden="false" customHeight="false" outlineLevel="0" collapsed="false">
      <c r="A683" s="50"/>
      <c r="B683" s="50"/>
      <c r="C683" s="5"/>
      <c r="D683" s="48"/>
      <c r="E683" s="50"/>
      <c r="F683" s="5"/>
      <c r="G683" s="5"/>
      <c r="H683" s="5"/>
      <c r="I683" s="5"/>
      <c r="J683" s="5"/>
      <c r="K683" s="50"/>
      <c r="L683" s="50"/>
      <c r="M683" s="50"/>
      <c r="N683" s="50"/>
      <c r="O683" s="50"/>
      <c r="P683" s="50"/>
      <c r="Q683" s="50"/>
      <c r="R683" s="50"/>
      <c r="S683" s="50"/>
      <c r="T683" s="50"/>
      <c r="U683" s="50"/>
      <c r="V683" s="50"/>
      <c r="W683" s="50"/>
      <c r="X683" s="50"/>
      <c r="Y683" s="50"/>
      <c r="Z683" s="50"/>
      <c r="AA683" s="50"/>
      <c r="AB683" s="50"/>
    </row>
    <row r="684" customFormat="false" ht="15.75" hidden="false" customHeight="false" outlineLevel="0" collapsed="false">
      <c r="A684" s="50"/>
      <c r="B684" s="50"/>
      <c r="C684" s="5"/>
      <c r="D684" s="48"/>
      <c r="E684" s="50"/>
      <c r="F684" s="5"/>
      <c r="G684" s="5"/>
      <c r="H684" s="5"/>
      <c r="I684" s="5"/>
      <c r="J684" s="5"/>
      <c r="K684" s="50"/>
      <c r="L684" s="50"/>
      <c r="M684" s="50"/>
      <c r="N684" s="50"/>
      <c r="O684" s="50"/>
      <c r="P684" s="50"/>
      <c r="Q684" s="50"/>
      <c r="R684" s="50"/>
      <c r="S684" s="50"/>
      <c r="T684" s="50"/>
      <c r="U684" s="50"/>
      <c r="V684" s="50"/>
      <c r="W684" s="50"/>
      <c r="X684" s="50"/>
      <c r="Y684" s="50"/>
      <c r="Z684" s="50"/>
      <c r="AA684" s="50"/>
      <c r="AB684" s="50"/>
    </row>
    <row r="685" customFormat="false" ht="15.75" hidden="false" customHeight="false" outlineLevel="0" collapsed="false">
      <c r="A685" s="50"/>
      <c r="B685" s="50"/>
      <c r="C685" s="5"/>
      <c r="D685" s="48"/>
      <c r="E685" s="50"/>
      <c r="F685" s="5"/>
      <c r="G685" s="5"/>
      <c r="H685" s="5"/>
      <c r="I685" s="5"/>
      <c r="J685" s="5"/>
      <c r="K685" s="50"/>
      <c r="L685" s="50"/>
      <c r="M685" s="50"/>
      <c r="N685" s="50"/>
      <c r="O685" s="50"/>
      <c r="P685" s="50"/>
      <c r="Q685" s="50"/>
      <c r="R685" s="50"/>
      <c r="S685" s="50"/>
      <c r="T685" s="50"/>
      <c r="U685" s="50"/>
      <c r="V685" s="50"/>
      <c r="W685" s="50"/>
      <c r="X685" s="50"/>
      <c r="Y685" s="50"/>
      <c r="Z685" s="50"/>
      <c r="AA685" s="50"/>
      <c r="AB685" s="50"/>
    </row>
    <row r="686" customFormat="false" ht="15.75" hidden="false" customHeight="false" outlineLevel="0" collapsed="false">
      <c r="A686" s="50"/>
      <c r="B686" s="50"/>
      <c r="C686" s="5"/>
      <c r="D686" s="48"/>
      <c r="E686" s="50"/>
      <c r="F686" s="5"/>
      <c r="G686" s="5"/>
      <c r="H686" s="5"/>
      <c r="I686" s="5"/>
      <c r="J686" s="5"/>
      <c r="K686" s="50"/>
      <c r="L686" s="50"/>
      <c r="M686" s="50"/>
      <c r="N686" s="50"/>
      <c r="O686" s="50"/>
      <c r="P686" s="50"/>
      <c r="Q686" s="50"/>
      <c r="R686" s="50"/>
      <c r="S686" s="50"/>
      <c r="T686" s="50"/>
      <c r="U686" s="50"/>
      <c r="V686" s="50"/>
      <c r="W686" s="50"/>
      <c r="X686" s="50"/>
      <c r="Y686" s="50"/>
      <c r="Z686" s="50"/>
      <c r="AA686" s="50"/>
      <c r="AB686" s="50"/>
    </row>
    <row r="687" customFormat="false" ht="15.75" hidden="false" customHeight="false" outlineLevel="0" collapsed="false">
      <c r="A687" s="50"/>
      <c r="B687" s="50"/>
      <c r="C687" s="5"/>
      <c r="D687" s="48"/>
      <c r="E687" s="50"/>
      <c r="F687" s="5"/>
      <c r="G687" s="5"/>
      <c r="H687" s="5"/>
      <c r="I687" s="5"/>
      <c r="J687" s="5"/>
      <c r="K687" s="50"/>
      <c r="L687" s="50"/>
      <c r="M687" s="50"/>
      <c r="N687" s="50"/>
      <c r="O687" s="50"/>
      <c r="P687" s="50"/>
      <c r="Q687" s="50"/>
      <c r="R687" s="50"/>
      <c r="S687" s="50"/>
      <c r="T687" s="50"/>
      <c r="U687" s="50"/>
      <c r="V687" s="50"/>
      <c r="W687" s="50"/>
      <c r="X687" s="50"/>
      <c r="Y687" s="50"/>
      <c r="Z687" s="50"/>
      <c r="AA687" s="50"/>
      <c r="AB687" s="50"/>
    </row>
    <row r="688" customFormat="false" ht="15.75" hidden="false" customHeight="false" outlineLevel="0" collapsed="false">
      <c r="A688" s="50"/>
      <c r="B688" s="50"/>
      <c r="C688" s="5"/>
      <c r="D688" s="48"/>
      <c r="E688" s="50"/>
      <c r="F688" s="5"/>
      <c r="G688" s="5"/>
      <c r="H688" s="5"/>
      <c r="I688" s="5"/>
      <c r="J688" s="5"/>
      <c r="K688" s="50"/>
      <c r="L688" s="50"/>
      <c r="M688" s="50"/>
      <c r="N688" s="50"/>
      <c r="O688" s="50"/>
      <c r="P688" s="50"/>
      <c r="Q688" s="50"/>
      <c r="R688" s="50"/>
      <c r="S688" s="50"/>
      <c r="T688" s="50"/>
      <c r="U688" s="50"/>
      <c r="V688" s="50"/>
      <c r="W688" s="50"/>
      <c r="X688" s="50"/>
      <c r="Y688" s="50"/>
      <c r="Z688" s="50"/>
      <c r="AA688" s="50"/>
      <c r="AB688" s="50"/>
    </row>
    <row r="689" customFormat="false" ht="15.75" hidden="false" customHeight="false" outlineLevel="0" collapsed="false">
      <c r="A689" s="50"/>
      <c r="B689" s="50"/>
      <c r="C689" s="5"/>
      <c r="D689" s="48"/>
      <c r="E689" s="50"/>
      <c r="F689" s="5"/>
      <c r="G689" s="5"/>
      <c r="H689" s="5"/>
      <c r="I689" s="5"/>
      <c r="J689" s="5"/>
      <c r="K689" s="50"/>
      <c r="L689" s="50"/>
      <c r="M689" s="50"/>
      <c r="N689" s="50"/>
      <c r="O689" s="50"/>
      <c r="P689" s="50"/>
      <c r="Q689" s="50"/>
      <c r="R689" s="50"/>
      <c r="S689" s="50"/>
      <c r="T689" s="50"/>
      <c r="U689" s="50"/>
      <c r="V689" s="50"/>
      <c r="W689" s="50"/>
      <c r="X689" s="50"/>
      <c r="Y689" s="50"/>
      <c r="Z689" s="50"/>
      <c r="AA689" s="50"/>
      <c r="AB689" s="50"/>
    </row>
    <row r="690" customFormat="false" ht="15.75" hidden="false" customHeight="false" outlineLevel="0" collapsed="false">
      <c r="A690" s="50"/>
      <c r="B690" s="50"/>
      <c r="C690" s="5"/>
      <c r="D690" s="48"/>
      <c r="E690" s="50"/>
      <c r="F690" s="5"/>
      <c r="G690" s="5"/>
      <c r="H690" s="5"/>
      <c r="I690" s="5"/>
      <c r="J690" s="5"/>
      <c r="K690" s="50"/>
      <c r="L690" s="50"/>
      <c r="M690" s="50"/>
      <c r="N690" s="50"/>
      <c r="O690" s="50"/>
      <c r="P690" s="50"/>
      <c r="Q690" s="50"/>
      <c r="R690" s="50"/>
      <c r="S690" s="50"/>
      <c r="T690" s="50"/>
      <c r="U690" s="50"/>
      <c r="V690" s="50"/>
      <c r="W690" s="50"/>
      <c r="X690" s="50"/>
      <c r="Y690" s="50"/>
      <c r="Z690" s="50"/>
      <c r="AA690" s="50"/>
      <c r="AB690" s="50"/>
    </row>
    <row r="691" customFormat="false" ht="15.75" hidden="false" customHeight="false" outlineLevel="0" collapsed="false">
      <c r="A691" s="50"/>
      <c r="B691" s="50"/>
      <c r="C691" s="5"/>
      <c r="D691" s="48"/>
      <c r="E691" s="50"/>
      <c r="F691" s="5"/>
      <c r="G691" s="5"/>
      <c r="H691" s="5"/>
      <c r="I691" s="5"/>
      <c r="J691" s="5"/>
      <c r="K691" s="50"/>
      <c r="L691" s="50"/>
      <c r="M691" s="50"/>
      <c r="N691" s="50"/>
      <c r="O691" s="50"/>
      <c r="P691" s="50"/>
      <c r="Q691" s="50"/>
      <c r="R691" s="50"/>
      <c r="S691" s="50"/>
      <c r="T691" s="50"/>
      <c r="U691" s="50"/>
      <c r="V691" s="50"/>
      <c r="W691" s="50"/>
      <c r="X691" s="50"/>
      <c r="Y691" s="50"/>
      <c r="Z691" s="50"/>
      <c r="AA691" s="50"/>
      <c r="AB691" s="50"/>
    </row>
    <row r="692" customFormat="false" ht="15.75" hidden="false" customHeight="false" outlineLevel="0" collapsed="false">
      <c r="A692" s="50"/>
      <c r="B692" s="50"/>
      <c r="C692" s="5"/>
      <c r="D692" s="48"/>
      <c r="E692" s="50"/>
      <c r="F692" s="5"/>
      <c r="G692" s="5"/>
      <c r="H692" s="5"/>
      <c r="I692" s="5"/>
      <c r="J692" s="5"/>
      <c r="K692" s="50"/>
      <c r="L692" s="50"/>
      <c r="M692" s="50"/>
      <c r="N692" s="50"/>
      <c r="O692" s="50"/>
      <c r="P692" s="50"/>
      <c r="Q692" s="50"/>
      <c r="R692" s="50"/>
      <c r="S692" s="50"/>
      <c r="T692" s="50"/>
      <c r="U692" s="50"/>
      <c r="V692" s="50"/>
      <c r="W692" s="50"/>
      <c r="X692" s="50"/>
      <c r="Y692" s="50"/>
      <c r="Z692" s="50"/>
      <c r="AA692" s="50"/>
      <c r="AB692" s="50"/>
    </row>
    <row r="693" customFormat="false" ht="15.75" hidden="false" customHeight="false" outlineLevel="0" collapsed="false">
      <c r="A693" s="50"/>
      <c r="B693" s="50"/>
      <c r="C693" s="5"/>
      <c r="D693" s="48"/>
      <c r="E693" s="50"/>
      <c r="F693" s="5"/>
      <c r="G693" s="5"/>
      <c r="H693" s="5"/>
      <c r="I693" s="5"/>
      <c r="J693" s="5"/>
      <c r="K693" s="50"/>
      <c r="L693" s="50"/>
      <c r="M693" s="50"/>
      <c r="N693" s="50"/>
      <c r="O693" s="50"/>
      <c r="P693" s="50"/>
      <c r="Q693" s="50"/>
      <c r="R693" s="50"/>
      <c r="S693" s="50"/>
      <c r="T693" s="50"/>
      <c r="U693" s="50"/>
      <c r="V693" s="50"/>
      <c r="W693" s="50"/>
      <c r="X693" s="50"/>
      <c r="Y693" s="50"/>
      <c r="Z693" s="50"/>
      <c r="AA693" s="50"/>
      <c r="AB693" s="50"/>
    </row>
    <row r="694" customFormat="false" ht="15.75" hidden="false" customHeight="false" outlineLevel="0" collapsed="false">
      <c r="A694" s="50"/>
      <c r="B694" s="50"/>
      <c r="C694" s="5"/>
      <c r="D694" s="48"/>
      <c r="E694" s="50"/>
      <c r="F694" s="5"/>
      <c r="G694" s="5"/>
      <c r="H694" s="5"/>
      <c r="I694" s="5"/>
      <c r="J694" s="5"/>
      <c r="K694" s="50"/>
      <c r="L694" s="50"/>
      <c r="M694" s="50"/>
      <c r="N694" s="50"/>
      <c r="O694" s="50"/>
      <c r="P694" s="50"/>
      <c r="Q694" s="50"/>
      <c r="R694" s="50"/>
      <c r="S694" s="50"/>
      <c r="T694" s="50"/>
      <c r="U694" s="50"/>
      <c r="V694" s="50"/>
      <c r="W694" s="50"/>
      <c r="X694" s="50"/>
      <c r="Y694" s="50"/>
      <c r="Z694" s="50"/>
      <c r="AA694" s="50"/>
      <c r="AB694" s="50"/>
    </row>
    <row r="695" customFormat="false" ht="15.75" hidden="false" customHeight="false" outlineLevel="0" collapsed="false">
      <c r="A695" s="50"/>
      <c r="B695" s="50"/>
      <c r="C695" s="5"/>
      <c r="D695" s="48"/>
      <c r="E695" s="50"/>
      <c r="F695" s="5"/>
      <c r="G695" s="5"/>
      <c r="H695" s="5"/>
      <c r="I695" s="5"/>
      <c r="J695" s="5"/>
      <c r="K695" s="50"/>
      <c r="L695" s="50"/>
      <c r="M695" s="50"/>
      <c r="N695" s="50"/>
      <c r="O695" s="50"/>
      <c r="P695" s="50"/>
      <c r="Q695" s="50"/>
      <c r="R695" s="50"/>
      <c r="S695" s="50"/>
      <c r="T695" s="50"/>
      <c r="U695" s="50"/>
      <c r="V695" s="50"/>
      <c r="W695" s="50"/>
      <c r="X695" s="50"/>
      <c r="Y695" s="50"/>
      <c r="Z695" s="50"/>
      <c r="AA695" s="50"/>
      <c r="AB695" s="50"/>
    </row>
    <row r="696" customFormat="false" ht="15.75" hidden="false" customHeight="false" outlineLevel="0" collapsed="false">
      <c r="A696" s="50"/>
      <c r="B696" s="50"/>
      <c r="C696" s="5"/>
      <c r="D696" s="48"/>
      <c r="E696" s="50"/>
      <c r="F696" s="5"/>
      <c r="G696" s="5"/>
      <c r="H696" s="5"/>
      <c r="I696" s="5"/>
      <c r="J696" s="5"/>
      <c r="K696" s="50"/>
      <c r="L696" s="50"/>
      <c r="M696" s="50"/>
      <c r="N696" s="50"/>
      <c r="O696" s="50"/>
      <c r="P696" s="50"/>
      <c r="Q696" s="50"/>
      <c r="R696" s="50"/>
      <c r="S696" s="50"/>
      <c r="T696" s="50"/>
      <c r="U696" s="50"/>
      <c r="V696" s="50"/>
      <c r="W696" s="50"/>
      <c r="X696" s="50"/>
      <c r="Y696" s="50"/>
      <c r="Z696" s="50"/>
      <c r="AA696" s="50"/>
      <c r="AB696" s="50"/>
    </row>
    <row r="697" customFormat="false" ht="15.75" hidden="false" customHeight="false" outlineLevel="0" collapsed="false">
      <c r="A697" s="50"/>
      <c r="B697" s="50"/>
      <c r="C697" s="5"/>
      <c r="D697" s="48"/>
      <c r="E697" s="50"/>
      <c r="F697" s="5"/>
      <c r="G697" s="5"/>
      <c r="H697" s="5"/>
      <c r="I697" s="5"/>
      <c r="J697" s="5"/>
      <c r="K697" s="50"/>
      <c r="L697" s="50"/>
      <c r="M697" s="50"/>
      <c r="N697" s="50"/>
      <c r="O697" s="50"/>
      <c r="P697" s="50"/>
      <c r="Q697" s="50"/>
      <c r="R697" s="50"/>
      <c r="S697" s="50"/>
      <c r="T697" s="50"/>
      <c r="U697" s="50"/>
      <c r="V697" s="50"/>
      <c r="W697" s="50"/>
      <c r="X697" s="50"/>
      <c r="Y697" s="50"/>
      <c r="Z697" s="50"/>
      <c r="AA697" s="50"/>
      <c r="AB697" s="50"/>
    </row>
    <row r="698" customFormat="false" ht="15.75" hidden="false" customHeight="false" outlineLevel="0" collapsed="false">
      <c r="A698" s="50"/>
      <c r="B698" s="50"/>
      <c r="C698" s="5"/>
      <c r="D698" s="48"/>
      <c r="E698" s="50"/>
      <c r="F698" s="5"/>
      <c r="G698" s="5"/>
      <c r="H698" s="5"/>
      <c r="I698" s="5"/>
      <c r="J698" s="5"/>
      <c r="K698" s="50"/>
      <c r="L698" s="50"/>
      <c r="M698" s="50"/>
      <c r="N698" s="50"/>
      <c r="O698" s="50"/>
      <c r="P698" s="50"/>
      <c r="Q698" s="50"/>
      <c r="R698" s="50"/>
      <c r="S698" s="50"/>
      <c r="T698" s="50"/>
      <c r="U698" s="50"/>
      <c r="V698" s="50"/>
      <c r="W698" s="50"/>
      <c r="X698" s="50"/>
      <c r="Y698" s="50"/>
      <c r="Z698" s="50"/>
      <c r="AA698" s="50"/>
      <c r="AB698" s="50"/>
    </row>
    <row r="699" customFormat="false" ht="15.75" hidden="false" customHeight="false" outlineLevel="0" collapsed="false">
      <c r="A699" s="50"/>
      <c r="B699" s="50"/>
      <c r="C699" s="5"/>
      <c r="D699" s="48"/>
      <c r="E699" s="50"/>
      <c r="F699" s="5"/>
      <c r="G699" s="5"/>
      <c r="H699" s="5"/>
      <c r="I699" s="5"/>
      <c r="J699" s="5"/>
      <c r="K699" s="50"/>
      <c r="L699" s="50"/>
      <c r="M699" s="50"/>
      <c r="N699" s="50"/>
      <c r="O699" s="50"/>
      <c r="P699" s="50"/>
      <c r="Q699" s="50"/>
      <c r="R699" s="50"/>
      <c r="S699" s="50"/>
      <c r="T699" s="50"/>
      <c r="U699" s="50"/>
      <c r="V699" s="50"/>
      <c r="W699" s="50"/>
      <c r="X699" s="50"/>
      <c r="Y699" s="50"/>
      <c r="Z699" s="50"/>
      <c r="AA699" s="50"/>
      <c r="AB699" s="50"/>
    </row>
    <row r="700" customFormat="false" ht="15.75" hidden="false" customHeight="false" outlineLevel="0" collapsed="false">
      <c r="A700" s="50"/>
      <c r="B700" s="50"/>
      <c r="C700" s="5"/>
      <c r="D700" s="48"/>
      <c r="E700" s="50"/>
      <c r="F700" s="5"/>
      <c r="G700" s="5"/>
      <c r="H700" s="5"/>
      <c r="I700" s="5"/>
      <c r="J700" s="5"/>
      <c r="K700" s="50"/>
      <c r="L700" s="50"/>
      <c r="M700" s="50"/>
      <c r="N700" s="50"/>
      <c r="O700" s="50"/>
      <c r="P700" s="50"/>
      <c r="Q700" s="50"/>
      <c r="R700" s="50"/>
      <c r="S700" s="50"/>
      <c r="T700" s="50"/>
      <c r="U700" s="50"/>
      <c r="V700" s="50"/>
      <c r="W700" s="50"/>
      <c r="X700" s="50"/>
      <c r="Y700" s="50"/>
      <c r="Z700" s="50"/>
      <c r="AA700" s="50"/>
      <c r="AB700" s="50"/>
    </row>
    <row r="701" customFormat="false" ht="15.75" hidden="false" customHeight="false" outlineLevel="0" collapsed="false">
      <c r="A701" s="50"/>
      <c r="B701" s="50"/>
      <c r="C701" s="5"/>
      <c r="D701" s="48"/>
      <c r="E701" s="50"/>
      <c r="F701" s="5"/>
      <c r="G701" s="5"/>
      <c r="H701" s="5"/>
      <c r="I701" s="5"/>
      <c r="J701" s="5"/>
      <c r="K701" s="50"/>
      <c r="L701" s="50"/>
      <c r="M701" s="50"/>
      <c r="N701" s="50"/>
      <c r="O701" s="50"/>
      <c r="P701" s="50"/>
      <c r="Q701" s="50"/>
      <c r="R701" s="50"/>
      <c r="S701" s="50"/>
      <c r="T701" s="50"/>
      <c r="U701" s="50"/>
      <c r="V701" s="50"/>
      <c r="W701" s="50"/>
      <c r="X701" s="50"/>
      <c r="Y701" s="50"/>
      <c r="Z701" s="50"/>
      <c r="AA701" s="50"/>
      <c r="AB701" s="50"/>
    </row>
    <row r="702" customFormat="false" ht="15.75" hidden="false" customHeight="false" outlineLevel="0" collapsed="false">
      <c r="A702" s="50"/>
      <c r="B702" s="50"/>
      <c r="C702" s="5"/>
      <c r="D702" s="48"/>
      <c r="E702" s="50"/>
      <c r="F702" s="5"/>
      <c r="G702" s="5"/>
      <c r="H702" s="5"/>
      <c r="I702" s="5"/>
      <c r="J702" s="5"/>
      <c r="K702" s="50"/>
      <c r="L702" s="50"/>
      <c r="M702" s="50"/>
      <c r="N702" s="50"/>
      <c r="O702" s="50"/>
      <c r="P702" s="50"/>
      <c r="Q702" s="50"/>
      <c r="R702" s="50"/>
      <c r="S702" s="50"/>
      <c r="T702" s="50"/>
      <c r="U702" s="50"/>
      <c r="V702" s="50"/>
      <c r="W702" s="50"/>
      <c r="X702" s="50"/>
      <c r="Y702" s="50"/>
      <c r="Z702" s="50"/>
      <c r="AA702" s="50"/>
      <c r="AB702" s="50"/>
    </row>
    <row r="703" customFormat="false" ht="15.75" hidden="false" customHeight="false" outlineLevel="0" collapsed="false">
      <c r="A703" s="50"/>
      <c r="B703" s="50"/>
      <c r="C703" s="5"/>
      <c r="D703" s="48"/>
      <c r="E703" s="50"/>
      <c r="F703" s="5"/>
      <c r="G703" s="5"/>
      <c r="H703" s="5"/>
      <c r="I703" s="5"/>
      <c r="J703" s="5"/>
      <c r="K703" s="50"/>
      <c r="L703" s="50"/>
      <c r="M703" s="50"/>
      <c r="N703" s="50"/>
      <c r="O703" s="50"/>
      <c r="P703" s="50"/>
      <c r="Q703" s="50"/>
      <c r="R703" s="50"/>
      <c r="S703" s="50"/>
      <c r="T703" s="50"/>
      <c r="U703" s="50"/>
      <c r="V703" s="50"/>
      <c r="W703" s="50"/>
      <c r="X703" s="50"/>
      <c r="Y703" s="50"/>
      <c r="Z703" s="50"/>
      <c r="AA703" s="50"/>
      <c r="AB703" s="50"/>
    </row>
    <row r="704" customFormat="false" ht="15.75" hidden="false" customHeight="false" outlineLevel="0" collapsed="false">
      <c r="A704" s="50"/>
      <c r="B704" s="50"/>
      <c r="C704" s="5"/>
      <c r="D704" s="48"/>
      <c r="E704" s="50"/>
      <c r="F704" s="5"/>
      <c r="G704" s="5"/>
      <c r="H704" s="5"/>
      <c r="I704" s="5"/>
      <c r="J704" s="5"/>
      <c r="K704" s="50"/>
      <c r="L704" s="50"/>
      <c r="M704" s="50"/>
      <c r="N704" s="50"/>
      <c r="O704" s="50"/>
      <c r="P704" s="50"/>
      <c r="Q704" s="50"/>
      <c r="R704" s="50"/>
      <c r="S704" s="50"/>
      <c r="T704" s="50"/>
      <c r="U704" s="50"/>
      <c r="V704" s="50"/>
      <c r="W704" s="50"/>
      <c r="X704" s="50"/>
      <c r="Y704" s="50"/>
      <c r="Z704" s="50"/>
      <c r="AA704" s="50"/>
      <c r="AB704" s="50"/>
    </row>
    <row r="705" customFormat="false" ht="15.75" hidden="false" customHeight="false" outlineLevel="0" collapsed="false">
      <c r="A705" s="50"/>
      <c r="B705" s="50"/>
      <c r="C705" s="5"/>
      <c r="D705" s="48"/>
      <c r="E705" s="50"/>
      <c r="F705" s="5"/>
      <c r="G705" s="5"/>
      <c r="H705" s="5"/>
      <c r="I705" s="5"/>
      <c r="J705" s="5"/>
      <c r="K705" s="50"/>
      <c r="L705" s="50"/>
      <c r="M705" s="50"/>
      <c r="N705" s="50"/>
      <c r="O705" s="50"/>
      <c r="P705" s="50"/>
      <c r="Q705" s="50"/>
      <c r="R705" s="50"/>
      <c r="S705" s="50"/>
      <c r="T705" s="50"/>
      <c r="U705" s="50"/>
      <c r="V705" s="50"/>
      <c r="W705" s="50"/>
      <c r="X705" s="50"/>
      <c r="Y705" s="50"/>
      <c r="Z705" s="50"/>
      <c r="AA705" s="50"/>
      <c r="AB705" s="50"/>
    </row>
    <row r="706" customFormat="false" ht="15.75" hidden="false" customHeight="false" outlineLevel="0" collapsed="false">
      <c r="A706" s="50"/>
      <c r="B706" s="50"/>
      <c r="C706" s="5"/>
      <c r="D706" s="48"/>
      <c r="E706" s="50"/>
      <c r="F706" s="5"/>
      <c r="G706" s="5"/>
      <c r="H706" s="5"/>
      <c r="I706" s="5"/>
      <c r="J706" s="5"/>
      <c r="K706" s="50"/>
      <c r="L706" s="50"/>
      <c r="M706" s="50"/>
      <c r="N706" s="50"/>
      <c r="O706" s="50"/>
      <c r="P706" s="50"/>
      <c r="Q706" s="50"/>
      <c r="R706" s="50"/>
      <c r="S706" s="50"/>
      <c r="T706" s="50"/>
      <c r="U706" s="50"/>
      <c r="V706" s="50"/>
      <c r="W706" s="50"/>
      <c r="X706" s="50"/>
      <c r="Y706" s="50"/>
      <c r="Z706" s="50"/>
      <c r="AA706" s="50"/>
      <c r="AB706" s="50"/>
    </row>
    <row r="707" customFormat="false" ht="15.75" hidden="false" customHeight="false" outlineLevel="0" collapsed="false">
      <c r="A707" s="50"/>
      <c r="B707" s="50"/>
      <c r="C707" s="5"/>
      <c r="D707" s="48"/>
      <c r="E707" s="50"/>
      <c r="F707" s="5"/>
      <c r="G707" s="5"/>
      <c r="H707" s="5"/>
      <c r="I707" s="5"/>
      <c r="J707" s="5"/>
      <c r="K707" s="50"/>
      <c r="L707" s="50"/>
      <c r="M707" s="50"/>
      <c r="N707" s="50"/>
      <c r="O707" s="50"/>
      <c r="P707" s="50"/>
      <c r="Q707" s="50"/>
      <c r="R707" s="50"/>
      <c r="S707" s="50"/>
      <c r="T707" s="50"/>
      <c r="U707" s="50"/>
      <c r="V707" s="50"/>
      <c r="W707" s="50"/>
      <c r="X707" s="50"/>
      <c r="Y707" s="50"/>
      <c r="Z707" s="50"/>
      <c r="AA707" s="50"/>
      <c r="AB707" s="50"/>
    </row>
    <row r="708" customFormat="false" ht="15.75" hidden="false" customHeight="false" outlineLevel="0" collapsed="false">
      <c r="A708" s="50"/>
      <c r="B708" s="50"/>
      <c r="C708" s="5"/>
      <c r="D708" s="48"/>
      <c r="E708" s="50"/>
      <c r="F708" s="5"/>
      <c r="G708" s="5"/>
      <c r="H708" s="5"/>
      <c r="I708" s="5"/>
      <c r="J708" s="5"/>
      <c r="K708" s="50"/>
      <c r="L708" s="50"/>
      <c r="M708" s="50"/>
      <c r="N708" s="50"/>
      <c r="O708" s="50"/>
      <c r="P708" s="50"/>
      <c r="Q708" s="50"/>
      <c r="R708" s="50"/>
      <c r="S708" s="50"/>
      <c r="T708" s="50"/>
      <c r="U708" s="50"/>
      <c r="V708" s="50"/>
      <c r="W708" s="50"/>
      <c r="X708" s="50"/>
      <c r="Y708" s="50"/>
      <c r="Z708" s="50"/>
      <c r="AA708" s="50"/>
      <c r="AB708" s="50"/>
    </row>
    <row r="709" customFormat="false" ht="15.75" hidden="false" customHeight="false" outlineLevel="0" collapsed="false">
      <c r="A709" s="50"/>
      <c r="B709" s="50"/>
      <c r="C709" s="5"/>
      <c r="D709" s="48"/>
      <c r="E709" s="50"/>
      <c r="F709" s="5"/>
      <c r="G709" s="5"/>
      <c r="H709" s="5"/>
      <c r="I709" s="5"/>
      <c r="J709" s="5"/>
      <c r="K709" s="50"/>
      <c r="L709" s="50"/>
      <c r="M709" s="50"/>
      <c r="N709" s="50"/>
      <c r="O709" s="50"/>
      <c r="P709" s="50"/>
      <c r="Q709" s="50"/>
      <c r="R709" s="50"/>
      <c r="S709" s="50"/>
      <c r="T709" s="50"/>
      <c r="U709" s="50"/>
      <c r="V709" s="50"/>
      <c r="W709" s="50"/>
      <c r="X709" s="50"/>
      <c r="Y709" s="50"/>
      <c r="Z709" s="50"/>
      <c r="AA709" s="50"/>
      <c r="AB709" s="50"/>
    </row>
    <row r="710" customFormat="false" ht="15.75" hidden="false" customHeight="false" outlineLevel="0" collapsed="false">
      <c r="A710" s="50"/>
      <c r="B710" s="50"/>
      <c r="C710" s="5"/>
      <c r="D710" s="48"/>
      <c r="E710" s="50"/>
      <c r="F710" s="5"/>
      <c r="G710" s="5"/>
      <c r="H710" s="5"/>
      <c r="I710" s="5"/>
      <c r="J710" s="5"/>
      <c r="K710" s="50"/>
      <c r="L710" s="50"/>
      <c r="M710" s="50"/>
      <c r="N710" s="50"/>
      <c r="O710" s="50"/>
      <c r="P710" s="50"/>
      <c r="Q710" s="50"/>
      <c r="R710" s="50"/>
      <c r="S710" s="50"/>
      <c r="T710" s="50"/>
      <c r="U710" s="50"/>
      <c r="V710" s="50"/>
      <c r="W710" s="50"/>
      <c r="X710" s="50"/>
      <c r="Y710" s="50"/>
      <c r="Z710" s="50"/>
      <c r="AA710" s="50"/>
      <c r="AB710" s="50"/>
    </row>
    <row r="711" customFormat="false" ht="15.75" hidden="false" customHeight="false" outlineLevel="0" collapsed="false">
      <c r="A711" s="50"/>
      <c r="B711" s="50"/>
      <c r="C711" s="5"/>
      <c r="D711" s="48"/>
      <c r="E711" s="50"/>
      <c r="F711" s="5"/>
      <c r="G711" s="5"/>
      <c r="H711" s="5"/>
      <c r="I711" s="5"/>
      <c r="J711" s="5"/>
      <c r="K711" s="50"/>
      <c r="L711" s="50"/>
      <c r="M711" s="50"/>
      <c r="N711" s="50"/>
      <c r="O711" s="50"/>
      <c r="P711" s="50"/>
      <c r="Q711" s="50"/>
      <c r="R711" s="50"/>
      <c r="S711" s="50"/>
      <c r="T711" s="50"/>
      <c r="U711" s="50"/>
      <c r="V711" s="50"/>
      <c r="W711" s="50"/>
      <c r="X711" s="50"/>
      <c r="Y711" s="50"/>
      <c r="Z711" s="50"/>
      <c r="AA711" s="50"/>
      <c r="AB711" s="50"/>
    </row>
    <row r="712" customFormat="false" ht="15.75" hidden="false" customHeight="false" outlineLevel="0" collapsed="false">
      <c r="A712" s="50"/>
      <c r="B712" s="50"/>
      <c r="C712" s="5"/>
      <c r="D712" s="48"/>
      <c r="E712" s="50"/>
      <c r="F712" s="5"/>
      <c r="G712" s="5"/>
      <c r="H712" s="5"/>
      <c r="I712" s="5"/>
      <c r="J712" s="5"/>
      <c r="K712" s="50"/>
      <c r="L712" s="50"/>
      <c r="M712" s="50"/>
      <c r="N712" s="50"/>
      <c r="O712" s="50"/>
      <c r="P712" s="50"/>
      <c r="Q712" s="50"/>
      <c r="R712" s="50"/>
      <c r="S712" s="50"/>
      <c r="T712" s="50"/>
      <c r="U712" s="50"/>
      <c r="V712" s="50"/>
      <c r="W712" s="50"/>
      <c r="X712" s="50"/>
      <c r="Y712" s="50"/>
      <c r="Z712" s="50"/>
      <c r="AA712" s="50"/>
      <c r="AB712" s="50"/>
    </row>
    <row r="713" customFormat="false" ht="15.75" hidden="false" customHeight="false" outlineLevel="0" collapsed="false">
      <c r="A713" s="50"/>
      <c r="B713" s="50"/>
      <c r="C713" s="5"/>
      <c r="D713" s="48"/>
      <c r="E713" s="50"/>
      <c r="F713" s="5"/>
      <c r="G713" s="5"/>
      <c r="H713" s="5"/>
      <c r="I713" s="5"/>
      <c r="J713" s="5"/>
      <c r="K713" s="50"/>
      <c r="L713" s="50"/>
      <c r="M713" s="50"/>
      <c r="N713" s="50"/>
      <c r="O713" s="50"/>
      <c r="P713" s="50"/>
      <c r="Q713" s="50"/>
      <c r="R713" s="50"/>
      <c r="S713" s="50"/>
      <c r="T713" s="50"/>
      <c r="U713" s="50"/>
      <c r="V713" s="50"/>
      <c r="W713" s="50"/>
      <c r="X713" s="50"/>
      <c r="Y713" s="50"/>
      <c r="Z713" s="50"/>
      <c r="AA713" s="50"/>
      <c r="AB713" s="50"/>
    </row>
    <row r="714" customFormat="false" ht="15.75" hidden="false" customHeight="false" outlineLevel="0" collapsed="false">
      <c r="A714" s="50"/>
      <c r="B714" s="50"/>
      <c r="C714" s="5"/>
      <c r="D714" s="48"/>
      <c r="E714" s="50"/>
      <c r="F714" s="5"/>
      <c r="G714" s="5"/>
      <c r="H714" s="5"/>
      <c r="I714" s="5"/>
      <c r="J714" s="5"/>
      <c r="K714" s="50"/>
      <c r="L714" s="50"/>
      <c r="M714" s="50"/>
      <c r="N714" s="50"/>
      <c r="O714" s="50"/>
      <c r="P714" s="50"/>
      <c r="Q714" s="50"/>
      <c r="R714" s="50"/>
      <c r="S714" s="50"/>
      <c r="T714" s="50"/>
      <c r="U714" s="50"/>
      <c r="V714" s="50"/>
      <c r="W714" s="50"/>
      <c r="X714" s="50"/>
      <c r="Y714" s="50"/>
      <c r="Z714" s="50"/>
      <c r="AA714" s="50"/>
      <c r="AB714" s="50"/>
    </row>
    <row r="715" customFormat="false" ht="15.75" hidden="false" customHeight="false" outlineLevel="0" collapsed="false">
      <c r="A715" s="50"/>
      <c r="B715" s="50"/>
      <c r="C715" s="5"/>
      <c r="D715" s="48"/>
      <c r="E715" s="50"/>
      <c r="F715" s="5"/>
      <c r="G715" s="5"/>
      <c r="H715" s="5"/>
      <c r="I715" s="5"/>
      <c r="J715" s="5"/>
      <c r="K715" s="50"/>
      <c r="L715" s="50"/>
      <c r="M715" s="50"/>
      <c r="N715" s="50"/>
      <c r="O715" s="50"/>
      <c r="P715" s="50"/>
      <c r="Q715" s="50"/>
      <c r="R715" s="50"/>
      <c r="S715" s="50"/>
      <c r="T715" s="50"/>
      <c r="U715" s="50"/>
      <c r="V715" s="50"/>
      <c r="W715" s="50"/>
      <c r="X715" s="50"/>
      <c r="Y715" s="50"/>
      <c r="Z715" s="50"/>
      <c r="AA715" s="50"/>
      <c r="AB715" s="50"/>
    </row>
    <row r="716" customFormat="false" ht="15.75" hidden="false" customHeight="false" outlineLevel="0" collapsed="false">
      <c r="A716" s="50"/>
      <c r="B716" s="50"/>
      <c r="C716" s="5"/>
      <c r="D716" s="48"/>
      <c r="E716" s="50"/>
      <c r="F716" s="5"/>
      <c r="G716" s="5"/>
      <c r="H716" s="5"/>
      <c r="I716" s="5"/>
      <c r="J716" s="5"/>
      <c r="K716" s="50"/>
      <c r="L716" s="50"/>
      <c r="M716" s="50"/>
      <c r="N716" s="50"/>
      <c r="O716" s="50"/>
      <c r="P716" s="50"/>
      <c r="Q716" s="50"/>
      <c r="R716" s="50"/>
      <c r="S716" s="50"/>
      <c r="T716" s="50"/>
      <c r="U716" s="50"/>
      <c r="V716" s="50"/>
      <c r="W716" s="50"/>
      <c r="X716" s="50"/>
      <c r="Y716" s="50"/>
      <c r="Z716" s="50"/>
      <c r="AA716" s="50"/>
      <c r="AB716" s="50"/>
    </row>
    <row r="717" customFormat="false" ht="15.75" hidden="false" customHeight="false" outlineLevel="0" collapsed="false">
      <c r="A717" s="50"/>
      <c r="B717" s="50"/>
      <c r="C717" s="5"/>
      <c r="D717" s="48"/>
      <c r="E717" s="50"/>
      <c r="F717" s="5"/>
      <c r="G717" s="5"/>
      <c r="H717" s="5"/>
      <c r="I717" s="5"/>
      <c r="J717" s="5"/>
      <c r="K717" s="50"/>
      <c r="L717" s="50"/>
      <c r="M717" s="50"/>
      <c r="N717" s="50"/>
      <c r="O717" s="50"/>
      <c r="P717" s="50"/>
      <c r="Q717" s="50"/>
      <c r="R717" s="50"/>
      <c r="S717" s="50"/>
      <c r="T717" s="50"/>
      <c r="U717" s="50"/>
      <c r="V717" s="50"/>
      <c r="W717" s="50"/>
      <c r="X717" s="50"/>
      <c r="Y717" s="50"/>
      <c r="Z717" s="50"/>
      <c r="AA717" s="50"/>
      <c r="AB717" s="50"/>
    </row>
    <row r="718" customFormat="false" ht="15.75" hidden="false" customHeight="false" outlineLevel="0" collapsed="false">
      <c r="A718" s="50"/>
      <c r="B718" s="50"/>
      <c r="C718" s="5"/>
      <c r="D718" s="48"/>
      <c r="E718" s="50"/>
      <c r="F718" s="5"/>
      <c r="G718" s="5"/>
      <c r="H718" s="5"/>
      <c r="I718" s="5"/>
      <c r="J718" s="5"/>
      <c r="K718" s="50"/>
      <c r="L718" s="50"/>
      <c r="M718" s="50"/>
      <c r="N718" s="50"/>
      <c r="O718" s="50"/>
      <c r="P718" s="50"/>
      <c r="Q718" s="50"/>
      <c r="R718" s="50"/>
      <c r="S718" s="50"/>
      <c r="T718" s="50"/>
      <c r="U718" s="50"/>
      <c r="V718" s="50"/>
      <c r="W718" s="50"/>
      <c r="X718" s="50"/>
      <c r="Y718" s="50"/>
      <c r="Z718" s="50"/>
      <c r="AA718" s="50"/>
      <c r="AB718" s="50"/>
    </row>
    <row r="719" customFormat="false" ht="15.75" hidden="false" customHeight="false" outlineLevel="0" collapsed="false">
      <c r="A719" s="50"/>
      <c r="B719" s="50"/>
      <c r="C719" s="5"/>
      <c r="D719" s="48"/>
      <c r="E719" s="50"/>
      <c r="F719" s="5"/>
      <c r="G719" s="5"/>
      <c r="H719" s="5"/>
      <c r="I719" s="5"/>
      <c r="J719" s="5"/>
      <c r="K719" s="50"/>
      <c r="L719" s="50"/>
      <c r="M719" s="50"/>
      <c r="N719" s="50"/>
      <c r="O719" s="50"/>
      <c r="P719" s="50"/>
      <c r="Q719" s="50"/>
      <c r="R719" s="50"/>
      <c r="S719" s="50"/>
      <c r="T719" s="50"/>
      <c r="U719" s="50"/>
      <c r="V719" s="50"/>
      <c r="W719" s="50"/>
      <c r="X719" s="50"/>
      <c r="Y719" s="50"/>
      <c r="Z719" s="50"/>
      <c r="AA719" s="50"/>
      <c r="AB719" s="50"/>
    </row>
    <row r="720" customFormat="false" ht="15.75" hidden="false" customHeight="false" outlineLevel="0" collapsed="false">
      <c r="A720" s="50"/>
      <c r="B720" s="50"/>
      <c r="C720" s="5"/>
      <c r="D720" s="48"/>
      <c r="E720" s="50"/>
      <c r="F720" s="5"/>
      <c r="G720" s="5"/>
      <c r="H720" s="5"/>
      <c r="I720" s="5"/>
      <c r="J720" s="5"/>
      <c r="K720" s="50"/>
      <c r="L720" s="50"/>
      <c r="M720" s="50"/>
      <c r="N720" s="50"/>
      <c r="O720" s="50"/>
      <c r="P720" s="50"/>
      <c r="Q720" s="50"/>
      <c r="R720" s="50"/>
      <c r="S720" s="50"/>
      <c r="T720" s="50"/>
      <c r="U720" s="50"/>
      <c r="V720" s="50"/>
      <c r="W720" s="50"/>
      <c r="X720" s="50"/>
      <c r="Y720" s="50"/>
      <c r="Z720" s="50"/>
      <c r="AA720" s="50"/>
      <c r="AB720" s="50"/>
    </row>
    <row r="721" customFormat="false" ht="15.75" hidden="false" customHeight="false" outlineLevel="0" collapsed="false">
      <c r="A721" s="50"/>
      <c r="B721" s="50"/>
      <c r="C721" s="5"/>
      <c r="D721" s="48"/>
      <c r="E721" s="50"/>
      <c r="F721" s="5"/>
      <c r="G721" s="5"/>
      <c r="H721" s="5"/>
      <c r="I721" s="5"/>
      <c r="J721" s="5"/>
      <c r="K721" s="50"/>
      <c r="L721" s="50"/>
      <c r="M721" s="50"/>
      <c r="N721" s="50"/>
      <c r="O721" s="50"/>
      <c r="P721" s="50"/>
      <c r="Q721" s="50"/>
      <c r="R721" s="50"/>
      <c r="S721" s="50"/>
      <c r="T721" s="50"/>
      <c r="U721" s="50"/>
      <c r="V721" s="50"/>
      <c r="W721" s="50"/>
      <c r="X721" s="50"/>
      <c r="Y721" s="50"/>
      <c r="Z721" s="50"/>
      <c r="AA721" s="50"/>
      <c r="AB721" s="50"/>
    </row>
    <row r="722" customFormat="false" ht="15.75" hidden="false" customHeight="false" outlineLevel="0" collapsed="false">
      <c r="A722" s="50"/>
      <c r="B722" s="50"/>
      <c r="C722" s="5"/>
      <c r="D722" s="48"/>
      <c r="E722" s="50"/>
      <c r="F722" s="5"/>
      <c r="G722" s="5"/>
      <c r="H722" s="5"/>
      <c r="I722" s="5"/>
      <c r="J722" s="5"/>
      <c r="K722" s="50"/>
      <c r="L722" s="50"/>
      <c r="M722" s="50"/>
      <c r="N722" s="50"/>
      <c r="O722" s="50"/>
      <c r="P722" s="50"/>
      <c r="Q722" s="50"/>
      <c r="R722" s="50"/>
      <c r="S722" s="50"/>
      <c r="T722" s="50"/>
      <c r="U722" s="50"/>
      <c r="V722" s="50"/>
      <c r="W722" s="50"/>
      <c r="X722" s="50"/>
      <c r="Y722" s="50"/>
      <c r="Z722" s="50"/>
      <c r="AA722" s="50"/>
      <c r="AB722" s="50"/>
    </row>
    <row r="723" customFormat="false" ht="15.75" hidden="false" customHeight="false" outlineLevel="0" collapsed="false">
      <c r="A723" s="50"/>
      <c r="B723" s="50"/>
      <c r="C723" s="5"/>
      <c r="D723" s="48"/>
      <c r="E723" s="50"/>
      <c r="F723" s="5"/>
      <c r="G723" s="5"/>
      <c r="H723" s="5"/>
      <c r="I723" s="5"/>
      <c r="J723" s="5"/>
      <c r="K723" s="50"/>
      <c r="L723" s="50"/>
      <c r="M723" s="50"/>
      <c r="N723" s="50"/>
      <c r="O723" s="50"/>
      <c r="P723" s="50"/>
      <c r="Q723" s="50"/>
      <c r="R723" s="50"/>
      <c r="S723" s="50"/>
      <c r="T723" s="50"/>
      <c r="U723" s="50"/>
      <c r="V723" s="50"/>
      <c r="W723" s="50"/>
      <c r="X723" s="50"/>
      <c r="Y723" s="50"/>
      <c r="Z723" s="50"/>
      <c r="AA723" s="50"/>
      <c r="AB723" s="50"/>
    </row>
    <row r="724" customFormat="false" ht="15.75" hidden="false" customHeight="false" outlineLevel="0" collapsed="false">
      <c r="A724" s="50"/>
      <c r="B724" s="50"/>
      <c r="C724" s="5"/>
      <c r="D724" s="48"/>
      <c r="E724" s="50"/>
      <c r="F724" s="5"/>
      <c r="G724" s="5"/>
      <c r="H724" s="5"/>
      <c r="I724" s="5"/>
      <c r="J724" s="5"/>
      <c r="K724" s="50"/>
      <c r="L724" s="50"/>
      <c r="M724" s="50"/>
      <c r="N724" s="50"/>
      <c r="O724" s="50"/>
      <c r="P724" s="50"/>
      <c r="Q724" s="50"/>
      <c r="R724" s="50"/>
      <c r="S724" s="50"/>
      <c r="T724" s="50"/>
      <c r="U724" s="50"/>
      <c r="V724" s="50"/>
      <c r="W724" s="50"/>
      <c r="X724" s="50"/>
      <c r="Y724" s="50"/>
      <c r="Z724" s="50"/>
      <c r="AA724" s="50"/>
      <c r="AB724" s="50"/>
    </row>
    <row r="725" customFormat="false" ht="15.75" hidden="false" customHeight="false" outlineLevel="0" collapsed="false">
      <c r="A725" s="50"/>
      <c r="B725" s="50"/>
      <c r="C725" s="5"/>
      <c r="D725" s="48"/>
      <c r="E725" s="50"/>
      <c r="F725" s="5"/>
      <c r="G725" s="5"/>
      <c r="H725" s="5"/>
      <c r="I725" s="5"/>
      <c r="J725" s="5"/>
      <c r="K725" s="50"/>
      <c r="L725" s="50"/>
      <c r="M725" s="50"/>
      <c r="N725" s="50"/>
      <c r="O725" s="50"/>
      <c r="P725" s="50"/>
      <c r="Q725" s="50"/>
      <c r="R725" s="50"/>
      <c r="S725" s="50"/>
      <c r="T725" s="50"/>
      <c r="U725" s="50"/>
      <c r="V725" s="50"/>
      <c r="W725" s="50"/>
      <c r="X725" s="50"/>
      <c r="Y725" s="50"/>
      <c r="Z725" s="50"/>
      <c r="AA725" s="50"/>
      <c r="AB725" s="50"/>
    </row>
    <row r="726" customFormat="false" ht="15.75" hidden="false" customHeight="false" outlineLevel="0" collapsed="false">
      <c r="A726" s="50"/>
      <c r="B726" s="50"/>
      <c r="C726" s="5"/>
      <c r="D726" s="48"/>
      <c r="E726" s="50"/>
      <c r="F726" s="5"/>
      <c r="G726" s="5"/>
      <c r="H726" s="5"/>
      <c r="I726" s="5"/>
      <c r="J726" s="5"/>
      <c r="K726" s="50"/>
      <c r="L726" s="50"/>
      <c r="M726" s="50"/>
      <c r="N726" s="50"/>
      <c r="O726" s="50"/>
      <c r="P726" s="50"/>
      <c r="Q726" s="50"/>
      <c r="R726" s="50"/>
      <c r="S726" s="50"/>
      <c r="T726" s="50"/>
      <c r="U726" s="50"/>
      <c r="V726" s="50"/>
      <c r="W726" s="50"/>
      <c r="X726" s="50"/>
      <c r="Y726" s="50"/>
      <c r="Z726" s="50"/>
      <c r="AA726" s="50"/>
      <c r="AB726" s="50"/>
    </row>
    <row r="727" customFormat="false" ht="15.75" hidden="false" customHeight="false" outlineLevel="0" collapsed="false">
      <c r="A727" s="50"/>
      <c r="B727" s="50"/>
      <c r="C727" s="5"/>
      <c r="D727" s="48"/>
      <c r="E727" s="50"/>
      <c r="F727" s="5"/>
      <c r="G727" s="5"/>
      <c r="H727" s="5"/>
      <c r="I727" s="5"/>
      <c r="J727" s="5"/>
      <c r="K727" s="50"/>
      <c r="L727" s="50"/>
      <c r="M727" s="50"/>
      <c r="N727" s="50"/>
      <c r="O727" s="50"/>
      <c r="P727" s="50"/>
      <c r="Q727" s="50"/>
      <c r="R727" s="50"/>
      <c r="S727" s="50"/>
      <c r="T727" s="50"/>
      <c r="U727" s="50"/>
      <c r="V727" s="50"/>
      <c r="W727" s="50"/>
      <c r="X727" s="50"/>
      <c r="Y727" s="50"/>
      <c r="Z727" s="50"/>
      <c r="AA727" s="50"/>
      <c r="AB727" s="50"/>
    </row>
    <row r="728" customFormat="false" ht="15.75" hidden="false" customHeight="false" outlineLevel="0" collapsed="false">
      <c r="A728" s="50"/>
      <c r="B728" s="50"/>
      <c r="C728" s="5"/>
      <c r="D728" s="48"/>
      <c r="E728" s="50"/>
      <c r="F728" s="5"/>
      <c r="G728" s="5"/>
      <c r="H728" s="5"/>
      <c r="I728" s="5"/>
      <c r="J728" s="5"/>
      <c r="K728" s="50"/>
      <c r="L728" s="50"/>
      <c r="M728" s="50"/>
      <c r="N728" s="50"/>
      <c r="O728" s="50"/>
      <c r="P728" s="50"/>
      <c r="Q728" s="50"/>
      <c r="R728" s="50"/>
      <c r="S728" s="50"/>
      <c r="T728" s="50"/>
      <c r="U728" s="50"/>
      <c r="V728" s="50"/>
      <c r="W728" s="50"/>
      <c r="X728" s="50"/>
      <c r="Y728" s="50"/>
      <c r="Z728" s="50"/>
      <c r="AA728" s="50"/>
      <c r="AB728" s="50"/>
    </row>
    <row r="729" customFormat="false" ht="15.75" hidden="false" customHeight="false" outlineLevel="0" collapsed="false">
      <c r="A729" s="50"/>
      <c r="B729" s="50"/>
      <c r="C729" s="5"/>
      <c r="D729" s="48"/>
      <c r="E729" s="50"/>
      <c r="F729" s="5"/>
      <c r="G729" s="5"/>
      <c r="H729" s="5"/>
      <c r="I729" s="5"/>
      <c r="J729" s="5"/>
      <c r="K729" s="50"/>
      <c r="L729" s="50"/>
      <c r="M729" s="50"/>
      <c r="N729" s="50"/>
      <c r="O729" s="50"/>
      <c r="P729" s="50"/>
      <c r="Q729" s="50"/>
      <c r="R729" s="50"/>
      <c r="S729" s="50"/>
      <c r="T729" s="50"/>
      <c r="U729" s="50"/>
      <c r="V729" s="50"/>
      <c r="W729" s="50"/>
      <c r="X729" s="50"/>
      <c r="Y729" s="50"/>
      <c r="Z729" s="50"/>
      <c r="AA729" s="50"/>
      <c r="AB729" s="50"/>
    </row>
    <row r="730" customFormat="false" ht="15.75" hidden="false" customHeight="false" outlineLevel="0" collapsed="false">
      <c r="A730" s="50"/>
      <c r="B730" s="50"/>
      <c r="C730" s="5"/>
      <c r="D730" s="48"/>
      <c r="E730" s="50"/>
      <c r="F730" s="5"/>
      <c r="G730" s="5"/>
      <c r="H730" s="5"/>
      <c r="I730" s="5"/>
      <c r="J730" s="5"/>
      <c r="K730" s="50"/>
      <c r="L730" s="50"/>
      <c r="M730" s="50"/>
      <c r="N730" s="50"/>
      <c r="O730" s="50"/>
      <c r="P730" s="50"/>
      <c r="Q730" s="50"/>
      <c r="R730" s="50"/>
      <c r="S730" s="50"/>
      <c r="T730" s="50"/>
      <c r="U730" s="50"/>
      <c r="V730" s="50"/>
      <c r="W730" s="50"/>
      <c r="X730" s="50"/>
      <c r="Y730" s="50"/>
      <c r="Z730" s="50"/>
      <c r="AA730" s="50"/>
      <c r="AB730" s="50"/>
    </row>
    <row r="731" customFormat="false" ht="15.75" hidden="false" customHeight="false" outlineLevel="0" collapsed="false">
      <c r="A731" s="50"/>
      <c r="B731" s="50"/>
      <c r="C731" s="5"/>
      <c r="D731" s="48"/>
      <c r="E731" s="50"/>
      <c r="F731" s="5"/>
      <c r="G731" s="5"/>
      <c r="H731" s="5"/>
      <c r="I731" s="5"/>
      <c r="J731" s="5"/>
      <c r="K731" s="50"/>
      <c r="L731" s="50"/>
      <c r="M731" s="50"/>
      <c r="N731" s="50"/>
      <c r="O731" s="50"/>
      <c r="P731" s="50"/>
      <c r="Q731" s="50"/>
      <c r="R731" s="50"/>
      <c r="S731" s="50"/>
      <c r="T731" s="50"/>
      <c r="U731" s="50"/>
      <c r="V731" s="50"/>
      <c r="W731" s="50"/>
      <c r="X731" s="50"/>
      <c r="Y731" s="50"/>
      <c r="Z731" s="50"/>
      <c r="AA731" s="50"/>
      <c r="AB731" s="50"/>
    </row>
    <row r="732" customFormat="false" ht="15.75" hidden="false" customHeight="false" outlineLevel="0" collapsed="false">
      <c r="A732" s="50"/>
      <c r="B732" s="50"/>
      <c r="C732" s="5"/>
      <c r="D732" s="48"/>
      <c r="E732" s="50"/>
      <c r="F732" s="5"/>
      <c r="G732" s="5"/>
      <c r="H732" s="5"/>
      <c r="I732" s="5"/>
      <c r="J732" s="5"/>
      <c r="K732" s="50"/>
      <c r="L732" s="50"/>
      <c r="M732" s="50"/>
      <c r="N732" s="50"/>
      <c r="O732" s="50"/>
      <c r="P732" s="50"/>
      <c r="Q732" s="50"/>
      <c r="R732" s="50"/>
      <c r="S732" s="50"/>
      <c r="T732" s="50"/>
      <c r="U732" s="50"/>
      <c r="V732" s="50"/>
      <c r="W732" s="50"/>
      <c r="X732" s="50"/>
      <c r="Y732" s="50"/>
      <c r="Z732" s="50"/>
      <c r="AA732" s="50"/>
      <c r="AB732" s="50"/>
    </row>
    <row r="733" customFormat="false" ht="15.75" hidden="false" customHeight="false" outlineLevel="0" collapsed="false">
      <c r="A733" s="50"/>
      <c r="B733" s="50"/>
      <c r="C733" s="5"/>
      <c r="D733" s="48"/>
      <c r="E733" s="50"/>
      <c r="F733" s="5"/>
      <c r="G733" s="5"/>
      <c r="H733" s="5"/>
      <c r="I733" s="5"/>
      <c r="J733" s="5"/>
      <c r="K733" s="50"/>
      <c r="L733" s="50"/>
      <c r="M733" s="50"/>
      <c r="N733" s="50"/>
      <c r="O733" s="50"/>
      <c r="P733" s="50"/>
      <c r="Q733" s="50"/>
      <c r="R733" s="50"/>
      <c r="S733" s="50"/>
      <c r="T733" s="50"/>
      <c r="U733" s="50"/>
      <c r="V733" s="50"/>
      <c r="W733" s="50"/>
      <c r="X733" s="50"/>
      <c r="Y733" s="50"/>
      <c r="Z733" s="50"/>
      <c r="AA733" s="50"/>
      <c r="AB733" s="50"/>
    </row>
    <row r="734" customFormat="false" ht="15.75" hidden="false" customHeight="false" outlineLevel="0" collapsed="false">
      <c r="A734" s="50"/>
      <c r="B734" s="50"/>
      <c r="C734" s="5"/>
      <c r="D734" s="48"/>
      <c r="E734" s="50"/>
      <c r="F734" s="5"/>
      <c r="G734" s="5"/>
      <c r="H734" s="5"/>
      <c r="I734" s="5"/>
      <c r="J734" s="5"/>
      <c r="K734" s="50"/>
      <c r="L734" s="50"/>
      <c r="M734" s="50"/>
      <c r="N734" s="50"/>
      <c r="O734" s="50"/>
      <c r="P734" s="50"/>
      <c r="Q734" s="50"/>
      <c r="R734" s="50"/>
      <c r="S734" s="50"/>
      <c r="T734" s="50"/>
      <c r="U734" s="50"/>
      <c r="V734" s="50"/>
      <c r="W734" s="50"/>
      <c r="X734" s="50"/>
      <c r="Y734" s="50"/>
      <c r="Z734" s="50"/>
      <c r="AA734" s="50"/>
      <c r="AB734" s="50"/>
    </row>
    <row r="735" customFormat="false" ht="15.75" hidden="false" customHeight="false" outlineLevel="0" collapsed="false">
      <c r="A735" s="50"/>
      <c r="B735" s="50"/>
      <c r="C735" s="5"/>
      <c r="D735" s="48"/>
      <c r="E735" s="50"/>
      <c r="F735" s="5"/>
      <c r="G735" s="5"/>
      <c r="H735" s="5"/>
      <c r="I735" s="5"/>
      <c r="J735" s="5"/>
      <c r="K735" s="50"/>
      <c r="L735" s="50"/>
      <c r="M735" s="50"/>
      <c r="N735" s="50"/>
      <c r="O735" s="50"/>
      <c r="P735" s="50"/>
      <c r="Q735" s="50"/>
      <c r="R735" s="50"/>
      <c r="S735" s="50"/>
      <c r="T735" s="50"/>
      <c r="U735" s="50"/>
      <c r="V735" s="50"/>
      <c r="W735" s="50"/>
      <c r="X735" s="50"/>
      <c r="Y735" s="50"/>
      <c r="Z735" s="50"/>
      <c r="AA735" s="50"/>
      <c r="AB735" s="50"/>
    </row>
    <row r="736" customFormat="false" ht="15.75" hidden="false" customHeight="false" outlineLevel="0" collapsed="false">
      <c r="A736" s="50"/>
      <c r="B736" s="50"/>
      <c r="C736" s="5"/>
      <c r="D736" s="48"/>
      <c r="E736" s="50"/>
      <c r="F736" s="5"/>
      <c r="G736" s="5"/>
      <c r="H736" s="5"/>
      <c r="I736" s="5"/>
      <c r="J736" s="5"/>
      <c r="K736" s="50"/>
      <c r="L736" s="50"/>
      <c r="M736" s="50"/>
      <c r="N736" s="50"/>
      <c r="O736" s="50"/>
      <c r="P736" s="50"/>
      <c r="Q736" s="50"/>
      <c r="R736" s="50"/>
      <c r="S736" s="50"/>
      <c r="T736" s="50"/>
      <c r="U736" s="50"/>
      <c r="V736" s="50"/>
      <c r="W736" s="50"/>
      <c r="X736" s="50"/>
      <c r="Y736" s="50"/>
      <c r="Z736" s="50"/>
      <c r="AA736" s="50"/>
      <c r="AB736" s="50"/>
    </row>
    <row r="737" customFormat="false" ht="15.75" hidden="false" customHeight="false" outlineLevel="0" collapsed="false">
      <c r="A737" s="50"/>
      <c r="B737" s="50"/>
      <c r="C737" s="5"/>
      <c r="D737" s="48"/>
      <c r="E737" s="50"/>
      <c r="F737" s="5"/>
      <c r="G737" s="5"/>
      <c r="H737" s="5"/>
      <c r="I737" s="5"/>
      <c r="J737" s="5"/>
      <c r="K737" s="50"/>
      <c r="L737" s="50"/>
      <c r="M737" s="50"/>
      <c r="N737" s="50"/>
      <c r="O737" s="50"/>
      <c r="P737" s="50"/>
      <c r="Q737" s="50"/>
      <c r="R737" s="50"/>
      <c r="S737" s="50"/>
      <c r="T737" s="50"/>
      <c r="U737" s="50"/>
      <c r="V737" s="50"/>
      <c r="W737" s="50"/>
      <c r="X737" s="50"/>
      <c r="Y737" s="50"/>
      <c r="Z737" s="50"/>
      <c r="AA737" s="50"/>
      <c r="AB737" s="50"/>
    </row>
    <row r="738" customFormat="false" ht="15.75" hidden="false" customHeight="false" outlineLevel="0" collapsed="false">
      <c r="A738" s="50"/>
      <c r="B738" s="50"/>
      <c r="C738" s="5"/>
      <c r="D738" s="48"/>
      <c r="E738" s="50"/>
      <c r="F738" s="5"/>
      <c r="G738" s="5"/>
      <c r="H738" s="5"/>
      <c r="I738" s="5"/>
      <c r="J738" s="5"/>
      <c r="K738" s="50"/>
      <c r="L738" s="50"/>
      <c r="M738" s="50"/>
      <c r="N738" s="50"/>
      <c r="O738" s="50"/>
      <c r="P738" s="50"/>
      <c r="Q738" s="50"/>
      <c r="R738" s="50"/>
      <c r="S738" s="50"/>
      <c r="T738" s="50"/>
      <c r="U738" s="50"/>
      <c r="V738" s="50"/>
      <c r="W738" s="50"/>
      <c r="X738" s="50"/>
      <c r="Y738" s="50"/>
      <c r="Z738" s="50"/>
      <c r="AA738" s="50"/>
      <c r="AB738" s="50"/>
    </row>
    <row r="739" customFormat="false" ht="15.75" hidden="false" customHeight="false" outlineLevel="0" collapsed="false">
      <c r="A739" s="50"/>
      <c r="B739" s="50"/>
      <c r="C739" s="5"/>
      <c r="D739" s="48"/>
      <c r="E739" s="50"/>
      <c r="F739" s="5"/>
      <c r="G739" s="5"/>
      <c r="H739" s="5"/>
      <c r="I739" s="5"/>
      <c r="J739" s="5"/>
      <c r="K739" s="50"/>
      <c r="L739" s="50"/>
      <c r="M739" s="50"/>
      <c r="N739" s="50"/>
      <c r="O739" s="50"/>
      <c r="P739" s="50"/>
      <c r="Q739" s="50"/>
      <c r="R739" s="50"/>
      <c r="S739" s="50"/>
      <c r="T739" s="50"/>
      <c r="U739" s="50"/>
      <c r="V739" s="50"/>
      <c r="W739" s="50"/>
      <c r="X739" s="50"/>
      <c r="Y739" s="50"/>
      <c r="Z739" s="50"/>
      <c r="AA739" s="50"/>
      <c r="AB739" s="50"/>
    </row>
    <row r="740" customFormat="false" ht="15.75" hidden="false" customHeight="false" outlineLevel="0" collapsed="false">
      <c r="A740" s="50"/>
      <c r="B740" s="50"/>
      <c r="C740" s="5"/>
      <c r="D740" s="48"/>
      <c r="E740" s="50"/>
      <c r="F740" s="5"/>
      <c r="G740" s="5"/>
      <c r="H740" s="5"/>
      <c r="I740" s="5"/>
      <c r="J740" s="5"/>
      <c r="K740" s="50"/>
      <c r="L740" s="50"/>
      <c r="M740" s="50"/>
      <c r="N740" s="50"/>
      <c r="O740" s="50"/>
      <c r="P740" s="50"/>
      <c r="Q740" s="50"/>
      <c r="R740" s="50"/>
      <c r="S740" s="50"/>
      <c r="T740" s="50"/>
      <c r="U740" s="50"/>
      <c r="V740" s="50"/>
      <c r="W740" s="50"/>
      <c r="X740" s="50"/>
      <c r="Y740" s="50"/>
      <c r="Z740" s="50"/>
      <c r="AA740" s="50"/>
      <c r="AB740" s="50"/>
    </row>
    <row r="741" customFormat="false" ht="15.75" hidden="false" customHeight="false" outlineLevel="0" collapsed="false">
      <c r="A741" s="50"/>
      <c r="B741" s="50"/>
      <c r="C741" s="5"/>
      <c r="D741" s="48"/>
      <c r="E741" s="50"/>
      <c r="F741" s="5"/>
      <c r="G741" s="5"/>
      <c r="H741" s="5"/>
      <c r="I741" s="5"/>
      <c r="J741" s="5"/>
      <c r="K741" s="50"/>
      <c r="L741" s="50"/>
      <c r="M741" s="50"/>
      <c r="N741" s="50"/>
      <c r="O741" s="50"/>
      <c r="P741" s="50"/>
      <c r="Q741" s="50"/>
      <c r="R741" s="50"/>
      <c r="S741" s="50"/>
      <c r="T741" s="50"/>
      <c r="U741" s="50"/>
      <c r="V741" s="50"/>
      <c r="W741" s="50"/>
      <c r="X741" s="50"/>
      <c r="Y741" s="50"/>
      <c r="Z741" s="50"/>
      <c r="AA741" s="50"/>
      <c r="AB741" s="50"/>
    </row>
    <row r="742" customFormat="false" ht="15.75" hidden="false" customHeight="false" outlineLevel="0" collapsed="false">
      <c r="A742" s="50"/>
      <c r="B742" s="50"/>
      <c r="C742" s="5"/>
      <c r="D742" s="48"/>
      <c r="E742" s="50"/>
      <c r="F742" s="5"/>
      <c r="G742" s="5"/>
      <c r="H742" s="5"/>
      <c r="I742" s="5"/>
      <c r="J742" s="5"/>
      <c r="K742" s="50"/>
      <c r="L742" s="50"/>
      <c r="M742" s="50"/>
      <c r="N742" s="50"/>
      <c r="O742" s="50"/>
      <c r="P742" s="50"/>
      <c r="Q742" s="50"/>
      <c r="R742" s="50"/>
      <c r="S742" s="50"/>
      <c r="T742" s="50"/>
      <c r="U742" s="50"/>
      <c r="V742" s="50"/>
      <c r="W742" s="50"/>
      <c r="X742" s="50"/>
      <c r="Y742" s="50"/>
      <c r="Z742" s="50"/>
      <c r="AA742" s="50"/>
      <c r="AB742" s="50"/>
    </row>
    <row r="743" customFormat="false" ht="15.75" hidden="false" customHeight="false" outlineLevel="0" collapsed="false">
      <c r="A743" s="50"/>
      <c r="B743" s="50"/>
      <c r="C743" s="5"/>
      <c r="D743" s="48"/>
      <c r="E743" s="50"/>
      <c r="F743" s="5"/>
      <c r="G743" s="5"/>
      <c r="H743" s="5"/>
      <c r="I743" s="5"/>
      <c r="J743" s="5"/>
      <c r="K743" s="50"/>
      <c r="L743" s="50"/>
      <c r="M743" s="50"/>
      <c r="N743" s="50"/>
      <c r="O743" s="50"/>
      <c r="P743" s="50"/>
      <c r="Q743" s="50"/>
      <c r="R743" s="50"/>
      <c r="S743" s="50"/>
      <c r="T743" s="50"/>
      <c r="U743" s="50"/>
      <c r="V743" s="50"/>
      <c r="W743" s="50"/>
      <c r="X743" s="50"/>
      <c r="Y743" s="50"/>
      <c r="Z743" s="50"/>
      <c r="AA743" s="50"/>
      <c r="AB743" s="50"/>
    </row>
    <row r="744" customFormat="false" ht="15.75" hidden="false" customHeight="false" outlineLevel="0" collapsed="false">
      <c r="A744" s="50"/>
      <c r="B744" s="50"/>
      <c r="C744" s="5"/>
      <c r="D744" s="48"/>
      <c r="E744" s="50"/>
      <c r="F744" s="5"/>
      <c r="G744" s="5"/>
      <c r="H744" s="5"/>
      <c r="I744" s="5"/>
      <c r="J744" s="5"/>
      <c r="K744" s="50"/>
      <c r="L744" s="50"/>
      <c r="M744" s="50"/>
      <c r="N744" s="50"/>
      <c r="O744" s="50"/>
      <c r="P744" s="50"/>
      <c r="Q744" s="50"/>
      <c r="R744" s="50"/>
      <c r="S744" s="50"/>
      <c r="T744" s="50"/>
      <c r="U744" s="50"/>
      <c r="V744" s="50"/>
      <c r="W744" s="50"/>
      <c r="X744" s="50"/>
      <c r="Y744" s="50"/>
      <c r="Z744" s="50"/>
      <c r="AA744" s="50"/>
      <c r="AB744" s="50"/>
    </row>
    <row r="745" customFormat="false" ht="15.75" hidden="false" customHeight="false" outlineLevel="0" collapsed="false">
      <c r="A745" s="50"/>
      <c r="B745" s="50"/>
      <c r="C745" s="5"/>
      <c r="D745" s="48"/>
      <c r="E745" s="50"/>
      <c r="F745" s="5"/>
      <c r="G745" s="5"/>
      <c r="H745" s="5"/>
      <c r="I745" s="5"/>
      <c r="J745" s="5"/>
      <c r="K745" s="50"/>
      <c r="L745" s="50"/>
      <c r="M745" s="50"/>
      <c r="N745" s="50"/>
      <c r="O745" s="50"/>
      <c r="P745" s="50"/>
      <c r="Q745" s="50"/>
      <c r="R745" s="50"/>
      <c r="S745" s="50"/>
      <c r="T745" s="50"/>
      <c r="U745" s="50"/>
      <c r="V745" s="50"/>
      <c r="W745" s="50"/>
      <c r="X745" s="50"/>
      <c r="Y745" s="50"/>
      <c r="Z745" s="50"/>
      <c r="AA745" s="50"/>
      <c r="AB745" s="50"/>
    </row>
    <row r="746" customFormat="false" ht="15.75" hidden="false" customHeight="false" outlineLevel="0" collapsed="false">
      <c r="A746" s="50"/>
      <c r="B746" s="50"/>
      <c r="C746" s="5"/>
      <c r="D746" s="48"/>
      <c r="E746" s="50"/>
      <c r="F746" s="5"/>
      <c r="G746" s="5"/>
      <c r="H746" s="5"/>
      <c r="I746" s="5"/>
      <c r="J746" s="5"/>
      <c r="K746" s="50"/>
      <c r="L746" s="50"/>
      <c r="M746" s="50"/>
      <c r="N746" s="50"/>
      <c r="O746" s="50"/>
      <c r="P746" s="50"/>
      <c r="Q746" s="50"/>
      <c r="R746" s="50"/>
      <c r="S746" s="50"/>
      <c r="T746" s="50"/>
      <c r="U746" s="50"/>
      <c r="V746" s="50"/>
      <c r="W746" s="50"/>
      <c r="X746" s="50"/>
      <c r="Y746" s="50"/>
      <c r="Z746" s="50"/>
      <c r="AA746" s="50"/>
      <c r="AB746" s="50"/>
    </row>
    <row r="747" customFormat="false" ht="15.75" hidden="false" customHeight="false" outlineLevel="0" collapsed="false">
      <c r="A747" s="50"/>
      <c r="B747" s="50"/>
      <c r="C747" s="5"/>
      <c r="D747" s="48"/>
      <c r="E747" s="50"/>
      <c r="F747" s="5"/>
      <c r="G747" s="5"/>
      <c r="H747" s="5"/>
      <c r="I747" s="5"/>
      <c r="J747" s="5"/>
      <c r="K747" s="50"/>
      <c r="L747" s="50"/>
      <c r="M747" s="50"/>
      <c r="N747" s="50"/>
      <c r="O747" s="50"/>
      <c r="P747" s="50"/>
      <c r="Q747" s="50"/>
      <c r="R747" s="50"/>
      <c r="S747" s="50"/>
      <c r="T747" s="50"/>
      <c r="U747" s="50"/>
      <c r="V747" s="50"/>
      <c r="W747" s="50"/>
      <c r="X747" s="50"/>
      <c r="Y747" s="50"/>
      <c r="Z747" s="50"/>
      <c r="AA747" s="50"/>
      <c r="AB747" s="50"/>
    </row>
    <row r="748" customFormat="false" ht="15.75" hidden="false" customHeight="false" outlineLevel="0" collapsed="false">
      <c r="A748" s="50"/>
      <c r="B748" s="50"/>
      <c r="C748" s="5"/>
      <c r="D748" s="48"/>
      <c r="E748" s="50"/>
      <c r="F748" s="5"/>
      <c r="G748" s="5"/>
      <c r="H748" s="5"/>
      <c r="I748" s="5"/>
      <c r="J748" s="5"/>
      <c r="K748" s="50"/>
      <c r="L748" s="50"/>
      <c r="M748" s="50"/>
      <c r="N748" s="50"/>
      <c r="O748" s="50"/>
      <c r="P748" s="50"/>
      <c r="Q748" s="50"/>
      <c r="R748" s="50"/>
      <c r="S748" s="50"/>
      <c r="T748" s="50"/>
      <c r="U748" s="50"/>
      <c r="V748" s="50"/>
      <c r="W748" s="50"/>
      <c r="X748" s="50"/>
      <c r="Y748" s="50"/>
      <c r="Z748" s="50"/>
      <c r="AA748" s="50"/>
      <c r="AB748" s="50"/>
    </row>
    <row r="749" customFormat="false" ht="15.75" hidden="false" customHeight="false" outlineLevel="0" collapsed="false">
      <c r="A749" s="50"/>
      <c r="B749" s="50"/>
      <c r="C749" s="5"/>
      <c r="D749" s="48"/>
      <c r="E749" s="50"/>
      <c r="F749" s="5"/>
      <c r="G749" s="5"/>
      <c r="H749" s="5"/>
      <c r="I749" s="5"/>
      <c r="J749" s="5"/>
      <c r="K749" s="50"/>
      <c r="L749" s="50"/>
      <c r="M749" s="50"/>
      <c r="N749" s="50"/>
      <c r="O749" s="50"/>
      <c r="P749" s="50"/>
      <c r="Q749" s="50"/>
      <c r="R749" s="50"/>
      <c r="S749" s="50"/>
      <c r="T749" s="50"/>
      <c r="U749" s="50"/>
      <c r="V749" s="50"/>
      <c r="W749" s="50"/>
      <c r="X749" s="50"/>
      <c r="Y749" s="50"/>
      <c r="Z749" s="50"/>
      <c r="AA749" s="50"/>
      <c r="AB749" s="50"/>
    </row>
    <row r="750" customFormat="false" ht="15.75" hidden="false" customHeight="false" outlineLevel="0" collapsed="false">
      <c r="A750" s="50"/>
      <c r="B750" s="50"/>
      <c r="C750" s="5"/>
      <c r="D750" s="48"/>
      <c r="E750" s="50"/>
      <c r="F750" s="5"/>
      <c r="G750" s="5"/>
      <c r="H750" s="5"/>
      <c r="I750" s="5"/>
      <c r="J750" s="5"/>
      <c r="K750" s="50"/>
      <c r="L750" s="50"/>
      <c r="M750" s="50"/>
      <c r="N750" s="50"/>
      <c r="O750" s="50"/>
      <c r="P750" s="50"/>
      <c r="Q750" s="50"/>
      <c r="R750" s="50"/>
      <c r="S750" s="50"/>
      <c r="T750" s="50"/>
      <c r="U750" s="50"/>
      <c r="V750" s="50"/>
      <c r="W750" s="50"/>
      <c r="X750" s="50"/>
      <c r="Y750" s="50"/>
      <c r="Z750" s="50"/>
      <c r="AA750" s="50"/>
      <c r="AB750" s="50"/>
    </row>
    <row r="751" customFormat="false" ht="15.75" hidden="false" customHeight="false" outlineLevel="0" collapsed="false">
      <c r="A751" s="50"/>
      <c r="B751" s="50"/>
      <c r="C751" s="5"/>
      <c r="D751" s="48"/>
      <c r="E751" s="50"/>
      <c r="F751" s="5"/>
      <c r="G751" s="5"/>
      <c r="H751" s="5"/>
      <c r="I751" s="5"/>
      <c r="J751" s="5"/>
      <c r="K751" s="50"/>
      <c r="L751" s="50"/>
      <c r="M751" s="50"/>
      <c r="N751" s="50"/>
      <c r="O751" s="50"/>
      <c r="P751" s="50"/>
      <c r="Q751" s="50"/>
      <c r="R751" s="50"/>
      <c r="S751" s="50"/>
      <c r="T751" s="50"/>
      <c r="U751" s="50"/>
      <c r="V751" s="50"/>
      <c r="W751" s="50"/>
      <c r="X751" s="50"/>
      <c r="Y751" s="50"/>
      <c r="Z751" s="50"/>
      <c r="AA751" s="50"/>
      <c r="AB751" s="50"/>
    </row>
    <row r="752" customFormat="false" ht="15.75" hidden="false" customHeight="false" outlineLevel="0" collapsed="false">
      <c r="A752" s="50"/>
      <c r="B752" s="50"/>
      <c r="C752" s="5"/>
      <c r="D752" s="48"/>
      <c r="E752" s="50"/>
      <c r="F752" s="5"/>
      <c r="G752" s="5"/>
      <c r="H752" s="5"/>
      <c r="I752" s="5"/>
      <c r="J752" s="5"/>
      <c r="K752" s="50"/>
      <c r="L752" s="50"/>
      <c r="M752" s="50"/>
      <c r="N752" s="50"/>
      <c r="O752" s="50"/>
      <c r="P752" s="50"/>
      <c r="Q752" s="50"/>
      <c r="R752" s="50"/>
      <c r="S752" s="50"/>
      <c r="T752" s="50"/>
      <c r="U752" s="50"/>
      <c r="V752" s="50"/>
      <c r="W752" s="50"/>
      <c r="X752" s="50"/>
      <c r="Y752" s="50"/>
      <c r="Z752" s="50"/>
      <c r="AA752" s="50"/>
      <c r="AB752" s="50"/>
    </row>
    <row r="753" customFormat="false" ht="15.75" hidden="false" customHeight="false" outlineLevel="0" collapsed="false">
      <c r="A753" s="50"/>
      <c r="B753" s="50"/>
      <c r="C753" s="5"/>
      <c r="D753" s="48"/>
      <c r="E753" s="50"/>
      <c r="F753" s="5"/>
      <c r="G753" s="5"/>
      <c r="H753" s="5"/>
      <c r="I753" s="5"/>
      <c r="J753" s="5"/>
      <c r="K753" s="50"/>
      <c r="L753" s="50"/>
      <c r="M753" s="50"/>
      <c r="N753" s="50"/>
      <c r="O753" s="50"/>
      <c r="P753" s="50"/>
      <c r="Q753" s="50"/>
      <c r="R753" s="50"/>
      <c r="S753" s="50"/>
      <c r="T753" s="50"/>
      <c r="U753" s="50"/>
      <c r="V753" s="50"/>
      <c r="W753" s="50"/>
      <c r="X753" s="50"/>
      <c r="Y753" s="50"/>
      <c r="Z753" s="50"/>
      <c r="AA753" s="50"/>
      <c r="AB753" s="50"/>
    </row>
    <row r="754" customFormat="false" ht="15.75" hidden="false" customHeight="false" outlineLevel="0" collapsed="false">
      <c r="A754" s="50"/>
      <c r="B754" s="50"/>
      <c r="C754" s="5"/>
      <c r="D754" s="48"/>
      <c r="E754" s="50"/>
      <c r="F754" s="5"/>
      <c r="G754" s="5"/>
      <c r="H754" s="5"/>
      <c r="I754" s="5"/>
      <c r="J754" s="5"/>
      <c r="K754" s="50"/>
      <c r="L754" s="50"/>
      <c r="M754" s="50"/>
      <c r="N754" s="50"/>
      <c r="O754" s="50"/>
      <c r="P754" s="50"/>
      <c r="Q754" s="50"/>
      <c r="R754" s="50"/>
      <c r="S754" s="50"/>
      <c r="T754" s="50"/>
      <c r="U754" s="50"/>
      <c r="V754" s="50"/>
      <c r="W754" s="50"/>
      <c r="X754" s="50"/>
      <c r="Y754" s="50"/>
      <c r="Z754" s="50"/>
      <c r="AA754" s="50"/>
      <c r="AB754" s="50"/>
    </row>
    <row r="755" customFormat="false" ht="15.75" hidden="false" customHeight="false" outlineLevel="0" collapsed="false">
      <c r="A755" s="50"/>
      <c r="B755" s="50"/>
      <c r="C755" s="5"/>
      <c r="D755" s="48"/>
      <c r="E755" s="50"/>
      <c r="F755" s="5"/>
      <c r="G755" s="5"/>
      <c r="H755" s="5"/>
      <c r="I755" s="5"/>
      <c r="J755" s="5"/>
      <c r="K755" s="50"/>
      <c r="L755" s="50"/>
      <c r="M755" s="50"/>
      <c r="N755" s="50"/>
      <c r="O755" s="50"/>
      <c r="P755" s="50"/>
      <c r="Q755" s="50"/>
      <c r="R755" s="50"/>
      <c r="S755" s="50"/>
      <c r="T755" s="50"/>
      <c r="U755" s="50"/>
      <c r="V755" s="50"/>
      <c r="W755" s="50"/>
      <c r="X755" s="50"/>
      <c r="Y755" s="50"/>
      <c r="Z755" s="50"/>
      <c r="AA755" s="50"/>
      <c r="AB755" s="50"/>
    </row>
    <row r="756" customFormat="false" ht="15.75" hidden="false" customHeight="false" outlineLevel="0" collapsed="false">
      <c r="A756" s="50"/>
      <c r="B756" s="50"/>
      <c r="C756" s="5"/>
      <c r="D756" s="48"/>
      <c r="E756" s="50"/>
      <c r="F756" s="5"/>
      <c r="G756" s="5"/>
      <c r="H756" s="5"/>
      <c r="I756" s="5"/>
      <c r="J756" s="5"/>
      <c r="K756" s="50"/>
      <c r="L756" s="50"/>
      <c r="M756" s="50"/>
      <c r="N756" s="50"/>
      <c r="O756" s="50"/>
      <c r="P756" s="50"/>
      <c r="Q756" s="50"/>
      <c r="R756" s="50"/>
      <c r="S756" s="50"/>
      <c r="T756" s="50"/>
      <c r="U756" s="50"/>
      <c r="V756" s="50"/>
      <c r="W756" s="50"/>
      <c r="X756" s="50"/>
      <c r="Y756" s="50"/>
      <c r="Z756" s="50"/>
      <c r="AA756" s="50"/>
      <c r="AB756" s="50"/>
    </row>
    <row r="757" customFormat="false" ht="15.75" hidden="false" customHeight="false" outlineLevel="0" collapsed="false">
      <c r="A757" s="50"/>
      <c r="B757" s="50"/>
      <c r="C757" s="5"/>
      <c r="D757" s="48"/>
      <c r="E757" s="50"/>
      <c r="F757" s="5"/>
      <c r="G757" s="5"/>
      <c r="H757" s="5"/>
      <c r="I757" s="5"/>
      <c r="J757" s="5"/>
      <c r="K757" s="50"/>
      <c r="L757" s="50"/>
      <c r="M757" s="50"/>
      <c r="N757" s="50"/>
      <c r="O757" s="50"/>
      <c r="P757" s="50"/>
      <c r="Q757" s="50"/>
      <c r="R757" s="50"/>
      <c r="S757" s="50"/>
      <c r="T757" s="50"/>
      <c r="U757" s="50"/>
      <c r="V757" s="50"/>
      <c r="W757" s="50"/>
      <c r="X757" s="50"/>
      <c r="Y757" s="50"/>
      <c r="Z757" s="50"/>
      <c r="AA757" s="50"/>
      <c r="AB757" s="50"/>
    </row>
    <row r="758" customFormat="false" ht="15.75" hidden="false" customHeight="false" outlineLevel="0" collapsed="false">
      <c r="A758" s="50"/>
      <c r="B758" s="50"/>
      <c r="C758" s="5"/>
      <c r="D758" s="48"/>
      <c r="E758" s="50"/>
      <c r="F758" s="5"/>
      <c r="G758" s="5"/>
      <c r="H758" s="5"/>
      <c r="I758" s="5"/>
      <c r="J758" s="5"/>
      <c r="K758" s="50"/>
      <c r="L758" s="50"/>
      <c r="M758" s="50"/>
      <c r="N758" s="50"/>
      <c r="O758" s="50"/>
      <c r="P758" s="50"/>
      <c r="Q758" s="50"/>
      <c r="R758" s="50"/>
      <c r="S758" s="50"/>
      <c r="T758" s="50"/>
      <c r="U758" s="50"/>
      <c r="V758" s="50"/>
      <c r="W758" s="50"/>
      <c r="X758" s="50"/>
      <c r="Y758" s="50"/>
      <c r="Z758" s="50"/>
      <c r="AA758" s="50"/>
      <c r="AB758" s="50"/>
    </row>
    <row r="759" customFormat="false" ht="15.75" hidden="false" customHeight="false" outlineLevel="0" collapsed="false">
      <c r="A759" s="50"/>
      <c r="B759" s="50"/>
      <c r="C759" s="5"/>
      <c r="D759" s="48"/>
      <c r="E759" s="50"/>
      <c r="F759" s="5"/>
      <c r="G759" s="5"/>
      <c r="H759" s="5"/>
      <c r="I759" s="5"/>
      <c r="J759" s="5"/>
      <c r="K759" s="50"/>
      <c r="L759" s="50"/>
      <c r="M759" s="50"/>
      <c r="N759" s="50"/>
      <c r="O759" s="50"/>
      <c r="P759" s="50"/>
      <c r="Q759" s="50"/>
      <c r="R759" s="50"/>
      <c r="S759" s="50"/>
      <c r="T759" s="50"/>
      <c r="U759" s="50"/>
      <c r="V759" s="50"/>
      <c r="W759" s="50"/>
      <c r="X759" s="50"/>
      <c r="Y759" s="50"/>
      <c r="Z759" s="50"/>
      <c r="AA759" s="50"/>
      <c r="AB759" s="50"/>
    </row>
    <row r="760" customFormat="false" ht="15.75" hidden="false" customHeight="false" outlineLevel="0" collapsed="false">
      <c r="A760" s="50"/>
      <c r="B760" s="50"/>
      <c r="C760" s="5"/>
      <c r="D760" s="48"/>
      <c r="E760" s="50"/>
      <c r="F760" s="5"/>
      <c r="G760" s="5"/>
      <c r="H760" s="5"/>
      <c r="I760" s="5"/>
      <c r="J760" s="5"/>
      <c r="K760" s="50"/>
      <c r="L760" s="50"/>
      <c r="M760" s="50"/>
      <c r="N760" s="50"/>
      <c r="O760" s="50"/>
      <c r="P760" s="50"/>
      <c r="Q760" s="50"/>
      <c r="R760" s="50"/>
      <c r="S760" s="50"/>
      <c r="T760" s="50"/>
      <c r="U760" s="50"/>
      <c r="V760" s="50"/>
      <c r="W760" s="50"/>
      <c r="X760" s="50"/>
      <c r="Y760" s="50"/>
      <c r="Z760" s="50"/>
      <c r="AA760" s="50"/>
      <c r="AB760" s="50"/>
    </row>
    <row r="761" customFormat="false" ht="15.75" hidden="false" customHeight="false" outlineLevel="0" collapsed="false">
      <c r="A761" s="50"/>
      <c r="B761" s="50"/>
      <c r="C761" s="5"/>
      <c r="D761" s="48"/>
      <c r="E761" s="50"/>
      <c r="F761" s="5"/>
      <c r="G761" s="5"/>
      <c r="H761" s="5"/>
      <c r="I761" s="5"/>
      <c r="J761" s="5"/>
      <c r="K761" s="50"/>
      <c r="L761" s="50"/>
      <c r="M761" s="50"/>
      <c r="N761" s="50"/>
      <c r="O761" s="50"/>
      <c r="P761" s="50"/>
      <c r="Q761" s="50"/>
      <c r="R761" s="50"/>
      <c r="S761" s="50"/>
      <c r="T761" s="50"/>
      <c r="U761" s="50"/>
      <c r="V761" s="50"/>
      <c r="W761" s="50"/>
      <c r="X761" s="50"/>
      <c r="Y761" s="50"/>
      <c r="Z761" s="50"/>
      <c r="AA761" s="50"/>
      <c r="AB761" s="50"/>
    </row>
    <row r="762" customFormat="false" ht="15.75" hidden="false" customHeight="false" outlineLevel="0" collapsed="false">
      <c r="A762" s="50"/>
      <c r="B762" s="50"/>
      <c r="C762" s="5"/>
      <c r="D762" s="48"/>
      <c r="E762" s="50"/>
      <c r="F762" s="5"/>
      <c r="G762" s="5"/>
      <c r="H762" s="5"/>
      <c r="I762" s="5"/>
      <c r="J762" s="5"/>
      <c r="K762" s="50"/>
      <c r="L762" s="50"/>
      <c r="M762" s="50"/>
      <c r="N762" s="50"/>
      <c r="O762" s="50"/>
      <c r="P762" s="50"/>
      <c r="Q762" s="50"/>
      <c r="R762" s="50"/>
      <c r="S762" s="50"/>
      <c r="T762" s="50"/>
      <c r="U762" s="50"/>
      <c r="V762" s="50"/>
      <c r="W762" s="50"/>
      <c r="X762" s="50"/>
      <c r="Y762" s="50"/>
      <c r="Z762" s="50"/>
      <c r="AA762" s="50"/>
      <c r="AB762" s="50"/>
    </row>
    <row r="763" customFormat="false" ht="15.75" hidden="false" customHeight="false" outlineLevel="0" collapsed="false">
      <c r="A763" s="50"/>
      <c r="B763" s="50"/>
      <c r="C763" s="5"/>
      <c r="D763" s="48"/>
      <c r="E763" s="50"/>
      <c r="F763" s="5"/>
      <c r="G763" s="5"/>
      <c r="H763" s="5"/>
      <c r="I763" s="5"/>
      <c r="J763" s="5"/>
      <c r="K763" s="50"/>
      <c r="L763" s="50"/>
      <c r="M763" s="50"/>
      <c r="N763" s="50"/>
      <c r="O763" s="50"/>
      <c r="P763" s="50"/>
      <c r="Q763" s="50"/>
      <c r="R763" s="50"/>
      <c r="S763" s="50"/>
      <c r="T763" s="50"/>
      <c r="U763" s="50"/>
      <c r="V763" s="50"/>
      <c r="W763" s="50"/>
      <c r="X763" s="50"/>
      <c r="Y763" s="50"/>
      <c r="Z763" s="50"/>
      <c r="AA763" s="50"/>
      <c r="AB763" s="50"/>
    </row>
    <row r="764" customFormat="false" ht="15.75" hidden="false" customHeight="false" outlineLevel="0" collapsed="false">
      <c r="A764" s="50"/>
      <c r="B764" s="50"/>
      <c r="C764" s="5"/>
      <c r="D764" s="48"/>
      <c r="E764" s="50"/>
      <c r="F764" s="5"/>
      <c r="G764" s="5"/>
      <c r="H764" s="5"/>
      <c r="I764" s="5"/>
      <c r="J764" s="5"/>
      <c r="K764" s="50"/>
      <c r="L764" s="50"/>
      <c r="M764" s="50"/>
      <c r="N764" s="50"/>
      <c r="O764" s="50"/>
      <c r="P764" s="50"/>
      <c r="Q764" s="50"/>
      <c r="R764" s="50"/>
      <c r="S764" s="50"/>
      <c r="T764" s="50"/>
      <c r="U764" s="50"/>
      <c r="V764" s="50"/>
      <c r="W764" s="50"/>
      <c r="X764" s="50"/>
      <c r="Y764" s="50"/>
      <c r="Z764" s="50"/>
      <c r="AA764" s="50"/>
      <c r="AB764" s="50"/>
    </row>
    <row r="765" customFormat="false" ht="15.75" hidden="false" customHeight="false" outlineLevel="0" collapsed="false">
      <c r="A765" s="50"/>
      <c r="B765" s="50"/>
      <c r="C765" s="5"/>
      <c r="D765" s="48"/>
      <c r="E765" s="50"/>
      <c r="F765" s="5"/>
      <c r="G765" s="5"/>
      <c r="H765" s="5"/>
      <c r="I765" s="5"/>
      <c r="J765" s="5"/>
      <c r="K765" s="50"/>
      <c r="L765" s="50"/>
      <c r="M765" s="50"/>
      <c r="N765" s="50"/>
      <c r="O765" s="50"/>
      <c r="P765" s="50"/>
      <c r="Q765" s="50"/>
      <c r="R765" s="50"/>
      <c r="S765" s="50"/>
      <c r="T765" s="50"/>
      <c r="U765" s="50"/>
      <c r="V765" s="50"/>
      <c r="W765" s="50"/>
      <c r="X765" s="50"/>
      <c r="Y765" s="50"/>
      <c r="Z765" s="50"/>
      <c r="AA765" s="50"/>
      <c r="AB765" s="50"/>
    </row>
    <row r="766" customFormat="false" ht="15.75" hidden="false" customHeight="false" outlineLevel="0" collapsed="false">
      <c r="A766" s="50"/>
      <c r="B766" s="50"/>
      <c r="C766" s="5"/>
      <c r="D766" s="48"/>
      <c r="E766" s="50"/>
      <c r="F766" s="5"/>
      <c r="G766" s="5"/>
      <c r="H766" s="5"/>
      <c r="I766" s="5"/>
      <c r="J766" s="5"/>
      <c r="K766" s="50"/>
      <c r="L766" s="50"/>
      <c r="M766" s="50"/>
      <c r="N766" s="50"/>
      <c r="O766" s="50"/>
      <c r="P766" s="50"/>
      <c r="Q766" s="50"/>
      <c r="R766" s="50"/>
      <c r="S766" s="50"/>
      <c r="T766" s="50"/>
      <c r="U766" s="50"/>
      <c r="V766" s="50"/>
      <c r="W766" s="50"/>
      <c r="X766" s="50"/>
      <c r="Y766" s="50"/>
      <c r="Z766" s="50"/>
      <c r="AA766" s="50"/>
      <c r="AB766" s="50"/>
    </row>
    <row r="767" customFormat="false" ht="15.75" hidden="false" customHeight="false" outlineLevel="0" collapsed="false">
      <c r="A767" s="50"/>
      <c r="B767" s="50"/>
      <c r="C767" s="5"/>
      <c r="D767" s="48"/>
      <c r="E767" s="50"/>
      <c r="F767" s="5"/>
      <c r="G767" s="5"/>
      <c r="H767" s="5"/>
      <c r="I767" s="5"/>
      <c r="J767" s="5"/>
      <c r="K767" s="50"/>
      <c r="L767" s="50"/>
      <c r="M767" s="50"/>
      <c r="N767" s="50"/>
      <c r="O767" s="50"/>
      <c r="P767" s="50"/>
      <c r="Q767" s="50"/>
      <c r="R767" s="50"/>
      <c r="S767" s="50"/>
      <c r="T767" s="50"/>
      <c r="U767" s="50"/>
      <c r="V767" s="50"/>
      <c r="W767" s="50"/>
      <c r="X767" s="50"/>
      <c r="Y767" s="50"/>
      <c r="Z767" s="50"/>
      <c r="AA767" s="50"/>
      <c r="AB767" s="50"/>
    </row>
    <row r="768" customFormat="false" ht="15.75" hidden="false" customHeight="false" outlineLevel="0" collapsed="false">
      <c r="A768" s="50"/>
      <c r="B768" s="50"/>
      <c r="C768" s="5"/>
      <c r="D768" s="48"/>
      <c r="E768" s="50"/>
      <c r="F768" s="5"/>
      <c r="G768" s="5"/>
      <c r="H768" s="5"/>
      <c r="I768" s="5"/>
      <c r="J768" s="5"/>
      <c r="K768" s="50"/>
      <c r="L768" s="50"/>
      <c r="M768" s="50"/>
      <c r="N768" s="50"/>
      <c r="O768" s="50"/>
      <c r="P768" s="50"/>
      <c r="Q768" s="50"/>
      <c r="R768" s="50"/>
      <c r="S768" s="50"/>
      <c r="T768" s="50"/>
      <c r="U768" s="50"/>
      <c r="V768" s="50"/>
      <c r="W768" s="50"/>
      <c r="X768" s="50"/>
      <c r="Y768" s="50"/>
      <c r="Z768" s="50"/>
      <c r="AA768" s="50"/>
      <c r="AB768" s="50"/>
    </row>
    <row r="769" customFormat="false" ht="15.75" hidden="false" customHeight="false" outlineLevel="0" collapsed="false">
      <c r="A769" s="50"/>
      <c r="B769" s="50"/>
      <c r="C769" s="5"/>
      <c r="D769" s="48"/>
      <c r="E769" s="50"/>
      <c r="F769" s="5"/>
      <c r="G769" s="5"/>
      <c r="H769" s="5"/>
      <c r="I769" s="5"/>
      <c r="J769" s="5"/>
      <c r="K769" s="50"/>
      <c r="L769" s="50"/>
      <c r="M769" s="50"/>
      <c r="N769" s="50"/>
      <c r="O769" s="50"/>
      <c r="P769" s="50"/>
      <c r="Q769" s="50"/>
      <c r="R769" s="50"/>
      <c r="S769" s="50"/>
      <c r="T769" s="50"/>
      <c r="U769" s="50"/>
      <c r="V769" s="50"/>
      <c r="W769" s="50"/>
      <c r="X769" s="50"/>
      <c r="Y769" s="50"/>
      <c r="Z769" s="50"/>
      <c r="AA769" s="50"/>
      <c r="AB769" s="50"/>
    </row>
    <row r="770" customFormat="false" ht="15.75" hidden="false" customHeight="false" outlineLevel="0" collapsed="false">
      <c r="A770" s="50"/>
      <c r="B770" s="50"/>
      <c r="C770" s="5"/>
      <c r="D770" s="48"/>
      <c r="E770" s="50"/>
      <c r="F770" s="5"/>
      <c r="G770" s="5"/>
      <c r="H770" s="5"/>
      <c r="I770" s="5"/>
      <c r="J770" s="5"/>
      <c r="K770" s="50"/>
      <c r="L770" s="50"/>
      <c r="M770" s="50"/>
      <c r="N770" s="50"/>
      <c r="O770" s="50"/>
      <c r="P770" s="50"/>
      <c r="Q770" s="50"/>
      <c r="R770" s="50"/>
      <c r="S770" s="50"/>
      <c r="T770" s="50"/>
      <c r="U770" s="50"/>
      <c r="V770" s="50"/>
      <c r="W770" s="50"/>
      <c r="X770" s="50"/>
      <c r="Y770" s="50"/>
      <c r="Z770" s="50"/>
      <c r="AA770" s="50"/>
      <c r="AB770" s="50"/>
    </row>
    <row r="771" customFormat="false" ht="15.75" hidden="false" customHeight="false" outlineLevel="0" collapsed="false">
      <c r="A771" s="50"/>
      <c r="B771" s="50"/>
      <c r="C771" s="5"/>
      <c r="D771" s="48"/>
      <c r="E771" s="50"/>
      <c r="F771" s="5"/>
      <c r="G771" s="5"/>
      <c r="H771" s="5"/>
      <c r="I771" s="5"/>
      <c r="J771" s="5"/>
      <c r="K771" s="50"/>
      <c r="L771" s="50"/>
      <c r="M771" s="50"/>
      <c r="N771" s="50"/>
      <c r="O771" s="50"/>
      <c r="P771" s="50"/>
      <c r="Q771" s="50"/>
      <c r="R771" s="50"/>
      <c r="S771" s="50"/>
      <c r="T771" s="50"/>
      <c r="U771" s="50"/>
      <c r="V771" s="50"/>
      <c r="W771" s="50"/>
      <c r="X771" s="50"/>
      <c r="Y771" s="50"/>
      <c r="Z771" s="50"/>
      <c r="AA771" s="50"/>
      <c r="AB771" s="50"/>
    </row>
    <row r="772" customFormat="false" ht="15.75" hidden="false" customHeight="false" outlineLevel="0" collapsed="false">
      <c r="A772" s="50"/>
      <c r="B772" s="50"/>
      <c r="C772" s="5"/>
      <c r="D772" s="48"/>
      <c r="E772" s="50"/>
      <c r="F772" s="5"/>
      <c r="G772" s="5"/>
      <c r="H772" s="5"/>
      <c r="I772" s="5"/>
      <c r="J772" s="5"/>
      <c r="K772" s="50"/>
      <c r="L772" s="50"/>
      <c r="M772" s="50"/>
      <c r="N772" s="50"/>
      <c r="O772" s="50"/>
      <c r="P772" s="50"/>
      <c r="Q772" s="50"/>
      <c r="R772" s="50"/>
      <c r="S772" s="50"/>
      <c r="T772" s="50"/>
      <c r="U772" s="50"/>
      <c r="V772" s="50"/>
      <c r="W772" s="50"/>
      <c r="X772" s="50"/>
      <c r="Y772" s="50"/>
      <c r="Z772" s="50"/>
      <c r="AA772" s="50"/>
      <c r="AB772" s="50"/>
    </row>
    <row r="773" customFormat="false" ht="15.75" hidden="false" customHeight="false" outlineLevel="0" collapsed="false">
      <c r="A773" s="50"/>
      <c r="B773" s="50"/>
      <c r="C773" s="5"/>
      <c r="D773" s="48"/>
      <c r="E773" s="50"/>
      <c r="F773" s="5"/>
      <c r="G773" s="5"/>
      <c r="H773" s="5"/>
      <c r="I773" s="5"/>
      <c r="J773" s="5"/>
      <c r="K773" s="50"/>
      <c r="L773" s="50"/>
      <c r="M773" s="50"/>
      <c r="N773" s="50"/>
      <c r="O773" s="50"/>
      <c r="P773" s="50"/>
      <c r="Q773" s="50"/>
      <c r="R773" s="50"/>
      <c r="S773" s="50"/>
      <c r="T773" s="50"/>
      <c r="U773" s="50"/>
      <c r="V773" s="50"/>
      <c r="W773" s="50"/>
      <c r="X773" s="50"/>
      <c r="Y773" s="50"/>
      <c r="Z773" s="50"/>
      <c r="AA773" s="50"/>
      <c r="AB773" s="50"/>
    </row>
    <row r="774" customFormat="false" ht="15.75" hidden="false" customHeight="false" outlineLevel="0" collapsed="false">
      <c r="A774" s="50"/>
      <c r="B774" s="50"/>
      <c r="C774" s="5"/>
      <c r="D774" s="48"/>
      <c r="E774" s="50"/>
      <c r="F774" s="5"/>
      <c r="G774" s="5"/>
      <c r="H774" s="5"/>
      <c r="I774" s="5"/>
      <c r="J774" s="5"/>
      <c r="K774" s="50"/>
      <c r="L774" s="50"/>
      <c r="M774" s="50"/>
      <c r="N774" s="50"/>
      <c r="O774" s="50"/>
      <c r="P774" s="50"/>
      <c r="Q774" s="50"/>
      <c r="R774" s="50"/>
      <c r="S774" s="50"/>
      <c r="T774" s="50"/>
      <c r="U774" s="50"/>
      <c r="V774" s="50"/>
      <c r="W774" s="50"/>
      <c r="X774" s="50"/>
      <c r="Y774" s="50"/>
      <c r="Z774" s="50"/>
      <c r="AA774" s="50"/>
      <c r="AB774" s="50"/>
    </row>
    <row r="775" customFormat="false" ht="15.75" hidden="false" customHeight="false" outlineLevel="0" collapsed="false">
      <c r="A775" s="50"/>
      <c r="B775" s="50"/>
      <c r="C775" s="5"/>
      <c r="D775" s="48"/>
      <c r="E775" s="50"/>
      <c r="F775" s="5"/>
      <c r="G775" s="5"/>
      <c r="H775" s="5"/>
      <c r="I775" s="5"/>
      <c r="J775" s="5"/>
      <c r="K775" s="50"/>
      <c r="L775" s="50"/>
      <c r="M775" s="50"/>
      <c r="N775" s="50"/>
      <c r="O775" s="50"/>
      <c r="P775" s="50"/>
      <c r="Q775" s="50"/>
      <c r="R775" s="50"/>
      <c r="S775" s="50"/>
      <c r="T775" s="50"/>
      <c r="U775" s="50"/>
      <c r="V775" s="50"/>
      <c r="W775" s="50"/>
      <c r="X775" s="50"/>
      <c r="Y775" s="50"/>
      <c r="Z775" s="50"/>
      <c r="AA775" s="50"/>
      <c r="AB775" s="50"/>
    </row>
    <row r="776" customFormat="false" ht="15.75" hidden="false" customHeight="false" outlineLevel="0" collapsed="false">
      <c r="A776" s="50"/>
      <c r="B776" s="50"/>
      <c r="C776" s="5"/>
      <c r="D776" s="48"/>
      <c r="E776" s="50"/>
      <c r="F776" s="5"/>
      <c r="G776" s="5"/>
      <c r="H776" s="5"/>
      <c r="I776" s="5"/>
      <c r="J776" s="5"/>
      <c r="K776" s="50"/>
      <c r="L776" s="50"/>
      <c r="M776" s="50"/>
      <c r="N776" s="50"/>
      <c r="O776" s="50"/>
      <c r="P776" s="50"/>
      <c r="Q776" s="50"/>
      <c r="R776" s="50"/>
      <c r="S776" s="50"/>
      <c r="T776" s="50"/>
      <c r="U776" s="50"/>
      <c r="V776" s="50"/>
      <c r="W776" s="50"/>
      <c r="X776" s="50"/>
      <c r="Y776" s="50"/>
      <c r="Z776" s="50"/>
      <c r="AA776" s="50"/>
      <c r="AB776" s="50"/>
    </row>
    <row r="777" customFormat="false" ht="15.75" hidden="false" customHeight="false" outlineLevel="0" collapsed="false">
      <c r="A777" s="50"/>
      <c r="B777" s="50"/>
      <c r="C777" s="5"/>
      <c r="D777" s="48"/>
      <c r="E777" s="50"/>
      <c r="F777" s="5"/>
      <c r="G777" s="5"/>
      <c r="H777" s="5"/>
      <c r="I777" s="5"/>
      <c r="J777" s="5"/>
      <c r="K777" s="50"/>
      <c r="L777" s="50"/>
      <c r="M777" s="50"/>
      <c r="N777" s="50"/>
      <c r="O777" s="50"/>
      <c r="P777" s="50"/>
      <c r="Q777" s="50"/>
      <c r="R777" s="50"/>
      <c r="S777" s="50"/>
      <c r="T777" s="50"/>
      <c r="U777" s="50"/>
      <c r="V777" s="50"/>
      <c r="W777" s="50"/>
      <c r="X777" s="50"/>
      <c r="Y777" s="50"/>
      <c r="Z777" s="50"/>
      <c r="AA777" s="50"/>
      <c r="AB777" s="50"/>
    </row>
    <row r="778" customFormat="false" ht="15.75" hidden="false" customHeight="false" outlineLevel="0" collapsed="false">
      <c r="A778" s="50"/>
      <c r="B778" s="50"/>
      <c r="C778" s="5"/>
      <c r="D778" s="48"/>
      <c r="E778" s="50"/>
      <c r="F778" s="5"/>
      <c r="G778" s="5"/>
      <c r="H778" s="5"/>
      <c r="I778" s="5"/>
      <c r="J778" s="5"/>
      <c r="K778" s="50"/>
      <c r="L778" s="50"/>
      <c r="M778" s="50"/>
      <c r="N778" s="50"/>
      <c r="O778" s="50"/>
      <c r="P778" s="50"/>
      <c r="Q778" s="50"/>
      <c r="R778" s="50"/>
      <c r="S778" s="50"/>
      <c r="T778" s="50"/>
      <c r="U778" s="50"/>
      <c r="V778" s="50"/>
      <c r="W778" s="50"/>
      <c r="X778" s="50"/>
      <c r="Y778" s="50"/>
      <c r="Z778" s="50"/>
      <c r="AA778" s="50"/>
      <c r="AB778" s="50"/>
    </row>
    <row r="779" customFormat="false" ht="15.75" hidden="false" customHeight="false" outlineLevel="0" collapsed="false">
      <c r="A779" s="50"/>
      <c r="B779" s="50"/>
      <c r="C779" s="5"/>
      <c r="D779" s="48"/>
      <c r="E779" s="50"/>
      <c r="F779" s="5"/>
      <c r="G779" s="5"/>
      <c r="H779" s="5"/>
      <c r="I779" s="5"/>
      <c r="J779" s="5"/>
      <c r="K779" s="50"/>
      <c r="L779" s="50"/>
      <c r="M779" s="50"/>
      <c r="N779" s="50"/>
      <c r="O779" s="50"/>
      <c r="P779" s="50"/>
      <c r="Q779" s="50"/>
      <c r="R779" s="50"/>
      <c r="S779" s="50"/>
      <c r="T779" s="50"/>
      <c r="U779" s="50"/>
      <c r="V779" s="50"/>
      <c r="W779" s="50"/>
      <c r="X779" s="50"/>
      <c r="Y779" s="50"/>
      <c r="Z779" s="50"/>
      <c r="AA779" s="50"/>
      <c r="AB779" s="50"/>
    </row>
    <row r="780" customFormat="false" ht="15.75" hidden="false" customHeight="false" outlineLevel="0" collapsed="false">
      <c r="A780" s="50"/>
      <c r="B780" s="50"/>
      <c r="C780" s="5"/>
      <c r="D780" s="48"/>
      <c r="E780" s="50"/>
      <c r="F780" s="5"/>
      <c r="G780" s="5"/>
      <c r="H780" s="5"/>
      <c r="I780" s="5"/>
      <c r="J780" s="5"/>
      <c r="K780" s="50"/>
      <c r="L780" s="50"/>
      <c r="M780" s="50"/>
      <c r="N780" s="50"/>
      <c r="O780" s="50"/>
      <c r="P780" s="50"/>
      <c r="Q780" s="50"/>
      <c r="R780" s="50"/>
      <c r="S780" s="50"/>
      <c r="T780" s="50"/>
      <c r="U780" s="50"/>
      <c r="V780" s="50"/>
      <c r="W780" s="50"/>
      <c r="X780" s="50"/>
      <c r="Y780" s="50"/>
      <c r="Z780" s="50"/>
      <c r="AA780" s="50"/>
      <c r="AB780" s="50"/>
    </row>
    <row r="781" customFormat="false" ht="15.75" hidden="false" customHeight="false" outlineLevel="0" collapsed="false">
      <c r="A781" s="50"/>
      <c r="B781" s="50"/>
      <c r="C781" s="5"/>
      <c r="D781" s="48"/>
      <c r="E781" s="50"/>
      <c r="F781" s="5"/>
      <c r="G781" s="5"/>
      <c r="H781" s="5"/>
      <c r="I781" s="5"/>
      <c r="J781" s="5"/>
      <c r="K781" s="50"/>
      <c r="L781" s="50"/>
      <c r="M781" s="50"/>
      <c r="N781" s="50"/>
      <c r="O781" s="50"/>
      <c r="P781" s="50"/>
      <c r="Q781" s="50"/>
      <c r="R781" s="50"/>
      <c r="S781" s="50"/>
      <c r="T781" s="50"/>
      <c r="U781" s="50"/>
      <c r="V781" s="50"/>
      <c r="W781" s="50"/>
      <c r="X781" s="50"/>
      <c r="Y781" s="50"/>
      <c r="Z781" s="50"/>
      <c r="AA781" s="50"/>
      <c r="AB781" s="50"/>
    </row>
    <row r="782" customFormat="false" ht="15.75" hidden="false" customHeight="false" outlineLevel="0" collapsed="false">
      <c r="A782" s="50"/>
      <c r="B782" s="50"/>
      <c r="C782" s="5"/>
      <c r="D782" s="48"/>
      <c r="E782" s="50"/>
      <c r="F782" s="5"/>
      <c r="G782" s="5"/>
      <c r="H782" s="5"/>
      <c r="I782" s="5"/>
      <c r="J782" s="5"/>
      <c r="K782" s="50"/>
      <c r="L782" s="50"/>
      <c r="M782" s="50"/>
      <c r="N782" s="50"/>
      <c r="O782" s="50"/>
      <c r="P782" s="50"/>
      <c r="Q782" s="50"/>
      <c r="R782" s="50"/>
      <c r="S782" s="50"/>
      <c r="T782" s="50"/>
      <c r="U782" s="50"/>
      <c r="V782" s="50"/>
      <c r="W782" s="50"/>
      <c r="X782" s="50"/>
      <c r="Y782" s="50"/>
      <c r="Z782" s="50"/>
      <c r="AA782" s="50"/>
      <c r="AB782" s="50"/>
    </row>
    <row r="783" customFormat="false" ht="15.75" hidden="false" customHeight="false" outlineLevel="0" collapsed="false">
      <c r="A783" s="50"/>
      <c r="B783" s="50"/>
      <c r="C783" s="5"/>
      <c r="D783" s="48"/>
      <c r="E783" s="50"/>
      <c r="F783" s="5"/>
      <c r="G783" s="5"/>
      <c r="H783" s="5"/>
      <c r="I783" s="5"/>
      <c r="J783" s="5"/>
      <c r="K783" s="50"/>
      <c r="L783" s="50"/>
      <c r="M783" s="50"/>
      <c r="N783" s="50"/>
      <c r="O783" s="50"/>
      <c r="P783" s="50"/>
      <c r="Q783" s="50"/>
      <c r="R783" s="50"/>
      <c r="S783" s="50"/>
      <c r="T783" s="50"/>
      <c r="U783" s="50"/>
      <c r="V783" s="50"/>
      <c r="W783" s="50"/>
      <c r="X783" s="50"/>
      <c r="Y783" s="50"/>
      <c r="Z783" s="50"/>
      <c r="AA783" s="50"/>
      <c r="AB783" s="50"/>
    </row>
    <row r="784" customFormat="false" ht="15.75" hidden="false" customHeight="false" outlineLevel="0" collapsed="false">
      <c r="A784" s="50"/>
      <c r="B784" s="50"/>
      <c r="C784" s="5"/>
      <c r="D784" s="48"/>
      <c r="E784" s="50"/>
      <c r="F784" s="5"/>
      <c r="G784" s="5"/>
      <c r="H784" s="5"/>
      <c r="I784" s="5"/>
      <c r="J784" s="5"/>
      <c r="K784" s="50"/>
      <c r="L784" s="50"/>
      <c r="M784" s="50"/>
      <c r="N784" s="50"/>
      <c r="O784" s="50"/>
      <c r="P784" s="50"/>
      <c r="Q784" s="50"/>
      <c r="R784" s="50"/>
      <c r="S784" s="50"/>
      <c r="T784" s="50"/>
      <c r="U784" s="50"/>
      <c r="V784" s="50"/>
      <c r="W784" s="50"/>
      <c r="X784" s="50"/>
      <c r="Y784" s="50"/>
      <c r="Z784" s="50"/>
      <c r="AA784" s="50"/>
      <c r="AB784" s="50"/>
    </row>
    <row r="785" customFormat="false" ht="15.75" hidden="false" customHeight="false" outlineLevel="0" collapsed="false">
      <c r="A785" s="50"/>
      <c r="B785" s="50"/>
      <c r="C785" s="5"/>
      <c r="D785" s="48"/>
      <c r="E785" s="50"/>
      <c r="F785" s="5"/>
      <c r="G785" s="5"/>
      <c r="H785" s="5"/>
      <c r="I785" s="5"/>
      <c r="J785" s="5"/>
      <c r="K785" s="50"/>
      <c r="L785" s="50"/>
      <c r="M785" s="50"/>
      <c r="N785" s="50"/>
      <c r="O785" s="50"/>
      <c r="P785" s="50"/>
      <c r="Q785" s="50"/>
      <c r="R785" s="50"/>
      <c r="S785" s="50"/>
      <c r="T785" s="50"/>
      <c r="U785" s="50"/>
      <c r="V785" s="50"/>
      <c r="W785" s="50"/>
      <c r="X785" s="50"/>
      <c r="Y785" s="50"/>
      <c r="Z785" s="50"/>
      <c r="AA785" s="50"/>
      <c r="AB785" s="50"/>
    </row>
    <row r="786" customFormat="false" ht="15.75" hidden="false" customHeight="false" outlineLevel="0" collapsed="false">
      <c r="A786" s="50"/>
      <c r="B786" s="50"/>
      <c r="C786" s="5"/>
      <c r="D786" s="48"/>
      <c r="E786" s="50"/>
      <c r="F786" s="5"/>
      <c r="G786" s="5"/>
      <c r="H786" s="5"/>
      <c r="I786" s="5"/>
      <c r="J786" s="5"/>
      <c r="K786" s="50"/>
      <c r="L786" s="50"/>
      <c r="M786" s="50"/>
      <c r="N786" s="50"/>
      <c r="O786" s="50"/>
      <c r="P786" s="50"/>
      <c r="Q786" s="50"/>
      <c r="R786" s="50"/>
      <c r="S786" s="50"/>
      <c r="T786" s="50"/>
      <c r="U786" s="50"/>
      <c r="V786" s="50"/>
      <c r="W786" s="50"/>
      <c r="X786" s="50"/>
      <c r="Y786" s="50"/>
      <c r="Z786" s="50"/>
      <c r="AA786" s="50"/>
      <c r="AB786" s="50"/>
    </row>
    <row r="787" customFormat="false" ht="15.75" hidden="false" customHeight="false" outlineLevel="0" collapsed="false">
      <c r="A787" s="50"/>
      <c r="B787" s="50"/>
      <c r="C787" s="5"/>
      <c r="D787" s="48"/>
      <c r="E787" s="50"/>
      <c r="F787" s="5"/>
      <c r="G787" s="5"/>
      <c r="H787" s="5"/>
      <c r="I787" s="5"/>
      <c r="J787" s="5"/>
      <c r="K787" s="50"/>
      <c r="L787" s="50"/>
      <c r="M787" s="50"/>
      <c r="N787" s="50"/>
      <c r="O787" s="50"/>
      <c r="P787" s="50"/>
      <c r="Q787" s="50"/>
      <c r="R787" s="50"/>
      <c r="S787" s="50"/>
      <c r="T787" s="50"/>
      <c r="U787" s="50"/>
      <c r="V787" s="50"/>
      <c r="W787" s="50"/>
      <c r="X787" s="50"/>
      <c r="Y787" s="50"/>
      <c r="Z787" s="50"/>
      <c r="AA787" s="50"/>
      <c r="AB787" s="50"/>
    </row>
    <row r="788" customFormat="false" ht="15.75" hidden="false" customHeight="false" outlineLevel="0" collapsed="false">
      <c r="A788" s="50"/>
      <c r="B788" s="50"/>
      <c r="C788" s="5"/>
      <c r="D788" s="48"/>
      <c r="E788" s="50"/>
      <c r="F788" s="5"/>
      <c r="G788" s="5"/>
      <c r="H788" s="5"/>
      <c r="I788" s="5"/>
      <c r="J788" s="5"/>
      <c r="K788" s="50"/>
      <c r="L788" s="50"/>
      <c r="M788" s="50"/>
      <c r="N788" s="50"/>
      <c r="O788" s="50"/>
      <c r="P788" s="50"/>
      <c r="Q788" s="50"/>
      <c r="R788" s="50"/>
      <c r="S788" s="50"/>
      <c r="T788" s="50"/>
      <c r="U788" s="50"/>
      <c r="V788" s="50"/>
      <c r="W788" s="50"/>
      <c r="X788" s="50"/>
      <c r="Y788" s="50"/>
      <c r="Z788" s="50"/>
      <c r="AA788" s="50"/>
      <c r="AB788" s="50"/>
    </row>
    <row r="789" customFormat="false" ht="15.75" hidden="false" customHeight="false" outlineLevel="0" collapsed="false">
      <c r="A789" s="50"/>
      <c r="B789" s="50"/>
      <c r="C789" s="5"/>
      <c r="D789" s="48"/>
      <c r="E789" s="50"/>
      <c r="F789" s="5"/>
      <c r="G789" s="5"/>
      <c r="H789" s="5"/>
      <c r="I789" s="5"/>
      <c r="J789" s="5"/>
      <c r="K789" s="50"/>
      <c r="L789" s="50"/>
      <c r="M789" s="50"/>
      <c r="N789" s="50"/>
      <c r="O789" s="50"/>
      <c r="P789" s="50"/>
      <c r="Q789" s="50"/>
      <c r="R789" s="50"/>
      <c r="S789" s="50"/>
      <c r="T789" s="50"/>
      <c r="U789" s="50"/>
      <c r="V789" s="50"/>
      <c r="W789" s="50"/>
      <c r="X789" s="50"/>
      <c r="Y789" s="50"/>
      <c r="Z789" s="50"/>
      <c r="AA789" s="50"/>
      <c r="AB789" s="50"/>
    </row>
    <row r="790" customFormat="false" ht="15.75" hidden="false" customHeight="false" outlineLevel="0" collapsed="false">
      <c r="A790" s="50"/>
      <c r="B790" s="50"/>
      <c r="C790" s="5"/>
      <c r="D790" s="48"/>
      <c r="E790" s="50"/>
      <c r="F790" s="5"/>
      <c r="G790" s="5"/>
      <c r="H790" s="5"/>
      <c r="I790" s="5"/>
      <c r="J790" s="5"/>
      <c r="K790" s="50"/>
      <c r="L790" s="50"/>
      <c r="M790" s="50"/>
      <c r="N790" s="50"/>
      <c r="O790" s="50"/>
      <c r="P790" s="50"/>
      <c r="Q790" s="50"/>
      <c r="R790" s="50"/>
      <c r="S790" s="50"/>
      <c r="T790" s="50"/>
      <c r="U790" s="50"/>
      <c r="V790" s="50"/>
      <c r="W790" s="50"/>
      <c r="X790" s="50"/>
      <c r="Y790" s="50"/>
      <c r="Z790" s="50"/>
      <c r="AA790" s="50"/>
      <c r="AB790" s="50"/>
    </row>
    <row r="791" customFormat="false" ht="15.75" hidden="false" customHeight="false" outlineLevel="0" collapsed="false">
      <c r="A791" s="50"/>
      <c r="B791" s="50"/>
      <c r="C791" s="5"/>
      <c r="D791" s="48"/>
      <c r="E791" s="50"/>
      <c r="F791" s="5"/>
      <c r="G791" s="5"/>
      <c r="H791" s="5"/>
      <c r="I791" s="5"/>
      <c r="J791" s="5"/>
      <c r="K791" s="50"/>
      <c r="L791" s="50"/>
      <c r="M791" s="50"/>
      <c r="N791" s="50"/>
      <c r="O791" s="50"/>
      <c r="P791" s="50"/>
      <c r="Q791" s="50"/>
      <c r="R791" s="50"/>
      <c r="S791" s="50"/>
      <c r="T791" s="50"/>
      <c r="U791" s="50"/>
      <c r="V791" s="50"/>
      <c r="W791" s="50"/>
      <c r="X791" s="50"/>
      <c r="Y791" s="50"/>
      <c r="Z791" s="50"/>
      <c r="AA791" s="50"/>
      <c r="AB791" s="50"/>
    </row>
    <row r="792" customFormat="false" ht="15.75" hidden="false" customHeight="false" outlineLevel="0" collapsed="false">
      <c r="A792" s="50"/>
      <c r="B792" s="50"/>
      <c r="C792" s="5"/>
      <c r="D792" s="48"/>
      <c r="E792" s="50"/>
      <c r="F792" s="5"/>
      <c r="G792" s="5"/>
      <c r="H792" s="5"/>
      <c r="I792" s="5"/>
      <c r="J792" s="5"/>
      <c r="K792" s="50"/>
      <c r="L792" s="50"/>
      <c r="M792" s="50"/>
      <c r="N792" s="50"/>
      <c r="O792" s="50"/>
      <c r="P792" s="50"/>
      <c r="Q792" s="50"/>
      <c r="R792" s="50"/>
      <c r="S792" s="50"/>
      <c r="T792" s="50"/>
      <c r="U792" s="50"/>
      <c r="V792" s="50"/>
      <c r="W792" s="50"/>
      <c r="X792" s="50"/>
      <c r="Y792" s="50"/>
      <c r="Z792" s="50"/>
      <c r="AA792" s="50"/>
      <c r="AB792" s="50"/>
    </row>
    <row r="793" customFormat="false" ht="15.75" hidden="false" customHeight="false" outlineLevel="0" collapsed="false">
      <c r="A793" s="50"/>
      <c r="B793" s="50"/>
      <c r="C793" s="5"/>
      <c r="D793" s="48"/>
      <c r="E793" s="50"/>
      <c r="F793" s="5"/>
      <c r="G793" s="5"/>
      <c r="H793" s="5"/>
      <c r="I793" s="5"/>
      <c r="J793" s="5"/>
      <c r="K793" s="50"/>
      <c r="L793" s="50"/>
      <c r="M793" s="50"/>
      <c r="N793" s="50"/>
      <c r="O793" s="50"/>
      <c r="P793" s="50"/>
      <c r="Q793" s="50"/>
      <c r="R793" s="50"/>
      <c r="S793" s="50"/>
      <c r="T793" s="50"/>
      <c r="U793" s="50"/>
      <c r="V793" s="50"/>
      <c r="W793" s="50"/>
      <c r="X793" s="50"/>
      <c r="Y793" s="50"/>
      <c r="Z793" s="50"/>
      <c r="AA793" s="50"/>
      <c r="AB793" s="50"/>
    </row>
    <row r="794" customFormat="false" ht="15.75" hidden="false" customHeight="false" outlineLevel="0" collapsed="false">
      <c r="A794" s="50"/>
      <c r="B794" s="50"/>
      <c r="C794" s="5"/>
      <c r="D794" s="48"/>
      <c r="E794" s="50"/>
      <c r="F794" s="5"/>
      <c r="G794" s="5"/>
      <c r="H794" s="5"/>
      <c r="I794" s="5"/>
      <c r="J794" s="5"/>
      <c r="K794" s="50"/>
      <c r="L794" s="50"/>
      <c r="M794" s="50"/>
      <c r="N794" s="50"/>
      <c r="O794" s="50"/>
      <c r="P794" s="50"/>
      <c r="Q794" s="50"/>
      <c r="R794" s="50"/>
      <c r="S794" s="50"/>
      <c r="T794" s="50"/>
      <c r="U794" s="50"/>
      <c r="V794" s="50"/>
      <c r="W794" s="50"/>
      <c r="X794" s="50"/>
      <c r="Y794" s="50"/>
      <c r="Z794" s="50"/>
      <c r="AA794" s="50"/>
      <c r="AB794" s="50"/>
    </row>
    <row r="795" customFormat="false" ht="15.75" hidden="false" customHeight="false" outlineLevel="0" collapsed="false">
      <c r="A795" s="50"/>
      <c r="B795" s="50"/>
      <c r="C795" s="5"/>
      <c r="D795" s="48"/>
      <c r="E795" s="50"/>
      <c r="F795" s="5"/>
      <c r="G795" s="5"/>
      <c r="H795" s="5"/>
      <c r="I795" s="5"/>
      <c r="J795" s="5"/>
      <c r="K795" s="50"/>
      <c r="L795" s="50"/>
      <c r="M795" s="50"/>
      <c r="N795" s="50"/>
      <c r="O795" s="50"/>
      <c r="P795" s="50"/>
      <c r="Q795" s="50"/>
      <c r="R795" s="50"/>
      <c r="S795" s="50"/>
      <c r="T795" s="50"/>
      <c r="U795" s="50"/>
      <c r="V795" s="50"/>
      <c r="W795" s="50"/>
      <c r="X795" s="50"/>
      <c r="Y795" s="50"/>
      <c r="Z795" s="50"/>
      <c r="AA795" s="50"/>
      <c r="AB795" s="50"/>
    </row>
    <row r="796" customFormat="false" ht="15.75" hidden="false" customHeight="false" outlineLevel="0" collapsed="false">
      <c r="A796" s="50"/>
      <c r="B796" s="50"/>
      <c r="C796" s="5"/>
      <c r="D796" s="48"/>
      <c r="E796" s="50"/>
      <c r="F796" s="5"/>
      <c r="G796" s="5"/>
      <c r="H796" s="5"/>
      <c r="I796" s="5"/>
      <c r="J796" s="5"/>
      <c r="K796" s="50"/>
      <c r="L796" s="50"/>
      <c r="M796" s="50"/>
      <c r="N796" s="50"/>
      <c r="O796" s="50"/>
      <c r="P796" s="50"/>
      <c r="Q796" s="50"/>
      <c r="R796" s="50"/>
      <c r="S796" s="50"/>
      <c r="T796" s="50"/>
      <c r="U796" s="50"/>
      <c r="V796" s="50"/>
      <c r="W796" s="50"/>
      <c r="X796" s="50"/>
      <c r="Y796" s="50"/>
      <c r="Z796" s="50"/>
      <c r="AA796" s="50"/>
      <c r="AB796" s="50"/>
    </row>
    <row r="797" customFormat="false" ht="15.75" hidden="false" customHeight="false" outlineLevel="0" collapsed="false">
      <c r="A797" s="50"/>
      <c r="B797" s="50"/>
      <c r="C797" s="5"/>
      <c r="D797" s="48"/>
      <c r="E797" s="50"/>
      <c r="F797" s="5"/>
      <c r="G797" s="5"/>
      <c r="H797" s="5"/>
      <c r="I797" s="5"/>
      <c r="J797" s="5"/>
      <c r="K797" s="50"/>
      <c r="L797" s="50"/>
      <c r="M797" s="50"/>
      <c r="N797" s="50"/>
      <c r="O797" s="50"/>
      <c r="P797" s="50"/>
      <c r="Q797" s="50"/>
      <c r="R797" s="50"/>
      <c r="S797" s="50"/>
      <c r="T797" s="50"/>
      <c r="U797" s="50"/>
      <c r="V797" s="50"/>
      <c r="W797" s="50"/>
      <c r="X797" s="50"/>
      <c r="Y797" s="50"/>
      <c r="Z797" s="50"/>
      <c r="AA797" s="50"/>
      <c r="AB797" s="50"/>
    </row>
    <row r="798" customFormat="false" ht="15.75" hidden="false" customHeight="false" outlineLevel="0" collapsed="false">
      <c r="A798" s="50"/>
      <c r="B798" s="50"/>
      <c r="C798" s="5"/>
      <c r="D798" s="48"/>
      <c r="E798" s="50"/>
      <c r="F798" s="5"/>
      <c r="G798" s="5"/>
      <c r="H798" s="5"/>
      <c r="I798" s="5"/>
      <c r="J798" s="5"/>
      <c r="K798" s="50"/>
      <c r="L798" s="50"/>
      <c r="M798" s="50"/>
      <c r="N798" s="50"/>
      <c r="O798" s="50"/>
      <c r="P798" s="50"/>
      <c r="Q798" s="50"/>
      <c r="R798" s="50"/>
      <c r="S798" s="50"/>
      <c r="T798" s="50"/>
      <c r="U798" s="50"/>
      <c r="V798" s="50"/>
      <c r="W798" s="50"/>
      <c r="X798" s="50"/>
      <c r="Y798" s="50"/>
      <c r="Z798" s="50"/>
      <c r="AA798" s="50"/>
      <c r="AB798" s="50"/>
    </row>
    <row r="799" customFormat="false" ht="15.75" hidden="false" customHeight="false" outlineLevel="0" collapsed="false">
      <c r="A799" s="50"/>
      <c r="B799" s="50"/>
      <c r="C799" s="5"/>
      <c r="D799" s="48"/>
      <c r="E799" s="50"/>
      <c r="F799" s="5"/>
      <c r="G799" s="5"/>
      <c r="H799" s="5"/>
      <c r="I799" s="5"/>
      <c r="J799" s="5"/>
      <c r="K799" s="50"/>
      <c r="L799" s="50"/>
      <c r="M799" s="50"/>
      <c r="N799" s="50"/>
      <c r="O799" s="50"/>
      <c r="P799" s="50"/>
      <c r="Q799" s="50"/>
      <c r="R799" s="50"/>
      <c r="S799" s="50"/>
      <c r="T799" s="50"/>
      <c r="U799" s="50"/>
      <c r="V799" s="50"/>
      <c r="W799" s="50"/>
      <c r="X799" s="50"/>
      <c r="Y799" s="50"/>
      <c r="Z799" s="50"/>
      <c r="AA799" s="50"/>
      <c r="AB799" s="50"/>
    </row>
    <row r="800" customFormat="false" ht="15.75" hidden="false" customHeight="false" outlineLevel="0" collapsed="false">
      <c r="A800" s="50"/>
      <c r="B800" s="50"/>
      <c r="C800" s="5"/>
      <c r="D800" s="48"/>
      <c r="E800" s="50"/>
      <c r="F800" s="5"/>
      <c r="G800" s="5"/>
      <c r="H800" s="5"/>
      <c r="I800" s="5"/>
      <c r="J800" s="5"/>
      <c r="K800" s="50"/>
      <c r="L800" s="50"/>
      <c r="M800" s="50"/>
      <c r="N800" s="50"/>
      <c r="O800" s="50"/>
      <c r="P800" s="50"/>
      <c r="Q800" s="50"/>
      <c r="R800" s="50"/>
      <c r="S800" s="50"/>
      <c r="T800" s="50"/>
      <c r="U800" s="50"/>
      <c r="V800" s="50"/>
      <c r="W800" s="50"/>
      <c r="X800" s="50"/>
      <c r="Y800" s="50"/>
      <c r="Z800" s="50"/>
      <c r="AA800" s="50"/>
      <c r="AB800" s="50"/>
    </row>
    <row r="801" customFormat="false" ht="15.75" hidden="false" customHeight="false" outlineLevel="0" collapsed="false">
      <c r="A801" s="50"/>
      <c r="B801" s="50"/>
      <c r="C801" s="5"/>
      <c r="D801" s="48"/>
      <c r="E801" s="50"/>
      <c r="F801" s="5"/>
      <c r="G801" s="5"/>
      <c r="H801" s="5"/>
      <c r="I801" s="5"/>
      <c r="J801" s="5"/>
      <c r="K801" s="50"/>
      <c r="L801" s="50"/>
      <c r="M801" s="50"/>
      <c r="N801" s="50"/>
      <c r="O801" s="50"/>
      <c r="P801" s="50"/>
      <c r="Q801" s="50"/>
      <c r="R801" s="50"/>
      <c r="S801" s="50"/>
      <c r="T801" s="50"/>
      <c r="U801" s="50"/>
      <c r="V801" s="50"/>
      <c r="W801" s="50"/>
      <c r="X801" s="50"/>
      <c r="Y801" s="50"/>
      <c r="Z801" s="50"/>
      <c r="AA801" s="50"/>
      <c r="AB801" s="50"/>
    </row>
    <row r="802" customFormat="false" ht="15.75" hidden="false" customHeight="false" outlineLevel="0" collapsed="false">
      <c r="A802" s="50"/>
      <c r="B802" s="50"/>
      <c r="C802" s="5"/>
      <c r="D802" s="48"/>
      <c r="E802" s="50"/>
      <c r="F802" s="5"/>
      <c r="G802" s="5"/>
      <c r="H802" s="5"/>
      <c r="I802" s="5"/>
      <c r="J802" s="5"/>
      <c r="K802" s="50"/>
      <c r="L802" s="50"/>
      <c r="M802" s="50"/>
      <c r="N802" s="50"/>
      <c r="O802" s="50"/>
      <c r="P802" s="50"/>
      <c r="Q802" s="50"/>
      <c r="R802" s="50"/>
      <c r="S802" s="50"/>
      <c r="T802" s="50"/>
      <c r="U802" s="50"/>
      <c r="V802" s="50"/>
      <c r="W802" s="50"/>
      <c r="X802" s="50"/>
      <c r="Y802" s="50"/>
      <c r="Z802" s="50"/>
      <c r="AA802" s="50"/>
      <c r="AB802" s="50"/>
    </row>
    <row r="803" customFormat="false" ht="15.75" hidden="false" customHeight="false" outlineLevel="0" collapsed="false">
      <c r="A803" s="50"/>
      <c r="B803" s="50"/>
      <c r="C803" s="5"/>
      <c r="D803" s="48"/>
      <c r="E803" s="50"/>
      <c r="F803" s="5"/>
      <c r="G803" s="5"/>
      <c r="H803" s="5"/>
      <c r="I803" s="5"/>
      <c r="J803" s="5"/>
      <c r="K803" s="50"/>
      <c r="L803" s="50"/>
      <c r="M803" s="50"/>
      <c r="N803" s="50"/>
      <c r="O803" s="50"/>
      <c r="P803" s="50"/>
      <c r="Q803" s="50"/>
      <c r="R803" s="50"/>
      <c r="S803" s="50"/>
      <c r="T803" s="50"/>
      <c r="U803" s="50"/>
      <c r="V803" s="50"/>
      <c r="W803" s="50"/>
      <c r="X803" s="50"/>
      <c r="Y803" s="50"/>
      <c r="Z803" s="50"/>
      <c r="AA803" s="50"/>
      <c r="AB803" s="50"/>
    </row>
    <row r="804" customFormat="false" ht="15.75" hidden="false" customHeight="false" outlineLevel="0" collapsed="false">
      <c r="A804" s="50"/>
      <c r="B804" s="50"/>
      <c r="C804" s="5"/>
      <c r="D804" s="48"/>
      <c r="E804" s="50"/>
      <c r="F804" s="5"/>
      <c r="G804" s="5"/>
      <c r="H804" s="5"/>
      <c r="I804" s="5"/>
      <c r="J804" s="5"/>
      <c r="K804" s="50"/>
      <c r="L804" s="50"/>
      <c r="M804" s="50"/>
      <c r="N804" s="50"/>
      <c r="O804" s="50"/>
      <c r="P804" s="50"/>
      <c r="Q804" s="50"/>
      <c r="R804" s="50"/>
      <c r="S804" s="50"/>
      <c r="T804" s="50"/>
      <c r="U804" s="50"/>
      <c r="V804" s="50"/>
      <c r="W804" s="50"/>
      <c r="X804" s="50"/>
      <c r="Y804" s="50"/>
      <c r="Z804" s="50"/>
      <c r="AA804" s="50"/>
      <c r="AB804" s="50"/>
    </row>
    <row r="805" customFormat="false" ht="15.75" hidden="false" customHeight="false" outlineLevel="0" collapsed="false">
      <c r="A805" s="50"/>
      <c r="B805" s="50"/>
      <c r="C805" s="5"/>
      <c r="D805" s="48"/>
      <c r="E805" s="50"/>
      <c r="F805" s="5"/>
      <c r="G805" s="5"/>
      <c r="H805" s="5"/>
      <c r="I805" s="5"/>
      <c r="J805" s="5"/>
      <c r="K805" s="50"/>
      <c r="L805" s="50"/>
      <c r="M805" s="50"/>
      <c r="N805" s="50"/>
      <c r="O805" s="50"/>
      <c r="P805" s="50"/>
      <c r="Q805" s="50"/>
      <c r="R805" s="50"/>
      <c r="S805" s="50"/>
      <c r="T805" s="50"/>
      <c r="U805" s="50"/>
      <c r="V805" s="50"/>
      <c r="W805" s="50"/>
      <c r="X805" s="50"/>
      <c r="Y805" s="50"/>
      <c r="Z805" s="50"/>
      <c r="AA805" s="50"/>
      <c r="AB805" s="50"/>
    </row>
    <row r="806" customFormat="false" ht="15.75" hidden="false" customHeight="false" outlineLevel="0" collapsed="false">
      <c r="A806" s="50"/>
      <c r="B806" s="50"/>
      <c r="C806" s="5"/>
      <c r="D806" s="48"/>
      <c r="E806" s="50"/>
      <c r="F806" s="5"/>
      <c r="G806" s="5"/>
      <c r="H806" s="5"/>
      <c r="I806" s="5"/>
      <c r="J806" s="5"/>
      <c r="K806" s="50"/>
      <c r="L806" s="50"/>
      <c r="M806" s="50"/>
      <c r="N806" s="50"/>
      <c r="O806" s="50"/>
      <c r="P806" s="50"/>
      <c r="Q806" s="50"/>
      <c r="R806" s="50"/>
      <c r="S806" s="50"/>
      <c r="T806" s="50"/>
      <c r="U806" s="50"/>
      <c r="V806" s="50"/>
      <c r="W806" s="50"/>
      <c r="X806" s="50"/>
      <c r="Y806" s="50"/>
      <c r="Z806" s="50"/>
      <c r="AA806" s="50"/>
      <c r="AB806" s="50"/>
    </row>
    <row r="807" customFormat="false" ht="15.75" hidden="false" customHeight="false" outlineLevel="0" collapsed="false">
      <c r="A807" s="50"/>
      <c r="B807" s="50"/>
      <c r="C807" s="5"/>
      <c r="D807" s="48"/>
      <c r="E807" s="50"/>
      <c r="F807" s="5"/>
      <c r="G807" s="5"/>
      <c r="H807" s="5"/>
      <c r="I807" s="5"/>
      <c r="J807" s="5"/>
      <c r="K807" s="50"/>
      <c r="L807" s="50"/>
      <c r="M807" s="50"/>
      <c r="N807" s="50"/>
      <c r="O807" s="50"/>
      <c r="P807" s="50"/>
      <c r="Q807" s="50"/>
      <c r="R807" s="50"/>
      <c r="S807" s="50"/>
      <c r="T807" s="50"/>
      <c r="U807" s="50"/>
      <c r="V807" s="50"/>
      <c r="W807" s="50"/>
      <c r="X807" s="50"/>
      <c r="Y807" s="50"/>
      <c r="Z807" s="50"/>
      <c r="AA807" s="50"/>
      <c r="AB807" s="50"/>
    </row>
    <row r="808" customFormat="false" ht="15.75" hidden="false" customHeight="false" outlineLevel="0" collapsed="false">
      <c r="A808" s="50"/>
      <c r="B808" s="50"/>
      <c r="C808" s="5"/>
      <c r="D808" s="48"/>
      <c r="E808" s="50"/>
      <c r="F808" s="5"/>
      <c r="G808" s="5"/>
      <c r="H808" s="5"/>
      <c r="I808" s="5"/>
      <c r="J808" s="5"/>
      <c r="K808" s="50"/>
      <c r="L808" s="50"/>
      <c r="M808" s="50"/>
      <c r="N808" s="50"/>
      <c r="O808" s="50"/>
      <c r="P808" s="50"/>
      <c r="Q808" s="50"/>
      <c r="R808" s="50"/>
      <c r="S808" s="50"/>
      <c r="T808" s="50"/>
      <c r="U808" s="50"/>
      <c r="V808" s="50"/>
      <c r="W808" s="50"/>
      <c r="X808" s="50"/>
      <c r="Y808" s="50"/>
      <c r="Z808" s="50"/>
      <c r="AA808" s="50"/>
      <c r="AB808" s="50"/>
    </row>
    <row r="809" customFormat="false" ht="15.75" hidden="false" customHeight="false" outlineLevel="0" collapsed="false">
      <c r="A809" s="50"/>
      <c r="B809" s="50"/>
      <c r="C809" s="5"/>
      <c r="D809" s="48"/>
      <c r="E809" s="50"/>
      <c r="F809" s="5"/>
      <c r="G809" s="5"/>
      <c r="H809" s="5"/>
      <c r="I809" s="5"/>
      <c r="J809" s="5"/>
      <c r="K809" s="50"/>
      <c r="L809" s="50"/>
      <c r="M809" s="50"/>
      <c r="N809" s="50"/>
      <c r="O809" s="50"/>
      <c r="P809" s="50"/>
      <c r="Q809" s="50"/>
      <c r="R809" s="50"/>
      <c r="S809" s="50"/>
      <c r="T809" s="50"/>
      <c r="U809" s="50"/>
      <c r="V809" s="50"/>
      <c r="W809" s="50"/>
      <c r="X809" s="50"/>
      <c r="Y809" s="50"/>
      <c r="Z809" s="50"/>
      <c r="AA809" s="50"/>
      <c r="AB809" s="50"/>
    </row>
    <row r="810" customFormat="false" ht="15.75" hidden="false" customHeight="false" outlineLevel="0" collapsed="false">
      <c r="A810" s="50"/>
      <c r="B810" s="50"/>
      <c r="C810" s="5"/>
      <c r="D810" s="48"/>
      <c r="E810" s="50"/>
      <c r="F810" s="5"/>
      <c r="G810" s="5"/>
      <c r="H810" s="5"/>
      <c r="I810" s="5"/>
      <c r="J810" s="5"/>
      <c r="K810" s="50"/>
      <c r="L810" s="50"/>
      <c r="M810" s="50"/>
      <c r="N810" s="50"/>
      <c r="O810" s="50"/>
      <c r="P810" s="50"/>
      <c r="Q810" s="50"/>
      <c r="R810" s="50"/>
      <c r="S810" s="50"/>
      <c r="T810" s="50"/>
      <c r="U810" s="50"/>
      <c r="V810" s="50"/>
      <c r="W810" s="50"/>
      <c r="X810" s="50"/>
      <c r="Y810" s="50"/>
      <c r="Z810" s="50"/>
      <c r="AA810" s="50"/>
      <c r="AB810" s="50"/>
    </row>
    <row r="811" customFormat="false" ht="15.75" hidden="false" customHeight="false" outlineLevel="0" collapsed="false">
      <c r="A811" s="50"/>
      <c r="B811" s="50"/>
      <c r="C811" s="5"/>
      <c r="D811" s="48"/>
      <c r="E811" s="50"/>
      <c r="F811" s="5"/>
      <c r="G811" s="5"/>
      <c r="H811" s="5"/>
      <c r="I811" s="5"/>
      <c r="J811" s="5"/>
      <c r="K811" s="50"/>
      <c r="L811" s="50"/>
      <c r="M811" s="50"/>
      <c r="N811" s="50"/>
      <c r="O811" s="50"/>
      <c r="P811" s="50"/>
      <c r="Q811" s="50"/>
      <c r="R811" s="50"/>
      <c r="S811" s="50"/>
      <c r="T811" s="50"/>
      <c r="U811" s="50"/>
      <c r="V811" s="50"/>
      <c r="W811" s="50"/>
      <c r="X811" s="50"/>
      <c r="Y811" s="50"/>
      <c r="Z811" s="50"/>
      <c r="AA811" s="50"/>
      <c r="AB811" s="50"/>
    </row>
    <row r="812" customFormat="false" ht="15.75" hidden="false" customHeight="false" outlineLevel="0" collapsed="false">
      <c r="A812" s="50"/>
      <c r="B812" s="50"/>
      <c r="C812" s="5"/>
      <c r="D812" s="48"/>
      <c r="E812" s="50"/>
      <c r="F812" s="5"/>
      <c r="G812" s="5"/>
      <c r="H812" s="5"/>
      <c r="I812" s="5"/>
      <c r="J812" s="5"/>
      <c r="K812" s="50"/>
      <c r="L812" s="50"/>
      <c r="M812" s="50"/>
      <c r="N812" s="50"/>
      <c r="O812" s="50"/>
      <c r="P812" s="50"/>
      <c r="Q812" s="50"/>
      <c r="R812" s="50"/>
      <c r="S812" s="50"/>
      <c r="T812" s="50"/>
      <c r="U812" s="50"/>
      <c r="V812" s="50"/>
      <c r="W812" s="50"/>
      <c r="X812" s="50"/>
      <c r="Y812" s="50"/>
      <c r="Z812" s="50"/>
      <c r="AA812" s="50"/>
      <c r="AB812" s="50"/>
    </row>
    <row r="813" customFormat="false" ht="15.75" hidden="false" customHeight="false" outlineLevel="0" collapsed="false">
      <c r="A813" s="50"/>
      <c r="B813" s="50"/>
      <c r="C813" s="5"/>
      <c r="D813" s="48"/>
      <c r="E813" s="50"/>
      <c r="F813" s="5"/>
      <c r="G813" s="5"/>
      <c r="H813" s="5"/>
      <c r="I813" s="5"/>
      <c r="J813" s="5"/>
      <c r="K813" s="50"/>
      <c r="L813" s="50"/>
      <c r="M813" s="50"/>
      <c r="N813" s="50"/>
      <c r="O813" s="50"/>
      <c r="P813" s="50"/>
      <c r="Q813" s="50"/>
      <c r="R813" s="50"/>
      <c r="S813" s="50"/>
      <c r="T813" s="50"/>
      <c r="U813" s="50"/>
      <c r="V813" s="50"/>
      <c r="W813" s="50"/>
      <c r="X813" s="50"/>
      <c r="Y813" s="50"/>
      <c r="Z813" s="50"/>
      <c r="AA813" s="50"/>
      <c r="AB813" s="50"/>
    </row>
    <row r="814" customFormat="false" ht="15.75" hidden="false" customHeight="false" outlineLevel="0" collapsed="false">
      <c r="A814" s="50"/>
      <c r="B814" s="50"/>
      <c r="C814" s="5"/>
      <c r="D814" s="48"/>
      <c r="E814" s="50"/>
      <c r="F814" s="5"/>
      <c r="G814" s="5"/>
      <c r="H814" s="5"/>
      <c r="I814" s="5"/>
      <c r="J814" s="5"/>
      <c r="K814" s="50"/>
      <c r="L814" s="50"/>
      <c r="M814" s="50"/>
      <c r="N814" s="50"/>
      <c r="O814" s="50"/>
      <c r="P814" s="50"/>
      <c r="Q814" s="50"/>
      <c r="R814" s="50"/>
      <c r="S814" s="50"/>
      <c r="T814" s="50"/>
      <c r="U814" s="50"/>
      <c r="V814" s="50"/>
      <c r="W814" s="50"/>
      <c r="X814" s="50"/>
      <c r="Y814" s="50"/>
      <c r="Z814" s="50"/>
      <c r="AA814" s="50"/>
      <c r="AB814" s="50"/>
    </row>
    <row r="815" customFormat="false" ht="15.75" hidden="false" customHeight="false" outlineLevel="0" collapsed="false">
      <c r="A815" s="50"/>
      <c r="B815" s="50"/>
      <c r="C815" s="5"/>
      <c r="D815" s="48"/>
      <c r="E815" s="50"/>
      <c r="F815" s="5"/>
      <c r="G815" s="5"/>
      <c r="H815" s="5"/>
      <c r="I815" s="5"/>
      <c r="J815" s="5"/>
      <c r="K815" s="50"/>
      <c r="L815" s="50"/>
      <c r="M815" s="50"/>
      <c r="N815" s="50"/>
      <c r="O815" s="50"/>
      <c r="P815" s="50"/>
      <c r="Q815" s="50"/>
      <c r="R815" s="50"/>
      <c r="S815" s="50"/>
      <c r="T815" s="50"/>
      <c r="U815" s="50"/>
      <c r="V815" s="50"/>
      <c r="W815" s="50"/>
      <c r="X815" s="50"/>
      <c r="Y815" s="50"/>
      <c r="Z815" s="50"/>
      <c r="AA815" s="50"/>
      <c r="AB815" s="50"/>
    </row>
    <row r="816" customFormat="false" ht="15.75" hidden="false" customHeight="false" outlineLevel="0" collapsed="false">
      <c r="A816" s="50"/>
      <c r="B816" s="50"/>
      <c r="C816" s="5"/>
      <c r="D816" s="48"/>
      <c r="E816" s="50"/>
      <c r="F816" s="5"/>
      <c r="G816" s="5"/>
      <c r="H816" s="5"/>
      <c r="I816" s="5"/>
      <c r="J816" s="5"/>
      <c r="K816" s="50"/>
      <c r="L816" s="50"/>
      <c r="M816" s="50"/>
      <c r="N816" s="50"/>
      <c r="O816" s="50"/>
      <c r="P816" s="50"/>
      <c r="Q816" s="50"/>
      <c r="R816" s="50"/>
      <c r="S816" s="50"/>
      <c r="T816" s="50"/>
      <c r="U816" s="50"/>
      <c r="V816" s="50"/>
      <c r="W816" s="50"/>
      <c r="X816" s="50"/>
      <c r="Y816" s="50"/>
      <c r="Z816" s="50"/>
      <c r="AA816" s="50"/>
      <c r="AB816" s="50"/>
    </row>
    <row r="817" customFormat="false" ht="15.75" hidden="false" customHeight="false" outlineLevel="0" collapsed="false">
      <c r="A817" s="50"/>
      <c r="B817" s="50"/>
      <c r="C817" s="5"/>
      <c r="D817" s="48"/>
      <c r="E817" s="50"/>
      <c r="F817" s="5"/>
      <c r="G817" s="5"/>
      <c r="H817" s="5"/>
      <c r="I817" s="5"/>
      <c r="J817" s="5"/>
      <c r="K817" s="50"/>
      <c r="L817" s="50"/>
      <c r="M817" s="50"/>
      <c r="N817" s="50"/>
      <c r="O817" s="50"/>
      <c r="P817" s="50"/>
      <c r="Q817" s="50"/>
      <c r="R817" s="50"/>
      <c r="S817" s="50"/>
      <c r="T817" s="50"/>
      <c r="U817" s="50"/>
      <c r="V817" s="50"/>
      <c r="W817" s="50"/>
      <c r="X817" s="50"/>
      <c r="Y817" s="50"/>
      <c r="Z817" s="50"/>
      <c r="AA817" s="50"/>
      <c r="AB817" s="50"/>
    </row>
    <row r="818" customFormat="false" ht="15.75" hidden="false" customHeight="false" outlineLevel="0" collapsed="false">
      <c r="A818" s="50"/>
      <c r="B818" s="50"/>
      <c r="C818" s="5"/>
      <c r="D818" s="48"/>
      <c r="E818" s="50"/>
      <c r="F818" s="5"/>
      <c r="G818" s="5"/>
      <c r="H818" s="5"/>
      <c r="I818" s="5"/>
      <c r="J818" s="5"/>
      <c r="K818" s="50"/>
      <c r="L818" s="50"/>
      <c r="M818" s="50"/>
      <c r="N818" s="50"/>
      <c r="O818" s="50"/>
      <c r="P818" s="50"/>
      <c r="Q818" s="50"/>
      <c r="R818" s="50"/>
      <c r="S818" s="50"/>
      <c r="T818" s="50"/>
      <c r="U818" s="50"/>
      <c r="V818" s="50"/>
      <c r="W818" s="50"/>
      <c r="X818" s="50"/>
      <c r="Y818" s="50"/>
      <c r="Z818" s="50"/>
      <c r="AA818" s="50"/>
      <c r="AB818" s="50"/>
    </row>
    <row r="819" customFormat="false" ht="15.75" hidden="false" customHeight="false" outlineLevel="0" collapsed="false">
      <c r="A819" s="50"/>
      <c r="B819" s="50"/>
      <c r="C819" s="5"/>
      <c r="D819" s="48"/>
      <c r="E819" s="50"/>
      <c r="F819" s="5"/>
      <c r="G819" s="5"/>
      <c r="H819" s="5"/>
      <c r="I819" s="5"/>
      <c r="J819" s="5"/>
      <c r="K819" s="50"/>
      <c r="L819" s="50"/>
      <c r="M819" s="50"/>
      <c r="N819" s="50"/>
      <c r="O819" s="50"/>
      <c r="P819" s="50"/>
      <c r="Q819" s="50"/>
      <c r="R819" s="50"/>
      <c r="S819" s="50"/>
      <c r="T819" s="50"/>
      <c r="U819" s="50"/>
      <c r="V819" s="50"/>
      <c r="W819" s="50"/>
      <c r="X819" s="50"/>
      <c r="Y819" s="50"/>
      <c r="Z819" s="50"/>
      <c r="AA819" s="50"/>
      <c r="AB819" s="50"/>
    </row>
    <row r="820" customFormat="false" ht="15.75" hidden="false" customHeight="false" outlineLevel="0" collapsed="false">
      <c r="A820" s="50"/>
      <c r="B820" s="50"/>
      <c r="C820" s="5"/>
      <c r="D820" s="48"/>
      <c r="E820" s="50"/>
      <c r="F820" s="5"/>
      <c r="G820" s="5"/>
      <c r="H820" s="5"/>
      <c r="I820" s="5"/>
      <c r="J820" s="5"/>
      <c r="K820" s="50"/>
      <c r="L820" s="50"/>
      <c r="M820" s="50"/>
      <c r="N820" s="50"/>
      <c r="O820" s="50"/>
      <c r="P820" s="50"/>
      <c r="Q820" s="50"/>
      <c r="R820" s="50"/>
      <c r="S820" s="50"/>
      <c r="T820" s="50"/>
      <c r="U820" s="50"/>
      <c r="V820" s="50"/>
      <c r="W820" s="50"/>
      <c r="X820" s="50"/>
      <c r="Y820" s="50"/>
      <c r="Z820" s="50"/>
      <c r="AA820" s="50"/>
      <c r="AB820" s="50"/>
    </row>
    <row r="821" customFormat="false" ht="15.75" hidden="false" customHeight="false" outlineLevel="0" collapsed="false">
      <c r="A821" s="50"/>
      <c r="B821" s="50"/>
      <c r="C821" s="5"/>
      <c r="D821" s="48"/>
      <c r="E821" s="50"/>
      <c r="F821" s="5"/>
      <c r="G821" s="5"/>
      <c r="H821" s="5"/>
      <c r="I821" s="5"/>
      <c r="J821" s="5"/>
      <c r="K821" s="50"/>
      <c r="L821" s="50"/>
      <c r="M821" s="50"/>
      <c r="N821" s="50"/>
      <c r="O821" s="50"/>
      <c r="P821" s="50"/>
      <c r="Q821" s="50"/>
      <c r="R821" s="50"/>
      <c r="S821" s="50"/>
      <c r="T821" s="50"/>
      <c r="U821" s="50"/>
      <c r="V821" s="50"/>
      <c r="W821" s="50"/>
      <c r="X821" s="50"/>
      <c r="Y821" s="50"/>
      <c r="Z821" s="50"/>
      <c r="AA821" s="50"/>
      <c r="AB821" s="50"/>
    </row>
    <row r="822" customFormat="false" ht="15.75" hidden="false" customHeight="false" outlineLevel="0" collapsed="false">
      <c r="A822" s="50"/>
      <c r="B822" s="50"/>
      <c r="C822" s="5"/>
      <c r="D822" s="48"/>
      <c r="E822" s="50"/>
      <c r="F822" s="5"/>
      <c r="G822" s="5"/>
      <c r="H822" s="5"/>
      <c r="I822" s="5"/>
      <c r="J822" s="5"/>
      <c r="K822" s="50"/>
      <c r="L822" s="50"/>
      <c r="M822" s="50"/>
      <c r="N822" s="50"/>
      <c r="O822" s="50"/>
      <c r="P822" s="50"/>
      <c r="Q822" s="50"/>
      <c r="R822" s="50"/>
      <c r="S822" s="50"/>
      <c r="T822" s="50"/>
      <c r="U822" s="50"/>
      <c r="V822" s="50"/>
      <c r="W822" s="50"/>
      <c r="X822" s="50"/>
      <c r="Y822" s="50"/>
      <c r="Z822" s="50"/>
      <c r="AA822" s="50"/>
      <c r="AB822" s="50"/>
    </row>
    <row r="823" customFormat="false" ht="15.75" hidden="false" customHeight="false" outlineLevel="0" collapsed="false">
      <c r="A823" s="50"/>
      <c r="B823" s="50"/>
      <c r="C823" s="5"/>
      <c r="D823" s="48"/>
      <c r="E823" s="50"/>
      <c r="F823" s="5"/>
      <c r="G823" s="5"/>
      <c r="H823" s="5"/>
      <c r="I823" s="5"/>
      <c r="J823" s="5"/>
      <c r="K823" s="50"/>
      <c r="L823" s="50"/>
      <c r="M823" s="50"/>
      <c r="N823" s="50"/>
      <c r="O823" s="50"/>
      <c r="P823" s="50"/>
      <c r="Q823" s="50"/>
      <c r="R823" s="50"/>
      <c r="S823" s="50"/>
      <c r="T823" s="50"/>
      <c r="U823" s="50"/>
      <c r="V823" s="50"/>
      <c r="W823" s="50"/>
      <c r="X823" s="50"/>
      <c r="Y823" s="50"/>
      <c r="Z823" s="50"/>
      <c r="AA823" s="50"/>
      <c r="AB823" s="50"/>
    </row>
    <row r="824" customFormat="false" ht="15.75" hidden="false" customHeight="false" outlineLevel="0" collapsed="false">
      <c r="A824" s="50"/>
      <c r="B824" s="50"/>
      <c r="C824" s="5"/>
      <c r="D824" s="48"/>
      <c r="E824" s="50"/>
      <c r="F824" s="5"/>
      <c r="G824" s="5"/>
      <c r="H824" s="5"/>
      <c r="I824" s="5"/>
      <c r="J824" s="5"/>
      <c r="K824" s="50"/>
      <c r="L824" s="50"/>
      <c r="M824" s="50"/>
      <c r="N824" s="50"/>
      <c r="O824" s="50"/>
      <c r="P824" s="50"/>
      <c r="Q824" s="50"/>
      <c r="R824" s="50"/>
      <c r="S824" s="50"/>
      <c r="T824" s="50"/>
      <c r="U824" s="50"/>
      <c r="V824" s="50"/>
      <c r="W824" s="50"/>
      <c r="X824" s="50"/>
      <c r="Y824" s="50"/>
      <c r="Z824" s="50"/>
      <c r="AA824" s="50"/>
      <c r="AB824" s="50"/>
    </row>
    <row r="825" customFormat="false" ht="15.75" hidden="false" customHeight="false" outlineLevel="0" collapsed="false">
      <c r="A825" s="50"/>
      <c r="B825" s="50"/>
      <c r="C825" s="5"/>
      <c r="D825" s="48"/>
      <c r="E825" s="50"/>
      <c r="F825" s="5"/>
      <c r="G825" s="5"/>
      <c r="H825" s="5"/>
      <c r="I825" s="5"/>
      <c r="J825" s="5"/>
      <c r="K825" s="50"/>
      <c r="L825" s="50"/>
      <c r="M825" s="50"/>
      <c r="N825" s="50"/>
      <c r="O825" s="50"/>
      <c r="P825" s="50"/>
      <c r="Q825" s="50"/>
      <c r="R825" s="50"/>
      <c r="S825" s="50"/>
      <c r="T825" s="50"/>
      <c r="U825" s="50"/>
      <c r="V825" s="50"/>
      <c r="W825" s="50"/>
      <c r="X825" s="50"/>
      <c r="Y825" s="50"/>
      <c r="Z825" s="50"/>
      <c r="AA825" s="50"/>
      <c r="AB825" s="50"/>
    </row>
    <row r="826" customFormat="false" ht="15.75" hidden="false" customHeight="false" outlineLevel="0" collapsed="false">
      <c r="A826" s="50"/>
      <c r="B826" s="50"/>
      <c r="C826" s="5"/>
      <c r="D826" s="48"/>
      <c r="E826" s="50"/>
      <c r="F826" s="5"/>
      <c r="G826" s="5"/>
      <c r="H826" s="5"/>
      <c r="I826" s="5"/>
      <c r="J826" s="5"/>
      <c r="K826" s="50"/>
      <c r="L826" s="50"/>
      <c r="M826" s="50"/>
      <c r="N826" s="50"/>
      <c r="O826" s="50"/>
      <c r="P826" s="50"/>
      <c r="Q826" s="50"/>
      <c r="R826" s="50"/>
      <c r="S826" s="50"/>
      <c r="T826" s="50"/>
      <c r="U826" s="50"/>
      <c r="V826" s="50"/>
      <c r="W826" s="50"/>
      <c r="X826" s="50"/>
      <c r="Y826" s="50"/>
      <c r="Z826" s="50"/>
      <c r="AA826" s="50"/>
      <c r="AB826" s="50"/>
    </row>
    <row r="827" customFormat="false" ht="15.75" hidden="false" customHeight="false" outlineLevel="0" collapsed="false">
      <c r="A827" s="50"/>
      <c r="B827" s="50"/>
      <c r="C827" s="5"/>
      <c r="D827" s="48"/>
      <c r="E827" s="50"/>
      <c r="F827" s="5"/>
      <c r="G827" s="5"/>
      <c r="H827" s="5"/>
      <c r="I827" s="5"/>
      <c r="J827" s="5"/>
      <c r="K827" s="50"/>
      <c r="L827" s="50"/>
      <c r="M827" s="50"/>
      <c r="N827" s="50"/>
      <c r="O827" s="50"/>
      <c r="P827" s="50"/>
      <c r="Q827" s="50"/>
      <c r="R827" s="50"/>
      <c r="S827" s="50"/>
      <c r="T827" s="50"/>
      <c r="U827" s="50"/>
      <c r="V827" s="50"/>
      <c r="W827" s="50"/>
      <c r="X827" s="50"/>
      <c r="Y827" s="50"/>
      <c r="Z827" s="50"/>
      <c r="AA827" s="50"/>
      <c r="AB827" s="50"/>
    </row>
    <row r="828" customFormat="false" ht="15.75" hidden="false" customHeight="false" outlineLevel="0" collapsed="false">
      <c r="A828" s="50"/>
      <c r="B828" s="50"/>
      <c r="C828" s="5"/>
      <c r="D828" s="48"/>
      <c r="E828" s="50"/>
      <c r="F828" s="5"/>
      <c r="G828" s="5"/>
      <c r="H828" s="5"/>
      <c r="I828" s="5"/>
      <c r="J828" s="5"/>
      <c r="K828" s="50"/>
      <c r="L828" s="50"/>
      <c r="M828" s="50"/>
      <c r="N828" s="50"/>
      <c r="O828" s="50"/>
      <c r="P828" s="50"/>
      <c r="Q828" s="50"/>
      <c r="R828" s="50"/>
      <c r="S828" s="50"/>
      <c r="T828" s="50"/>
      <c r="U828" s="50"/>
      <c r="V828" s="50"/>
      <c r="W828" s="50"/>
      <c r="X828" s="50"/>
      <c r="Y828" s="50"/>
      <c r="Z828" s="50"/>
      <c r="AA828" s="50"/>
      <c r="AB828" s="50"/>
    </row>
    <row r="829" customFormat="false" ht="15.75" hidden="false" customHeight="false" outlineLevel="0" collapsed="false">
      <c r="A829" s="50"/>
      <c r="B829" s="50"/>
      <c r="C829" s="5"/>
      <c r="D829" s="48"/>
      <c r="E829" s="50"/>
      <c r="F829" s="5"/>
      <c r="G829" s="5"/>
      <c r="H829" s="5"/>
      <c r="I829" s="5"/>
      <c r="J829" s="5"/>
      <c r="K829" s="50"/>
      <c r="L829" s="50"/>
      <c r="M829" s="50"/>
      <c r="N829" s="50"/>
      <c r="O829" s="50"/>
      <c r="P829" s="50"/>
      <c r="Q829" s="50"/>
      <c r="R829" s="50"/>
      <c r="S829" s="50"/>
      <c r="T829" s="50"/>
      <c r="U829" s="50"/>
      <c r="V829" s="50"/>
      <c r="W829" s="50"/>
      <c r="X829" s="50"/>
      <c r="Y829" s="50"/>
      <c r="Z829" s="50"/>
      <c r="AA829" s="50"/>
      <c r="AB829" s="50"/>
    </row>
    <row r="830" customFormat="false" ht="15.75" hidden="false" customHeight="false" outlineLevel="0" collapsed="false">
      <c r="A830" s="50"/>
      <c r="B830" s="50"/>
      <c r="C830" s="5"/>
      <c r="D830" s="48"/>
      <c r="E830" s="50"/>
      <c r="F830" s="5"/>
      <c r="G830" s="5"/>
      <c r="H830" s="5"/>
      <c r="I830" s="5"/>
      <c r="J830" s="5"/>
      <c r="K830" s="50"/>
      <c r="L830" s="50"/>
      <c r="M830" s="50"/>
      <c r="N830" s="50"/>
      <c r="O830" s="50"/>
      <c r="P830" s="50"/>
      <c r="Q830" s="50"/>
      <c r="R830" s="50"/>
      <c r="S830" s="50"/>
      <c r="T830" s="50"/>
      <c r="U830" s="50"/>
      <c r="V830" s="50"/>
      <c r="W830" s="50"/>
      <c r="X830" s="50"/>
      <c r="Y830" s="50"/>
      <c r="Z830" s="50"/>
      <c r="AA830" s="50"/>
      <c r="AB830" s="50"/>
    </row>
    <row r="831" customFormat="false" ht="15.75" hidden="false" customHeight="false" outlineLevel="0" collapsed="false">
      <c r="A831" s="50"/>
      <c r="B831" s="50"/>
      <c r="C831" s="5"/>
      <c r="D831" s="48"/>
      <c r="E831" s="50"/>
      <c r="F831" s="5"/>
      <c r="G831" s="5"/>
      <c r="H831" s="5"/>
      <c r="I831" s="5"/>
      <c r="J831" s="5"/>
      <c r="K831" s="50"/>
      <c r="L831" s="50"/>
      <c r="M831" s="50"/>
      <c r="N831" s="50"/>
      <c r="O831" s="50"/>
      <c r="P831" s="50"/>
      <c r="Q831" s="50"/>
      <c r="R831" s="50"/>
      <c r="S831" s="50"/>
      <c r="T831" s="50"/>
      <c r="U831" s="50"/>
      <c r="V831" s="50"/>
      <c r="W831" s="50"/>
      <c r="X831" s="50"/>
      <c r="Y831" s="50"/>
      <c r="Z831" s="50"/>
      <c r="AA831" s="50"/>
      <c r="AB831" s="50"/>
    </row>
    <row r="832" customFormat="false" ht="15.75" hidden="false" customHeight="false" outlineLevel="0" collapsed="false">
      <c r="A832" s="50"/>
      <c r="B832" s="50"/>
      <c r="C832" s="5"/>
      <c r="D832" s="48"/>
      <c r="E832" s="50"/>
      <c r="F832" s="5"/>
      <c r="G832" s="5"/>
      <c r="H832" s="5"/>
      <c r="I832" s="5"/>
      <c r="J832" s="5"/>
      <c r="K832" s="50"/>
      <c r="L832" s="50"/>
      <c r="M832" s="50"/>
      <c r="N832" s="50"/>
      <c r="O832" s="50"/>
      <c r="P832" s="50"/>
      <c r="Q832" s="50"/>
      <c r="R832" s="50"/>
      <c r="S832" s="50"/>
      <c r="T832" s="50"/>
      <c r="U832" s="50"/>
      <c r="V832" s="50"/>
      <c r="W832" s="50"/>
      <c r="X832" s="50"/>
      <c r="Y832" s="50"/>
      <c r="Z832" s="50"/>
      <c r="AA832" s="50"/>
      <c r="AB832" s="50"/>
    </row>
    <row r="833" customFormat="false" ht="15.75" hidden="false" customHeight="false" outlineLevel="0" collapsed="false">
      <c r="A833" s="50"/>
      <c r="B833" s="50"/>
      <c r="C833" s="5"/>
      <c r="D833" s="48"/>
      <c r="E833" s="50"/>
      <c r="F833" s="5"/>
      <c r="G833" s="5"/>
      <c r="H833" s="5"/>
      <c r="I833" s="5"/>
      <c r="J833" s="5"/>
      <c r="K833" s="50"/>
      <c r="L833" s="50"/>
      <c r="M833" s="50"/>
      <c r="N833" s="50"/>
      <c r="O833" s="50"/>
      <c r="P833" s="50"/>
      <c r="Q833" s="50"/>
      <c r="R833" s="50"/>
      <c r="S833" s="50"/>
      <c r="T833" s="50"/>
      <c r="U833" s="50"/>
      <c r="V833" s="50"/>
      <c r="W833" s="50"/>
      <c r="X833" s="50"/>
      <c r="Y833" s="50"/>
      <c r="Z833" s="50"/>
      <c r="AA833" s="50"/>
      <c r="AB833" s="50"/>
    </row>
    <row r="834" customFormat="false" ht="15.75" hidden="false" customHeight="false" outlineLevel="0" collapsed="false">
      <c r="A834" s="50"/>
      <c r="B834" s="50"/>
      <c r="C834" s="5"/>
      <c r="D834" s="48"/>
      <c r="E834" s="50"/>
      <c r="F834" s="5"/>
      <c r="G834" s="5"/>
      <c r="H834" s="5"/>
      <c r="I834" s="5"/>
      <c r="J834" s="5"/>
      <c r="K834" s="50"/>
      <c r="L834" s="50"/>
      <c r="M834" s="50"/>
      <c r="N834" s="50"/>
      <c r="O834" s="50"/>
      <c r="P834" s="50"/>
      <c r="Q834" s="50"/>
      <c r="R834" s="50"/>
      <c r="S834" s="50"/>
      <c r="T834" s="50"/>
      <c r="U834" s="50"/>
      <c r="V834" s="50"/>
      <c r="W834" s="50"/>
      <c r="X834" s="50"/>
      <c r="Y834" s="50"/>
      <c r="Z834" s="50"/>
      <c r="AA834" s="50"/>
      <c r="AB834" s="50"/>
    </row>
    <row r="835" customFormat="false" ht="15.75" hidden="false" customHeight="false" outlineLevel="0" collapsed="false">
      <c r="A835" s="50"/>
      <c r="B835" s="50"/>
      <c r="C835" s="5"/>
      <c r="D835" s="48"/>
      <c r="E835" s="50"/>
      <c r="F835" s="5"/>
      <c r="G835" s="5"/>
      <c r="H835" s="5"/>
      <c r="I835" s="5"/>
      <c r="J835" s="5"/>
      <c r="K835" s="50"/>
      <c r="L835" s="50"/>
      <c r="M835" s="50"/>
      <c r="N835" s="50"/>
      <c r="O835" s="50"/>
      <c r="P835" s="50"/>
      <c r="Q835" s="50"/>
      <c r="R835" s="50"/>
      <c r="S835" s="50"/>
      <c r="T835" s="50"/>
      <c r="U835" s="50"/>
      <c r="V835" s="50"/>
      <c r="W835" s="50"/>
      <c r="X835" s="50"/>
      <c r="Y835" s="50"/>
      <c r="Z835" s="50"/>
      <c r="AA835" s="50"/>
      <c r="AB835" s="50"/>
    </row>
    <row r="836" customFormat="false" ht="15.75" hidden="false" customHeight="false" outlineLevel="0" collapsed="false">
      <c r="A836" s="50"/>
      <c r="B836" s="50"/>
      <c r="C836" s="5"/>
      <c r="D836" s="48"/>
      <c r="E836" s="50"/>
      <c r="F836" s="5"/>
      <c r="G836" s="5"/>
      <c r="H836" s="5"/>
      <c r="I836" s="5"/>
      <c r="J836" s="5"/>
      <c r="K836" s="50"/>
      <c r="L836" s="50"/>
      <c r="M836" s="50"/>
      <c r="N836" s="50"/>
      <c r="O836" s="50"/>
      <c r="P836" s="50"/>
      <c r="Q836" s="50"/>
      <c r="R836" s="50"/>
      <c r="S836" s="50"/>
      <c r="T836" s="50"/>
      <c r="U836" s="50"/>
      <c r="V836" s="50"/>
      <c r="W836" s="50"/>
      <c r="X836" s="50"/>
      <c r="Y836" s="50"/>
      <c r="Z836" s="50"/>
      <c r="AA836" s="50"/>
      <c r="AB836" s="50"/>
    </row>
    <row r="837" customFormat="false" ht="15.75" hidden="false" customHeight="false" outlineLevel="0" collapsed="false">
      <c r="A837" s="50"/>
      <c r="B837" s="50"/>
      <c r="C837" s="5"/>
      <c r="D837" s="48"/>
      <c r="E837" s="50"/>
      <c r="F837" s="5"/>
      <c r="G837" s="5"/>
      <c r="H837" s="5"/>
      <c r="I837" s="5"/>
      <c r="J837" s="5"/>
      <c r="K837" s="50"/>
      <c r="L837" s="50"/>
      <c r="M837" s="50"/>
      <c r="N837" s="50"/>
      <c r="O837" s="50"/>
      <c r="P837" s="50"/>
      <c r="Q837" s="50"/>
      <c r="R837" s="50"/>
      <c r="S837" s="50"/>
      <c r="T837" s="50"/>
      <c r="U837" s="50"/>
      <c r="V837" s="50"/>
      <c r="W837" s="50"/>
      <c r="X837" s="50"/>
      <c r="Y837" s="50"/>
      <c r="Z837" s="50"/>
      <c r="AA837" s="50"/>
      <c r="AB837" s="50"/>
    </row>
    <row r="838" customFormat="false" ht="15.75" hidden="false" customHeight="false" outlineLevel="0" collapsed="false">
      <c r="A838" s="50"/>
      <c r="B838" s="50"/>
      <c r="C838" s="5"/>
      <c r="D838" s="48"/>
      <c r="E838" s="50"/>
      <c r="F838" s="5"/>
      <c r="G838" s="5"/>
      <c r="H838" s="5"/>
      <c r="I838" s="5"/>
      <c r="J838" s="5"/>
      <c r="K838" s="50"/>
      <c r="L838" s="50"/>
      <c r="M838" s="50"/>
      <c r="N838" s="50"/>
      <c r="O838" s="50"/>
      <c r="P838" s="50"/>
      <c r="Q838" s="50"/>
      <c r="R838" s="50"/>
      <c r="S838" s="50"/>
      <c r="T838" s="50"/>
      <c r="U838" s="50"/>
      <c r="V838" s="50"/>
      <c r="W838" s="50"/>
      <c r="X838" s="50"/>
      <c r="Y838" s="50"/>
      <c r="Z838" s="50"/>
      <c r="AA838" s="50"/>
      <c r="AB838" s="50"/>
    </row>
    <row r="839" customFormat="false" ht="15.75" hidden="false" customHeight="false" outlineLevel="0" collapsed="false">
      <c r="A839" s="50"/>
      <c r="B839" s="50"/>
      <c r="C839" s="5"/>
      <c r="D839" s="48"/>
      <c r="E839" s="50"/>
      <c r="F839" s="5"/>
      <c r="G839" s="5"/>
      <c r="H839" s="5"/>
      <c r="I839" s="5"/>
      <c r="J839" s="5"/>
      <c r="K839" s="50"/>
      <c r="L839" s="50"/>
      <c r="M839" s="50"/>
      <c r="N839" s="50"/>
      <c r="O839" s="50"/>
      <c r="P839" s="50"/>
      <c r="Q839" s="50"/>
      <c r="R839" s="50"/>
      <c r="S839" s="50"/>
      <c r="T839" s="50"/>
      <c r="U839" s="50"/>
      <c r="V839" s="50"/>
      <c r="W839" s="50"/>
      <c r="X839" s="50"/>
      <c r="Y839" s="50"/>
      <c r="Z839" s="50"/>
      <c r="AA839" s="50"/>
      <c r="AB839" s="50"/>
    </row>
    <row r="840" customFormat="false" ht="15.75" hidden="false" customHeight="false" outlineLevel="0" collapsed="false">
      <c r="A840" s="50"/>
      <c r="B840" s="50"/>
      <c r="C840" s="5"/>
      <c r="D840" s="48"/>
      <c r="E840" s="50"/>
      <c r="F840" s="5"/>
      <c r="G840" s="5"/>
      <c r="H840" s="5"/>
      <c r="I840" s="5"/>
      <c r="J840" s="5"/>
      <c r="K840" s="50"/>
      <c r="L840" s="50"/>
      <c r="M840" s="50"/>
      <c r="N840" s="50"/>
      <c r="O840" s="50"/>
      <c r="P840" s="50"/>
      <c r="Q840" s="50"/>
      <c r="R840" s="50"/>
      <c r="S840" s="50"/>
      <c r="T840" s="50"/>
      <c r="U840" s="50"/>
      <c r="V840" s="50"/>
      <c r="W840" s="50"/>
      <c r="X840" s="50"/>
      <c r="Y840" s="50"/>
      <c r="Z840" s="50"/>
      <c r="AA840" s="50"/>
      <c r="AB840" s="50"/>
    </row>
    <row r="841" customFormat="false" ht="15.75" hidden="false" customHeight="false" outlineLevel="0" collapsed="false">
      <c r="A841" s="50"/>
      <c r="B841" s="50"/>
      <c r="C841" s="5"/>
      <c r="D841" s="48"/>
      <c r="E841" s="50"/>
      <c r="F841" s="5"/>
      <c r="G841" s="5"/>
      <c r="H841" s="5"/>
      <c r="I841" s="5"/>
      <c r="J841" s="5"/>
      <c r="K841" s="50"/>
      <c r="L841" s="50"/>
      <c r="M841" s="50"/>
      <c r="N841" s="50"/>
      <c r="O841" s="50"/>
      <c r="P841" s="50"/>
      <c r="Q841" s="50"/>
      <c r="R841" s="50"/>
      <c r="S841" s="50"/>
      <c r="T841" s="50"/>
      <c r="U841" s="50"/>
      <c r="V841" s="50"/>
      <c r="W841" s="50"/>
      <c r="X841" s="50"/>
      <c r="Y841" s="50"/>
      <c r="Z841" s="50"/>
      <c r="AA841" s="50"/>
      <c r="AB841" s="50"/>
    </row>
    <row r="842" customFormat="false" ht="15.75" hidden="false" customHeight="false" outlineLevel="0" collapsed="false">
      <c r="A842" s="50"/>
      <c r="B842" s="50"/>
      <c r="C842" s="5"/>
      <c r="D842" s="48"/>
      <c r="E842" s="50"/>
      <c r="F842" s="5"/>
      <c r="G842" s="5"/>
      <c r="H842" s="5"/>
      <c r="I842" s="5"/>
      <c r="J842" s="5"/>
      <c r="K842" s="50"/>
      <c r="L842" s="50"/>
      <c r="M842" s="50"/>
      <c r="N842" s="50"/>
      <c r="O842" s="50"/>
      <c r="P842" s="50"/>
      <c r="Q842" s="50"/>
      <c r="R842" s="50"/>
      <c r="S842" s="50"/>
      <c r="T842" s="50"/>
      <c r="U842" s="50"/>
      <c r="V842" s="50"/>
      <c r="W842" s="50"/>
      <c r="X842" s="50"/>
      <c r="Y842" s="50"/>
      <c r="Z842" s="50"/>
      <c r="AA842" s="50"/>
      <c r="AB842" s="50"/>
    </row>
    <row r="843" customFormat="false" ht="15.75" hidden="false" customHeight="false" outlineLevel="0" collapsed="false">
      <c r="A843" s="50"/>
      <c r="B843" s="50"/>
      <c r="C843" s="5"/>
      <c r="D843" s="48"/>
      <c r="E843" s="50"/>
      <c r="F843" s="5"/>
      <c r="G843" s="5"/>
      <c r="H843" s="5"/>
      <c r="I843" s="5"/>
      <c r="J843" s="5"/>
      <c r="K843" s="50"/>
      <c r="L843" s="50"/>
      <c r="M843" s="50"/>
      <c r="N843" s="50"/>
      <c r="O843" s="50"/>
      <c r="P843" s="50"/>
      <c r="Q843" s="50"/>
      <c r="R843" s="50"/>
      <c r="S843" s="50"/>
      <c r="T843" s="50"/>
      <c r="U843" s="50"/>
      <c r="V843" s="50"/>
      <c r="W843" s="50"/>
      <c r="X843" s="50"/>
      <c r="Y843" s="50"/>
      <c r="Z843" s="50"/>
      <c r="AA843" s="50"/>
      <c r="AB843" s="50"/>
    </row>
    <row r="844" customFormat="false" ht="15.75" hidden="false" customHeight="false" outlineLevel="0" collapsed="false">
      <c r="A844" s="50"/>
      <c r="B844" s="50"/>
      <c r="C844" s="5"/>
      <c r="D844" s="48"/>
      <c r="E844" s="50"/>
      <c r="F844" s="5"/>
      <c r="G844" s="5"/>
      <c r="H844" s="5"/>
      <c r="I844" s="5"/>
      <c r="J844" s="5"/>
      <c r="K844" s="50"/>
      <c r="L844" s="50"/>
      <c r="M844" s="50"/>
      <c r="N844" s="50"/>
      <c r="O844" s="50"/>
      <c r="P844" s="50"/>
      <c r="Q844" s="50"/>
      <c r="R844" s="50"/>
      <c r="S844" s="50"/>
      <c r="T844" s="50"/>
      <c r="U844" s="50"/>
      <c r="V844" s="50"/>
      <c r="W844" s="50"/>
      <c r="X844" s="50"/>
      <c r="Y844" s="50"/>
      <c r="Z844" s="50"/>
      <c r="AA844" s="50"/>
      <c r="AB844" s="50"/>
    </row>
    <row r="845" customFormat="false" ht="15.75" hidden="false" customHeight="false" outlineLevel="0" collapsed="false">
      <c r="A845" s="50"/>
      <c r="B845" s="50"/>
      <c r="C845" s="5"/>
      <c r="D845" s="48"/>
      <c r="E845" s="50"/>
      <c r="F845" s="5"/>
      <c r="G845" s="5"/>
      <c r="H845" s="5"/>
      <c r="I845" s="5"/>
      <c r="J845" s="5"/>
      <c r="K845" s="50"/>
      <c r="L845" s="50"/>
      <c r="M845" s="50"/>
      <c r="N845" s="50"/>
      <c r="O845" s="50"/>
      <c r="P845" s="50"/>
      <c r="Q845" s="50"/>
      <c r="R845" s="50"/>
      <c r="S845" s="50"/>
      <c r="T845" s="50"/>
      <c r="U845" s="50"/>
      <c r="V845" s="50"/>
      <c r="W845" s="50"/>
      <c r="X845" s="50"/>
      <c r="Y845" s="50"/>
      <c r="Z845" s="50"/>
      <c r="AA845" s="50"/>
      <c r="AB845" s="50"/>
    </row>
    <row r="846" customFormat="false" ht="15.75" hidden="false" customHeight="false" outlineLevel="0" collapsed="false">
      <c r="A846" s="50"/>
      <c r="B846" s="50"/>
      <c r="C846" s="5"/>
      <c r="D846" s="48"/>
      <c r="E846" s="50"/>
      <c r="F846" s="5"/>
      <c r="G846" s="5"/>
      <c r="H846" s="5"/>
      <c r="I846" s="5"/>
      <c r="J846" s="5"/>
      <c r="K846" s="50"/>
      <c r="L846" s="50"/>
      <c r="M846" s="50"/>
      <c r="N846" s="50"/>
      <c r="O846" s="50"/>
      <c r="P846" s="50"/>
      <c r="Q846" s="50"/>
      <c r="R846" s="50"/>
      <c r="S846" s="50"/>
      <c r="T846" s="50"/>
      <c r="U846" s="50"/>
      <c r="V846" s="50"/>
      <c r="W846" s="50"/>
      <c r="X846" s="50"/>
      <c r="Y846" s="50"/>
      <c r="Z846" s="50"/>
      <c r="AA846" s="50"/>
      <c r="AB846" s="50"/>
    </row>
    <row r="847" customFormat="false" ht="15.75" hidden="false" customHeight="false" outlineLevel="0" collapsed="false">
      <c r="A847" s="50"/>
      <c r="B847" s="50"/>
      <c r="C847" s="5"/>
      <c r="D847" s="48"/>
      <c r="E847" s="50"/>
      <c r="F847" s="5"/>
      <c r="G847" s="5"/>
      <c r="H847" s="5"/>
      <c r="I847" s="5"/>
      <c r="J847" s="5"/>
      <c r="K847" s="50"/>
      <c r="L847" s="50"/>
      <c r="M847" s="50"/>
      <c r="N847" s="50"/>
      <c r="O847" s="50"/>
      <c r="P847" s="50"/>
      <c r="Q847" s="50"/>
      <c r="R847" s="50"/>
      <c r="S847" s="50"/>
      <c r="T847" s="50"/>
      <c r="U847" s="50"/>
      <c r="V847" s="50"/>
      <c r="W847" s="50"/>
      <c r="X847" s="50"/>
      <c r="Y847" s="50"/>
      <c r="Z847" s="50"/>
      <c r="AA847" s="50"/>
      <c r="AB847" s="50"/>
    </row>
    <row r="848" customFormat="false" ht="15.75" hidden="false" customHeight="false" outlineLevel="0" collapsed="false">
      <c r="A848" s="50"/>
      <c r="B848" s="50"/>
      <c r="C848" s="5"/>
      <c r="D848" s="48"/>
      <c r="E848" s="50"/>
      <c r="F848" s="5"/>
      <c r="G848" s="5"/>
      <c r="H848" s="5"/>
      <c r="I848" s="5"/>
      <c r="J848" s="5"/>
      <c r="K848" s="50"/>
      <c r="L848" s="50"/>
      <c r="M848" s="50"/>
      <c r="N848" s="50"/>
      <c r="O848" s="50"/>
      <c r="P848" s="50"/>
      <c r="Q848" s="50"/>
      <c r="R848" s="50"/>
      <c r="S848" s="50"/>
      <c r="T848" s="50"/>
      <c r="U848" s="50"/>
      <c r="V848" s="50"/>
      <c r="W848" s="50"/>
      <c r="X848" s="50"/>
      <c r="Y848" s="50"/>
      <c r="Z848" s="50"/>
      <c r="AA848" s="50"/>
      <c r="AB848" s="50"/>
    </row>
    <row r="849" customFormat="false" ht="15.75" hidden="false" customHeight="false" outlineLevel="0" collapsed="false">
      <c r="A849" s="50"/>
      <c r="B849" s="50"/>
      <c r="C849" s="5"/>
      <c r="D849" s="48"/>
      <c r="E849" s="50"/>
      <c r="F849" s="5"/>
      <c r="G849" s="5"/>
      <c r="H849" s="5"/>
      <c r="I849" s="5"/>
      <c r="J849" s="5"/>
      <c r="K849" s="50"/>
      <c r="L849" s="50"/>
      <c r="M849" s="50"/>
      <c r="N849" s="50"/>
      <c r="O849" s="50"/>
      <c r="P849" s="50"/>
      <c r="Q849" s="50"/>
      <c r="R849" s="50"/>
      <c r="S849" s="50"/>
      <c r="T849" s="50"/>
      <c r="U849" s="50"/>
      <c r="V849" s="50"/>
      <c r="W849" s="50"/>
      <c r="X849" s="50"/>
      <c r="Y849" s="50"/>
      <c r="Z849" s="50"/>
      <c r="AA849" s="50"/>
      <c r="AB849" s="50"/>
    </row>
    <row r="850" customFormat="false" ht="15.75" hidden="false" customHeight="false" outlineLevel="0" collapsed="false">
      <c r="A850" s="50"/>
      <c r="B850" s="50"/>
      <c r="C850" s="5"/>
      <c r="D850" s="48"/>
      <c r="E850" s="50"/>
      <c r="F850" s="5"/>
      <c r="G850" s="5"/>
      <c r="H850" s="5"/>
      <c r="I850" s="5"/>
      <c r="J850" s="5"/>
      <c r="K850" s="50"/>
      <c r="L850" s="50"/>
      <c r="M850" s="50"/>
      <c r="N850" s="50"/>
      <c r="O850" s="50"/>
      <c r="P850" s="50"/>
      <c r="Q850" s="50"/>
      <c r="R850" s="50"/>
      <c r="S850" s="50"/>
      <c r="T850" s="50"/>
      <c r="U850" s="50"/>
      <c r="V850" s="50"/>
      <c r="W850" s="50"/>
      <c r="X850" s="50"/>
      <c r="Y850" s="50"/>
      <c r="Z850" s="50"/>
      <c r="AA850" s="50"/>
      <c r="AB850" s="50"/>
    </row>
    <row r="851" customFormat="false" ht="15.75" hidden="false" customHeight="false" outlineLevel="0" collapsed="false">
      <c r="A851" s="50"/>
      <c r="B851" s="50"/>
      <c r="C851" s="5"/>
      <c r="D851" s="48"/>
      <c r="E851" s="50"/>
      <c r="F851" s="5"/>
      <c r="G851" s="5"/>
      <c r="H851" s="5"/>
      <c r="I851" s="5"/>
      <c r="J851" s="5"/>
      <c r="K851" s="50"/>
      <c r="L851" s="50"/>
      <c r="M851" s="50"/>
      <c r="N851" s="50"/>
      <c r="O851" s="50"/>
      <c r="P851" s="50"/>
      <c r="Q851" s="50"/>
      <c r="R851" s="50"/>
      <c r="S851" s="50"/>
      <c r="T851" s="50"/>
      <c r="U851" s="50"/>
      <c r="V851" s="50"/>
      <c r="W851" s="50"/>
      <c r="X851" s="50"/>
      <c r="Y851" s="50"/>
      <c r="Z851" s="50"/>
      <c r="AA851" s="50"/>
      <c r="AB851" s="50"/>
    </row>
    <row r="852" customFormat="false" ht="15.75" hidden="false" customHeight="false" outlineLevel="0" collapsed="false">
      <c r="A852" s="50"/>
      <c r="B852" s="50"/>
      <c r="C852" s="5"/>
      <c r="D852" s="48"/>
      <c r="E852" s="50"/>
      <c r="F852" s="5"/>
      <c r="G852" s="5"/>
      <c r="H852" s="5"/>
      <c r="I852" s="5"/>
      <c r="J852" s="5"/>
      <c r="K852" s="50"/>
      <c r="L852" s="50"/>
      <c r="M852" s="50"/>
      <c r="N852" s="50"/>
      <c r="O852" s="50"/>
      <c r="P852" s="50"/>
      <c r="Q852" s="50"/>
      <c r="R852" s="50"/>
      <c r="S852" s="50"/>
      <c r="T852" s="50"/>
      <c r="U852" s="50"/>
      <c r="V852" s="50"/>
      <c r="W852" s="50"/>
      <c r="X852" s="50"/>
      <c r="Y852" s="50"/>
      <c r="Z852" s="50"/>
      <c r="AA852" s="50"/>
      <c r="AB852" s="50"/>
    </row>
    <row r="853" customFormat="false" ht="15.75" hidden="false" customHeight="false" outlineLevel="0" collapsed="false">
      <c r="A853" s="50"/>
      <c r="B853" s="50"/>
      <c r="C853" s="5"/>
      <c r="D853" s="48"/>
      <c r="E853" s="50"/>
      <c r="F853" s="5"/>
      <c r="G853" s="5"/>
      <c r="H853" s="5"/>
      <c r="I853" s="5"/>
      <c r="J853" s="5"/>
      <c r="K853" s="50"/>
      <c r="L853" s="50"/>
      <c r="M853" s="50"/>
      <c r="N853" s="50"/>
      <c r="O853" s="50"/>
      <c r="P853" s="50"/>
      <c r="Q853" s="50"/>
      <c r="R853" s="50"/>
      <c r="S853" s="50"/>
      <c r="T853" s="50"/>
      <c r="U853" s="50"/>
      <c r="V853" s="50"/>
      <c r="W853" s="50"/>
      <c r="X853" s="50"/>
      <c r="Y853" s="50"/>
      <c r="Z853" s="50"/>
      <c r="AA853" s="50"/>
      <c r="AB853" s="50"/>
    </row>
    <row r="854" customFormat="false" ht="15.75" hidden="false" customHeight="false" outlineLevel="0" collapsed="false">
      <c r="A854" s="50"/>
      <c r="B854" s="50"/>
      <c r="C854" s="5"/>
      <c r="D854" s="48"/>
      <c r="E854" s="50"/>
      <c r="F854" s="5"/>
      <c r="G854" s="5"/>
      <c r="H854" s="5"/>
      <c r="I854" s="5"/>
      <c r="J854" s="5"/>
      <c r="K854" s="50"/>
      <c r="L854" s="50"/>
      <c r="M854" s="50"/>
      <c r="N854" s="50"/>
      <c r="O854" s="50"/>
      <c r="P854" s="50"/>
      <c r="Q854" s="50"/>
      <c r="R854" s="50"/>
      <c r="S854" s="50"/>
      <c r="T854" s="50"/>
      <c r="U854" s="50"/>
      <c r="V854" s="50"/>
      <c r="W854" s="50"/>
      <c r="X854" s="50"/>
      <c r="Y854" s="50"/>
      <c r="Z854" s="50"/>
      <c r="AA854" s="50"/>
      <c r="AB854" s="50"/>
    </row>
    <row r="855" customFormat="false" ht="15.75" hidden="false" customHeight="false" outlineLevel="0" collapsed="false">
      <c r="A855" s="50"/>
      <c r="B855" s="50"/>
      <c r="C855" s="5"/>
      <c r="D855" s="48"/>
      <c r="E855" s="50"/>
      <c r="F855" s="5"/>
      <c r="G855" s="5"/>
      <c r="H855" s="5"/>
      <c r="I855" s="5"/>
      <c r="J855" s="5"/>
      <c r="K855" s="50"/>
      <c r="L855" s="50"/>
      <c r="M855" s="50"/>
      <c r="N855" s="50"/>
      <c r="O855" s="50"/>
      <c r="P855" s="50"/>
      <c r="Q855" s="50"/>
      <c r="R855" s="50"/>
      <c r="S855" s="50"/>
      <c r="T855" s="50"/>
      <c r="U855" s="50"/>
      <c r="V855" s="50"/>
      <c r="W855" s="50"/>
      <c r="X855" s="50"/>
      <c r="Y855" s="50"/>
      <c r="Z855" s="50"/>
      <c r="AA855" s="50"/>
      <c r="AB855" s="50"/>
    </row>
    <row r="856" customFormat="false" ht="15.75" hidden="false" customHeight="false" outlineLevel="0" collapsed="false">
      <c r="A856" s="50"/>
      <c r="B856" s="50"/>
      <c r="C856" s="5"/>
      <c r="D856" s="48"/>
      <c r="E856" s="50"/>
      <c r="F856" s="5"/>
      <c r="G856" s="5"/>
      <c r="H856" s="5"/>
      <c r="I856" s="5"/>
      <c r="J856" s="5"/>
      <c r="K856" s="50"/>
      <c r="L856" s="50"/>
      <c r="M856" s="50"/>
      <c r="N856" s="50"/>
      <c r="O856" s="50"/>
      <c r="P856" s="50"/>
      <c r="Q856" s="50"/>
      <c r="R856" s="50"/>
      <c r="S856" s="50"/>
      <c r="T856" s="50"/>
      <c r="U856" s="50"/>
      <c r="V856" s="50"/>
      <c r="W856" s="50"/>
      <c r="X856" s="50"/>
      <c r="Y856" s="50"/>
      <c r="Z856" s="50"/>
      <c r="AA856" s="50"/>
      <c r="AB856" s="50"/>
    </row>
    <row r="857" customFormat="false" ht="15.75" hidden="false" customHeight="false" outlineLevel="0" collapsed="false">
      <c r="A857" s="50"/>
      <c r="B857" s="50"/>
      <c r="C857" s="5"/>
      <c r="D857" s="48"/>
      <c r="E857" s="50"/>
      <c r="F857" s="5"/>
      <c r="G857" s="5"/>
      <c r="H857" s="5"/>
      <c r="I857" s="5"/>
      <c r="J857" s="5"/>
      <c r="K857" s="50"/>
      <c r="L857" s="50"/>
      <c r="M857" s="50"/>
      <c r="N857" s="50"/>
      <c r="O857" s="50"/>
      <c r="P857" s="50"/>
      <c r="Q857" s="50"/>
      <c r="R857" s="50"/>
      <c r="S857" s="50"/>
      <c r="T857" s="50"/>
      <c r="U857" s="50"/>
      <c r="V857" s="50"/>
      <c r="W857" s="50"/>
      <c r="X857" s="50"/>
      <c r="Y857" s="50"/>
      <c r="Z857" s="50"/>
      <c r="AA857" s="50"/>
      <c r="AB857" s="50"/>
    </row>
    <row r="858" customFormat="false" ht="15.75" hidden="false" customHeight="false" outlineLevel="0" collapsed="false">
      <c r="A858" s="50"/>
      <c r="B858" s="50"/>
      <c r="C858" s="5"/>
      <c r="D858" s="48"/>
      <c r="E858" s="50"/>
      <c r="F858" s="5"/>
      <c r="G858" s="5"/>
      <c r="H858" s="5"/>
      <c r="I858" s="5"/>
      <c r="J858" s="5"/>
      <c r="K858" s="50"/>
      <c r="L858" s="50"/>
      <c r="M858" s="50"/>
      <c r="N858" s="50"/>
      <c r="O858" s="50"/>
      <c r="P858" s="50"/>
      <c r="Q858" s="50"/>
      <c r="R858" s="50"/>
      <c r="S858" s="50"/>
      <c r="T858" s="50"/>
      <c r="U858" s="50"/>
      <c r="V858" s="50"/>
      <c r="W858" s="50"/>
      <c r="X858" s="50"/>
      <c r="Y858" s="50"/>
      <c r="Z858" s="50"/>
      <c r="AA858" s="50"/>
      <c r="AB858" s="50"/>
    </row>
    <row r="859" customFormat="false" ht="15.75" hidden="false" customHeight="false" outlineLevel="0" collapsed="false">
      <c r="A859" s="50"/>
      <c r="B859" s="50"/>
      <c r="C859" s="5"/>
      <c r="D859" s="48"/>
      <c r="E859" s="50"/>
      <c r="F859" s="5"/>
      <c r="G859" s="5"/>
      <c r="H859" s="5"/>
      <c r="I859" s="5"/>
      <c r="J859" s="5"/>
      <c r="K859" s="50"/>
      <c r="L859" s="50"/>
      <c r="M859" s="50"/>
      <c r="N859" s="50"/>
      <c r="O859" s="50"/>
      <c r="P859" s="50"/>
      <c r="Q859" s="50"/>
      <c r="R859" s="50"/>
      <c r="S859" s="50"/>
      <c r="T859" s="50"/>
      <c r="U859" s="50"/>
      <c r="V859" s="50"/>
      <c r="W859" s="50"/>
      <c r="X859" s="50"/>
      <c r="Y859" s="50"/>
      <c r="Z859" s="50"/>
      <c r="AA859" s="50"/>
      <c r="AB859" s="50"/>
    </row>
    <row r="860" customFormat="false" ht="15.75" hidden="false" customHeight="false" outlineLevel="0" collapsed="false">
      <c r="A860" s="50"/>
      <c r="B860" s="50"/>
      <c r="C860" s="5"/>
      <c r="D860" s="48"/>
      <c r="E860" s="50"/>
      <c r="F860" s="5"/>
      <c r="G860" s="5"/>
      <c r="H860" s="5"/>
      <c r="I860" s="5"/>
      <c r="J860" s="5"/>
      <c r="K860" s="50"/>
      <c r="L860" s="50"/>
      <c r="M860" s="50"/>
      <c r="N860" s="50"/>
      <c r="O860" s="50"/>
      <c r="P860" s="50"/>
      <c r="Q860" s="50"/>
      <c r="R860" s="50"/>
      <c r="S860" s="50"/>
      <c r="T860" s="50"/>
      <c r="U860" s="50"/>
      <c r="V860" s="50"/>
      <c r="W860" s="50"/>
      <c r="X860" s="50"/>
      <c r="Y860" s="50"/>
      <c r="Z860" s="50"/>
      <c r="AA860" s="50"/>
      <c r="AB860" s="50"/>
    </row>
    <row r="861" customFormat="false" ht="15.75" hidden="false" customHeight="false" outlineLevel="0" collapsed="false">
      <c r="A861" s="50"/>
      <c r="B861" s="50"/>
      <c r="C861" s="5"/>
      <c r="D861" s="48"/>
      <c r="E861" s="50"/>
      <c r="F861" s="5"/>
      <c r="G861" s="5"/>
      <c r="H861" s="5"/>
      <c r="I861" s="5"/>
      <c r="J861" s="5"/>
      <c r="K861" s="50"/>
      <c r="L861" s="50"/>
      <c r="M861" s="50"/>
      <c r="N861" s="50"/>
      <c r="O861" s="50"/>
      <c r="P861" s="50"/>
      <c r="Q861" s="50"/>
      <c r="R861" s="50"/>
      <c r="S861" s="50"/>
      <c r="T861" s="50"/>
      <c r="U861" s="50"/>
      <c r="V861" s="50"/>
      <c r="W861" s="50"/>
      <c r="X861" s="50"/>
      <c r="Y861" s="50"/>
      <c r="Z861" s="50"/>
      <c r="AA861" s="50"/>
      <c r="AB861" s="50"/>
    </row>
    <row r="862" customFormat="false" ht="15.75" hidden="false" customHeight="false" outlineLevel="0" collapsed="false">
      <c r="A862" s="50"/>
      <c r="B862" s="50"/>
      <c r="C862" s="5"/>
      <c r="D862" s="48"/>
      <c r="E862" s="50"/>
      <c r="F862" s="5"/>
      <c r="G862" s="5"/>
      <c r="H862" s="5"/>
      <c r="I862" s="5"/>
      <c r="J862" s="5"/>
      <c r="K862" s="50"/>
      <c r="L862" s="50"/>
      <c r="M862" s="50"/>
      <c r="N862" s="50"/>
      <c r="O862" s="50"/>
      <c r="P862" s="50"/>
      <c r="Q862" s="50"/>
      <c r="R862" s="50"/>
      <c r="S862" s="50"/>
      <c r="T862" s="50"/>
      <c r="U862" s="50"/>
      <c r="V862" s="50"/>
      <c r="W862" s="50"/>
      <c r="X862" s="50"/>
      <c r="Y862" s="50"/>
      <c r="Z862" s="50"/>
      <c r="AA862" s="50"/>
      <c r="AB862" s="50"/>
    </row>
    <row r="863" customFormat="false" ht="15.75" hidden="false" customHeight="false" outlineLevel="0" collapsed="false">
      <c r="A863" s="50"/>
      <c r="B863" s="50"/>
      <c r="C863" s="5"/>
      <c r="D863" s="48"/>
      <c r="E863" s="50"/>
      <c r="F863" s="5"/>
      <c r="G863" s="5"/>
      <c r="H863" s="5"/>
      <c r="I863" s="5"/>
      <c r="J863" s="5"/>
      <c r="K863" s="50"/>
      <c r="L863" s="50"/>
      <c r="M863" s="50"/>
      <c r="N863" s="50"/>
      <c r="O863" s="50"/>
      <c r="P863" s="50"/>
      <c r="Q863" s="50"/>
      <c r="R863" s="50"/>
      <c r="S863" s="50"/>
      <c r="T863" s="50"/>
      <c r="U863" s="50"/>
      <c r="V863" s="50"/>
      <c r="W863" s="50"/>
      <c r="X863" s="50"/>
      <c r="Y863" s="50"/>
      <c r="Z863" s="50"/>
      <c r="AA863" s="50"/>
      <c r="AB863" s="50"/>
    </row>
    <row r="864" customFormat="false" ht="15.75" hidden="false" customHeight="false" outlineLevel="0" collapsed="false">
      <c r="A864" s="50"/>
      <c r="B864" s="50"/>
      <c r="C864" s="5"/>
      <c r="D864" s="48"/>
      <c r="E864" s="50"/>
      <c r="F864" s="5"/>
      <c r="G864" s="5"/>
      <c r="H864" s="5"/>
      <c r="I864" s="5"/>
      <c r="J864" s="5"/>
      <c r="K864" s="50"/>
      <c r="L864" s="50"/>
      <c r="M864" s="50"/>
      <c r="N864" s="50"/>
      <c r="O864" s="50"/>
      <c r="P864" s="50"/>
      <c r="Q864" s="50"/>
      <c r="R864" s="50"/>
      <c r="S864" s="50"/>
      <c r="T864" s="50"/>
      <c r="U864" s="50"/>
      <c r="V864" s="50"/>
      <c r="W864" s="50"/>
      <c r="X864" s="50"/>
      <c r="Y864" s="50"/>
      <c r="Z864" s="50"/>
      <c r="AA864" s="50"/>
      <c r="AB864" s="50"/>
    </row>
    <row r="865" customFormat="false" ht="15.75" hidden="false" customHeight="false" outlineLevel="0" collapsed="false">
      <c r="A865" s="50"/>
      <c r="B865" s="50"/>
      <c r="C865" s="5"/>
      <c r="D865" s="48"/>
      <c r="E865" s="50"/>
      <c r="F865" s="5"/>
      <c r="G865" s="5"/>
      <c r="H865" s="5"/>
      <c r="I865" s="5"/>
      <c r="J865" s="5"/>
      <c r="K865" s="50"/>
      <c r="L865" s="50"/>
      <c r="M865" s="50"/>
      <c r="N865" s="50"/>
      <c r="O865" s="50"/>
      <c r="P865" s="50"/>
      <c r="Q865" s="50"/>
      <c r="R865" s="50"/>
      <c r="S865" s="50"/>
      <c r="T865" s="50"/>
      <c r="U865" s="50"/>
      <c r="V865" s="50"/>
      <c r="W865" s="50"/>
      <c r="X865" s="50"/>
      <c r="Y865" s="50"/>
      <c r="Z865" s="50"/>
      <c r="AA865" s="50"/>
      <c r="AB865" s="50"/>
    </row>
    <row r="866" customFormat="false" ht="15.75" hidden="false" customHeight="false" outlineLevel="0" collapsed="false">
      <c r="A866" s="50"/>
      <c r="B866" s="50"/>
      <c r="C866" s="5"/>
      <c r="D866" s="48"/>
      <c r="E866" s="50"/>
      <c r="F866" s="5"/>
      <c r="G866" s="5"/>
      <c r="H866" s="5"/>
      <c r="I866" s="5"/>
      <c r="J866" s="5"/>
      <c r="K866" s="50"/>
      <c r="L866" s="50"/>
      <c r="M866" s="50"/>
      <c r="N866" s="50"/>
      <c r="O866" s="50"/>
      <c r="P866" s="50"/>
      <c r="Q866" s="50"/>
      <c r="R866" s="50"/>
      <c r="S866" s="50"/>
      <c r="T866" s="50"/>
      <c r="U866" s="50"/>
      <c r="V866" s="50"/>
      <c r="W866" s="50"/>
      <c r="X866" s="50"/>
      <c r="Y866" s="50"/>
      <c r="Z866" s="50"/>
      <c r="AA866" s="50"/>
      <c r="AB866" s="50"/>
    </row>
    <row r="867" customFormat="false" ht="15.75" hidden="false" customHeight="false" outlineLevel="0" collapsed="false">
      <c r="A867" s="50"/>
      <c r="B867" s="50"/>
      <c r="C867" s="5"/>
      <c r="D867" s="48"/>
      <c r="E867" s="50"/>
      <c r="F867" s="5"/>
      <c r="G867" s="5"/>
      <c r="H867" s="5"/>
      <c r="I867" s="5"/>
      <c r="J867" s="5"/>
      <c r="K867" s="50"/>
      <c r="L867" s="50"/>
      <c r="M867" s="50"/>
      <c r="N867" s="50"/>
      <c r="O867" s="50"/>
      <c r="P867" s="50"/>
      <c r="Q867" s="50"/>
      <c r="R867" s="50"/>
      <c r="S867" s="50"/>
      <c r="T867" s="50"/>
      <c r="U867" s="50"/>
      <c r="V867" s="50"/>
      <c r="W867" s="50"/>
      <c r="X867" s="50"/>
      <c r="Y867" s="50"/>
      <c r="Z867" s="50"/>
      <c r="AA867" s="50"/>
      <c r="AB867" s="50"/>
    </row>
    <row r="868" customFormat="false" ht="15.75" hidden="false" customHeight="false" outlineLevel="0" collapsed="false">
      <c r="A868" s="50"/>
      <c r="B868" s="50"/>
      <c r="C868" s="5"/>
      <c r="D868" s="48"/>
      <c r="E868" s="50"/>
      <c r="F868" s="5"/>
      <c r="G868" s="5"/>
      <c r="H868" s="5"/>
      <c r="I868" s="5"/>
      <c r="J868" s="5"/>
      <c r="K868" s="50"/>
      <c r="L868" s="50"/>
      <c r="M868" s="50"/>
      <c r="N868" s="50"/>
      <c r="O868" s="50"/>
      <c r="P868" s="50"/>
      <c r="Q868" s="50"/>
      <c r="R868" s="50"/>
      <c r="S868" s="50"/>
      <c r="T868" s="50"/>
      <c r="U868" s="50"/>
      <c r="V868" s="50"/>
      <c r="W868" s="50"/>
      <c r="X868" s="50"/>
      <c r="Y868" s="50"/>
      <c r="Z868" s="50"/>
      <c r="AA868" s="50"/>
      <c r="AB868" s="50"/>
    </row>
    <row r="869" customFormat="false" ht="15.75" hidden="false" customHeight="false" outlineLevel="0" collapsed="false">
      <c r="A869" s="50"/>
      <c r="B869" s="50"/>
      <c r="C869" s="5"/>
      <c r="D869" s="48"/>
      <c r="E869" s="50"/>
      <c r="F869" s="5"/>
      <c r="G869" s="5"/>
      <c r="H869" s="5"/>
      <c r="I869" s="5"/>
      <c r="J869" s="5"/>
      <c r="K869" s="50"/>
      <c r="L869" s="50"/>
      <c r="M869" s="50"/>
      <c r="N869" s="50"/>
      <c r="O869" s="50"/>
      <c r="P869" s="50"/>
      <c r="Q869" s="50"/>
      <c r="R869" s="50"/>
      <c r="S869" s="50"/>
      <c r="T869" s="50"/>
      <c r="U869" s="50"/>
      <c r="V869" s="50"/>
      <c r="W869" s="50"/>
      <c r="X869" s="50"/>
      <c r="Y869" s="50"/>
      <c r="Z869" s="50"/>
      <c r="AA869" s="50"/>
      <c r="AB869" s="50"/>
    </row>
    <row r="870" customFormat="false" ht="15.75" hidden="false" customHeight="false" outlineLevel="0" collapsed="false">
      <c r="A870" s="50"/>
      <c r="B870" s="50"/>
      <c r="C870" s="5"/>
      <c r="D870" s="48"/>
      <c r="E870" s="50"/>
      <c r="F870" s="5"/>
      <c r="G870" s="5"/>
      <c r="H870" s="5"/>
      <c r="I870" s="5"/>
      <c r="J870" s="5"/>
      <c r="K870" s="50"/>
      <c r="L870" s="50"/>
      <c r="M870" s="50"/>
      <c r="N870" s="50"/>
      <c r="O870" s="50"/>
      <c r="P870" s="50"/>
      <c r="Q870" s="50"/>
      <c r="R870" s="50"/>
      <c r="S870" s="50"/>
      <c r="T870" s="50"/>
      <c r="U870" s="50"/>
      <c r="V870" s="50"/>
      <c r="W870" s="50"/>
      <c r="X870" s="50"/>
      <c r="Y870" s="50"/>
      <c r="Z870" s="50"/>
      <c r="AA870" s="50"/>
      <c r="AB870" s="50"/>
    </row>
    <row r="871" customFormat="false" ht="15.75" hidden="false" customHeight="false" outlineLevel="0" collapsed="false">
      <c r="A871" s="50"/>
      <c r="B871" s="50"/>
      <c r="C871" s="5"/>
      <c r="D871" s="48"/>
      <c r="E871" s="50"/>
      <c r="F871" s="5"/>
      <c r="G871" s="5"/>
      <c r="H871" s="5"/>
      <c r="I871" s="5"/>
      <c r="J871" s="5"/>
      <c r="K871" s="50"/>
      <c r="L871" s="50"/>
      <c r="M871" s="50"/>
      <c r="N871" s="50"/>
      <c r="O871" s="50"/>
      <c r="P871" s="50"/>
      <c r="Q871" s="50"/>
      <c r="R871" s="50"/>
      <c r="S871" s="50"/>
      <c r="T871" s="50"/>
      <c r="U871" s="50"/>
      <c r="V871" s="50"/>
      <c r="W871" s="50"/>
      <c r="X871" s="50"/>
      <c r="Y871" s="50"/>
      <c r="Z871" s="50"/>
      <c r="AA871" s="50"/>
      <c r="AB871" s="50"/>
    </row>
    <row r="872" customFormat="false" ht="15.75" hidden="false" customHeight="false" outlineLevel="0" collapsed="false">
      <c r="A872" s="50"/>
      <c r="B872" s="50"/>
      <c r="C872" s="5"/>
      <c r="D872" s="48"/>
      <c r="E872" s="50"/>
      <c r="F872" s="5"/>
      <c r="G872" s="5"/>
      <c r="H872" s="5"/>
      <c r="I872" s="5"/>
      <c r="J872" s="5"/>
      <c r="K872" s="50"/>
      <c r="L872" s="50"/>
      <c r="M872" s="50"/>
      <c r="N872" s="50"/>
      <c r="O872" s="50"/>
      <c r="P872" s="50"/>
      <c r="Q872" s="50"/>
      <c r="R872" s="50"/>
      <c r="S872" s="50"/>
      <c r="T872" s="50"/>
      <c r="U872" s="50"/>
      <c r="V872" s="50"/>
      <c r="W872" s="50"/>
      <c r="X872" s="50"/>
      <c r="Y872" s="50"/>
      <c r="Z872" s="50"/>
      <c r="AA872" s="50"/>
      <c r="AB872" s="50"/>
    </row>
    <row r="873" customFormat="false" ht="15.75" hidden="false" customHeight="false" outlineLevel="0" collapsed="false">
      <c r="A873" s="50"/>
      <c r="B873" s="50"/>
      <c r="C873" s="5"/>
      <c r="D873" s="48"/>
      <c r="E873" s="50"/>
      <c r="F873" s="5"/>
      <c r="G873" s="5"/>
      <c r="H873" s="5"/>
      <c r="I873" s="5"/>
      <c r="J873" s="5"/>
      <c r="K873" s="50"/>
      <c r="L873" s="50"/>
      <c r="M873" s="50"/>
      <c r="N873" s="50"/>
      <c r="O873" s="50"/>
      <c r="P873" s="50"/>
      <c r="Q873" s="50"/>
      <c r="R873" s="50"/>
      <c r="S873" s="50"/>
      <c r="T873" s="50"/>
      <c r="U873" s="50"/>
      <c r="V873" s="50"/>
      <c r="W873" s="50"/>
      <c r="X873" s="50"/>
      <c r="Y873" s="50"/>
      <c r="Z873" s="50"/>
      <c r="AA873" s="50"/>
      <c r="AB873" s="50"/>
    </row>
    <row r="874" customFormat="false" ht="15.75" hidden="false" customHeight="false" outlineLevel="0" collapsed="false">
      <c r="A874" s="50"/>
      <c r="B874" s="50"/>
      <c r="C874" s="5"/>
      <c r="D874" s="48"/>
      <c r="E874" s="50"/>
      <c r="F874" s="5"/>
      <c r="G874" s="5"/>
      <c r="H874" s="5"/>
      <c r="I874" s="5"/>
      <c r="J874" s="5"/>
      <c r="K874" s="50"/>
      <c r="L874" s="50"/>
      <c r="M874" s="50"/>
      <c r="N874" s="50"/>
      <c r="O874" s="50"/>
      <c r="P874" s="50"/>
      <c r="Q874" s="50"/>
      <c r="R874" s="50"/>
      <c r="S874" s="50"/>
      <c r="T874" s="50"/>
      <c r="U874" s="50"/>
      <c r="V874" s="50"/>
      <c r="W874" s="50"/>
      <c r="X874" s="50"/>
      <c r="Y874" s="50"/>
      <c r="Z874" s="50"/>
      <c r="AA874" s="50"/>
      <c r="AB874" s="50"/>
    </row>
    <row r="875" customFormat="false" ht="15.75" hidden="false" customHeight="false" outlineLevel="0" collapsed="false">
      <c r="A875" s="50"/>
      <c r="B875" s="50"/>
      <c r="C875" s="5"/>
      <c r="D875" s="48"/>
      <c r="E875" s="50"/>
      <c r="F875" s="5"/>
      <c r="G875" s="5"/>
      <c r="H875" s="5"/>
      <c r="I875" s="5"/>
      <c r="J875" s="5"/>
      <c r="K875" s="50"/>
      <c r="L875" s="50"/>
      <c r="M875" s="50"/>
      <c r="N875" s="50"/>
      <c r="O875" s="50"/>
      <c r="P875" s="50"/>
      <c r="Q875" s="50"/>
      <c r="R875" s="50"/>
      <c r="S875" s="50"/>
      <c r="T875" s="50"/>
      <c r="U875" s="50"/>
      <c r="V875" s="50"/>
      <c r="W875" s="50"/>
      <c r="X875" s="50"/>
      <c r="Y875" s="50"/>
      <c r="Z875" s="50"/>
      <c r="AA875" s="50"/>
      <c r="AB875" s="50"/>
    </row>
    <row r="876" customFormat="false" ht="15.75" hidden="false" customHeight="false" outlineLevel="0" collapsed="false">
      <c r="A876" s="50"/>
      <c r="B876" s="50"/>
      <c r="C876" s="5"/>
      <c r="D876" s="48"/>
      <c r="E876" s="50"/>
      <c r="F876" s="5"/>
      <c r="G876" s="5"/>
      <c r="H876" s="5"/>
      <c r="I876" s="5"/>
      <c r="J876" s="5"/>
      <c r="K876" s="50"/>
      <c r="L876" s="50"/>
      <c r="M876" s="50"/>
      <c r="N876" s="50"/>
      <c r="O876" s="50"/>
      <c r="P876" s="50"/>
      <c r="Q876" s="50"/>
      <c r="R876" s="50"/>
      <c r="S876" s="50"/>
      <c r="T876" s="50"/>
      <c r="U876" s="50"/>
      <c r="V876" s="50"/>
      <c r="W876" s="50"/>
      <c r="X876" s="50"/>
      <c r="Y876" s="50"/>
      <c r="Z876" s="50"/>
      <c r="AA876" s="50"/>
      <c r="AB876" s="50"/>
    </row>
    <row r="877" customFormat="false" ht="15.75" hidden="false" customHeight="false" outlineLevel="0" collapsed="false">
      <c r="A877" s="50"/>
      <c r="B877" s="50"/>
      <c r="C877" s="5"/>
      <c r="D877" s="48"/>
      <c r="E877" s="50"/>
      <c r="F877" s="5"/>
      <c r="G877" s="5"/>
      <c r="H877" s="5"/>
      <c r="I877" s="5"/>
      <c r="J877" s="5"/>
      <c r="K877" s="50"/>
      <c r="L877" s="50"/>
      <c r="M877" s="50"/>
      <c r="N877" s="50"/>
      <c r="O877" s="50"/>
      <c r="P877" s="50"/>
      <c r="Q877" s="50"/>
      <c r="R877" s="50"/>
      <c r="S877" s="50"/>
      <c r="T877" s="50"/>
      <c r="U877" s="50"/>
      <c r="V877" s="50"/>
      <c r="W877" s="50"/>
      <c r="X877" s="50"/>
      <c r="Y877" s="50"/>
      <c r="Z877" s="50"/>
      <c r="AA877" s="50"/>
      <c r="AB877" s="50"/>
    </row>
    <row r="878" customFormat="false" ht="15.75" hidden="false" customHeight="false" outlineLevel="0" collapsed="false">
      <c r="A878" s="50"/>
      <c r="B878" s="50"/>
      <c r="C878" s="5"/>
      <c r="D878" s="48"/>
      <c r="E878" s="50"/>
      <c r="F878" s="5"/>
      <c r="G878" s="5"/>
      <c r="H878" s="5"/>
      <c r="I878" s="5"/>
      <c r="J878" s="5"/>
      <c r="K878" s="50"/>
      <c r="L878" s="50"/>
      <c r="M878" s="50"/>
      <c r="N878" s="50"/>
      <c r="O878" s="50"/>
      <c r="P878" s="50"/>
      <c r="Q878" s="50"/>
      <c r="R878" s="50"/>
      <c r="S878" s="50"/>
      <c r="T878" s="50"/>
      <c r="U878" s="50"/>
      <c r="V878" s="50"/>
      <c r="W878" s="50"/>
      <c r="X878" s="50"/>
      <c r="Y878" s="50"/>
      <c r="Z878" s="50"/>
      <c r="AA878" s="50"/>
      <c r="AB878" s="50"/>
    </row>
    <row r="879" customFormat="false" ht="15.75" hidden="false" customHeight="false" outlineLevel="0" collapsed="false">
      <c r="A879" s="50"/>
      <c r="B879" s="50"/>
      <c r="C879" s="5"/>
      <c r="D879" s="48"/>
      <c r="E879" s="50"/>
      <c r="F879" s="5"/>
      <c r="G879" s="5"/>
      <c r="H879" s="5"/>
      <c r="I879" s="5"/>
      <c r="J879" s="5"/>
      <c r="K879" s="50"/>
      <c r="L879" s="50"/>
      <c r="M879" s="50"/>
      <c r="N879" s="50"/>
      <c r="O879" s="50"/>
      <c r="P879" s="50"/>
      <c r="Q879" s="50"/>
      <c r="R879" s="50"/>
      <c r="S879" s="50"/>
      <c r="T879" s="50"/>
      <c r="U879" s="50"/>
      <c r="V879" s="50"/>
      <c r="W879" s="50"/>
      <c r="X879" s="50"/>
      <c r="Y879" s="50"/>
      <c r="Z879" s="50"/>
      <c r="AA879" s="50"/>
      <c r="AB879" s="50"/>
    </row>
    <row r="880" customFormat="false" ht="15.75" hidden="false" customHeight="false" outlineLevel="0" collapsed="false">
      <c r="A880" s="50"/>
      <c r="B880" s="50"/>
      <c r="C880" s="5"/>
      <c r="D880" s="48"/>
      <c r="E880" s="50"/>
      <c r="F880" s="5"/>
      <c r="G880" s="5"/>
      <c r="H880" s="5"/>
      <c r="I880" s="5"/>
      <c r="J880" s="5"/>
      <c r="K880" s="50"/>
      <c r="L880" s="50"/>
      <c r="M880" s="50"/>
      <c r="N880" s="50"/>
      <c r="O880" s="50"/>
      <c r="P880" s="50"/>
      <c r="Q880" s="50"/>
      <c r="R880" s="50"/>
      <c r="S880" s="50"/>
      <c r="T880" s="50"/>
      <c r="U880" s="50"/>
      <c r="V880" s="50"/>
      <c r="W880" s="50"/>
      <c r="X880" s="50"/>
      <c r="Y880" s="50"/>
      <c r="Z880" s="50"/>
      <c r="AA880" s="50"/>
      <c r="AB880" s="50"/>
    </row>
    <row r="881" customFormat="false" ht="15.75" hidden="false" customHeight="false" outlineLevel="0" collapsed="false">
      <c r="A881" s="50"/>
      <c r="B881" s="50"/>
      <c r="C881" s="5"/>
      <c r="D881" s="48"/>
      <c r="E881" s="50"/>
      <c r="F881" s="5"/>
      <c r="G881" s="5"/>
      <c r="H881" s="5"/>
      <c r="I881" s="5"/>
      <c r="J881" s="5"/>
      <c r="K881" s="50"/>
      <c r="L881" s="50"/>
      <c r="M881" s="50"/>
      <c r="N881" s="50"/>
      <c r="O881" s="50"/>
      <c r="P881" s="50"/>
      <c r="Q881" s="50"/>
      <c r="R881" s="50"/>
      <c r="S881" s="50"/>
      <c r="T881" s="50"/>
      <c r="U881" s="50"/>
      <c r="V881" s="50"/>
      <c r="W881" s="50"/>
      <c r="X881" s="50"/>
      <c r="Y881" s="50"/>
      <c r="Z881" s="50"/>
      <c r="AA881" s="50"/>
      <c r="AB881" s="50"/>
    </row>
    <row r="882" customFormat="false" ht="15.75" hidden="false" customHeight="false" outlineLevel="0" collapsed="false">
      <c r="A882" s="50"/>
      <c r="B882" s="50"/>
      <c r="C882" s="5"/>
      <c r="D882" s="48"/>
      <c r="E882" s="50"/>
      <c r="F882" s="5"/>
      <c r="G882" s="5"/>
      <c r="H882" s="5"/>
      <c r="I882" s="5"/>
      <c r="J882" s="5"/>
      <c r="K882" s="50"/>
      <c r="L882" s="50"/>
      <c r="M882" s="50"/>
      <c r="N882" s="50"/>
      <c r="O882" s="50"/>
      <c r="P882" s="50"/>
      <c r="Q882" s="50"/>
      <c r="R882" s="50"/>
      <c r="S882" s="50"/>
      <c r="T882" s="50"/>
      <c r="U882" s="50"/>
      <c r="V882" s="50"/>
      <c r="W882" s="50"/>
      <c r="X882" s="50"/>
      <c r="Y882" s="50"/>
      <c r="Z882" s="50"/>
      <c r="AA882" s="50"/>
      <c r="AB882" s="50"/>
    </row>
    <row r="883" customFormat="false" ht="15.75" hidden="false" customHeight="false" outlineLevel="0" collapsed="false">
      <c r="A883" s="50"/>
      <c r="B883" s="50"/>
      <c r="C883" s="5"/>
      <c r="D883" s="48"/>
      <c r="E883" s="50"/>
      <c r="F883" s="5"/>
      <c r="G883" s="5"/>
      <c r="H883" s="5"/>
      <c r="I883" s="5"/>
      <c r="J883" s="5"/>
      <c r="K883" s="50"/>
      <c r="L883" s="50"/>
      <c r="M883" s="50"/>
      <c r="N883" s="50"/>
      <c r="O883" s="50"/>
      <c r="P883" s="50"/>
      <c r="Q883" s="50"/>
      <c r="R883" s="50"/>
      <c r="S883" s="50"/>
      <c r="T883" s="50"/>
      <c r="U883" s="50"/>
      <c r="V883" s="50"/>
      <c r="W883" s="50"/>
      <c r="X883" s="50"/>
      <c r="Y883" s="50"/>
      <c r="Z883" s="50"/>
      <c r="AA883" s="50"/>
      <c r="AB883" s="50"/>
    </row>
    <row r="884" customFormat="false" ht="15.75" hidden="false" customHeight="false" outlineLevel="0" collapsed="false">
      <c r="A884" s="50"/>
      <c r="B884" s="50"/>
      <c r="C884" s="5"/>
      <c r="D884" s="48"/>
      <c r="E884" s="50"/>
      <c r="F884" s="5"/>
      <c r="G884" s="5"/>
      <c r="H884" s="5"/>
      <c r="I884" s="5"/>
      <c r="J884" s="5"/>
      <c r="K884" s="50"/>
      <c r="L884" s="50"/>
      <c r="M884" s="50"/>
      <c r="N884" s="50"/>
      <c r="O884" s="50"/>
      <c r="P884" s="50"/>
      <c r="Q884" s="50"/>
      <c r="R884" s="50"/>
      <c r="S884" s="50"/>
      <c r="T884" s="50"/>
      <c r="U884" s="50"/>
      <c r="V884" s="50"/>
      <c r="W884" s="50"/>
      <c r="X884" s="50"/>
      <c r="Y884" s="50"/>
      <c r="Z884" s="50"/>
      <c r="AA884" s="50"/>
      <c r="AB884" s="50"/>
    </row>
    <row r="885" customFormat="false" ht="15.75" hidden="false" customHeight="false" outlineLevel="0" collapsed="false">
      <c r="A885" s="50"/>
      <c r="B885" s="50"/>
      <c r="C885" s="5"/>
      <c r="D885" s="48"/>
      <c r="E885" s="50"/>
      <c r="F885" s="5"/>
      <c r="G885" s="5"/>
      <c r="H885" s="5"/>
      <c r="I885" s="5"/>
      <c r="J885" s="5"/>
      <c r="K885" s="50"/>
      <c r="L885" s="50"/>
      <c r="M885" s="50"/>
      <c r="N885" s="50"/>
      <c r="O885" s="50"/>
      <c r="P885" s="50"/>
      <c r="Q885" s="50"/>
      <c r="R885" s="50"/>
      <c r="S885" s="50"/>
      <c r="T885" s="50"/>
      <c r="U885" s="50"/>
      <c r="V885" s="50"/>
      <c r="W885" s="50"/>
      <c r="X885" s="50"/>
      <c r="Y885" s="50"/>
      <c r="Z885" s="50"/>
      <c r="AA885" s="50"/>
      <c r="AB885" s="50"/>
    </row>
    <row r="886" customFormat="false" ht="15.75" hidden="false" customHeight="false" outlineLevel="0" collapsed="false">
      <c r="A886" s="50"/>
      <c r="B886" s="50"/>
      <c r="C886" s="5"/>
      <c r="D886" s="48"/>
      <c r="E886" s="50"/>
      <c r="F886" s="5"/>
      <c r="G886" s="5"/>
      <c r="H886" s="5"/>
      <c r="I886" s="5"/>
      <c r="J886" s="5"/>
      <c r="K886" s="50"/>
      <c r="L886" s="50"/>
      <c r="M886" s="50"/>
      <c r="N886" s="50"/>
      <c r="O886" s="50"/>
      <c r="P886" s="50"/>
      <c r="Q886" s="50"/>
      <c r="R886" s="50"/>
      <c r="S886" s="50"/>
      <c r="T886" s="50"/>
      <c r="U886" s="50"/>
      <c r="V886" s="50"/>
      <c r="W886" s="50"/>
      <c r="X886" s="50"/>
      <c r="Y886" s="50"/>
      <c r="Z886" s="50"/>
      <c r="AA886" s="50"/>
      <c r="AB886" s="50"/>
    </row>
    <row r="887" customFormat="false" ht="15.75" hidden="false" customHeight="false" outlineLevel="0" collapsed="false">
      <c r="A887" s="50"/>
      <c r="B887" s="50"/>
      <c r="C887" s="5"/>
      <c r="D887" s="48"/>
      <c r="E887" s="50"/>
      <c r="F887" s="5"/>
      <c r="G887" s="5"/>
      <c r="H887" s="5"/>
      <c r="I887" s="5"/>
      <c r="J887" s="5"/>
      <c r="K887" s="50"/>
      <c r="L887" s="50"/>
      <c r="M887" s="50"/>
      <c r="N887" s="50"/>
      <c r="O887" s="50"/>
      <c r="P887" s="50"/>
      <c r="Q887" s="50"/>
      <c r="R887" s="50"/>
      <c r="S887" s="50"/>
      <c r="T887" s="50"/>
      <c r="U887" s="50"/>
      <c r="V887" s="50"/>
      <c r="W887" s="50"/>
      <c r="X887" s="50"/>
      <c r="Y887" s="50"/>
      <c r="Z887" s="50"/>
      <c r="AA887" s="50"/>
      <c r="AB887" s="50"/>
    </row>
    <row r="888" customFormat="false" ht="15.75" hidden="false" customHeight="false" outlineLevel="0" collapsed="false">
      <c r="A888" s="50"/>
      <c r="B888" s="50"/>
      <c r="C888" s="5"/>
      <c r="D888" s="48"/>
      <c r="E888" s="50"/>
      <c r="F888" s="5"/>
      <c r="G888" s="5"/>
      <c r="H888" s="5"/>
      <c r="I888" s="5"/>
      <c r="J888" s="5"/>
      <c r="K888" s="50"/>
      <c r="L888" s="50"/>
      <c r="M888" s="50"/>
      <c r="N888" s="50"/>
      <c r="O888" s="50"/>
      <c r="P888" s="50"/>
      <c r="Q888" s="50"/>
      <c r="R888" s="50"/>
      <c r="S888" s="50"/>
      <c r="T888" s="50"/>
      <c r="U888" s="50"/>
      <c r="V888" s="50"/>
      <c r="W888" s="50"/>
      <c r="X888" s="50"/>
      <c r="Y888" s="50"/>
      <c r="Z888" s="50"/>
      <c r="AA888" s="50"/>
      <c r="AB888" s="50"/>
    </row>
    <row r="889" customFormat="false" ht="15.75" hidden="false" customHeight="false" outlineLevel="0" collapsed="false">
      <c r="A889" s="50"/>
      <c r="B889" s="50"/>
      <c r="C889" s="5"/>
      <c r="D889" s="48"/>
      <c r="E889" s="50"/>
      <c r="F889" s="5"/>
      <c r="G889" s="5"/>
      <c r="H889" s="5"/>
      <c r="I889" s="5"/>
      <c r="J889" s="5"/>
      <c r="K889" s="50"/>
      <c r="L889" s="50"/>
      <c r="M889" s="50"/>
      <c r="N889" s="50"/>
      <c r="O889" s="50"/>
      <c r="P889" s="50"/>
      <c r="Q889" s="50"/>
      <c r="R889" s="50"/>
      <c r="S889" s="50"/>
      <c r="T889" s="50"/>
      <c r="U889" s="50"/>
      <c r="V889" s="50"/>
      <c r="W889" s="50"/>
      <c r="X889" s="50"/>
      <c r="Y889" s="50"/>
      <c r="Z889" s="50"/>
      <c r="AA889" s="50"/>
      <c r="AB889" s="50"/>
    </row>
    <row r="890" customFormat="false" ht="15.75" hidden="false" customHeight="false" outlineLevel="0" collapsed="false">
      <c r="A890" s="50"/>
      <c r="B890" s="50"/>
      <c r="C890" s="5"/>
      <c r="D890" s="48"/>
      <c r="E890" s="50"/>
      <c r="F890" s="5"/>
      <c r="G890" s="5"/>
      <c r="H890" s="5"/>
      <c r="I890" s="5"/>
      <c r="J890" s="5"/>
      <c r="K890" s="50"/>
      <c r="L890" s="50"/>
      <c r="M890" s="50"/>
      <c r="N890" s="50"/>
      <c r="O890" s="50"/>
      <c r="P890" s="50"/>
      <c r="Q890" s="50"/>
      <c r="R890" s="50"/>
      <c r="S890" s="50"/>
      <c r="T890" s="50"/>
      <c r="U890" s="50"/>
      <c r="V890" s="50"/>
      <c r="W890" s="50"/>
      <c r="X890" s="50"/>
      <c r="Y890" s="50"/>
      <c r="Z890" s="50"/>
      <c r="AA890" s="50"/>
      <c r="AB890" s="50"/>
    </row>
    <row r="891" customFormat="false" ht="15.75" hidden="false" customHeight="false" outlineLevel="0" collapsed="false">
      <c r="A891" s="50"/>
      <c r="B891" s="50"/>
      <c r="C891" s="5"/>
      <c r="D891" s="48"/>
      <c r="E891" s="50"/>
      <c r="F891" s="5"/>
      <c r="G891" s="5"/>
      <c r="H891" s="5"/>
      <c r="I891" s="5"/>
      <c r="J891" s="5"/>
      <c r="K891" s="50"/>
      <c r="L891" s="50"/>
      <c r="M891" s="50"/>
      <c r="N891" s="50"/>
      <c r="O891" s="50"/>
      <c r="P891" s="50"/>
      <c r="Q891" s="50"/>
      <c r="R891" s="50"/>
      <c r="S891" s="50"/>
      <c r="T891" s="50"/>
      <c r="U891" s="50"/>
      <c r="V891" s="50"/>
      <c r="W891" s="50"/>
      <c r="X891" s="50"/>
      <c r="Y891" s="50"/>
      <c r="Z891" s="50"/>
      <c r="AA891" s="50"/>
      <c r="AB891" s="50"/>
    </row>
    <row r="892" customFormat="false" ht="15.75" hidden="false" customHeight="false" outlineLevel="0" collapsed="false">
      <c r="A892" s="50"/>
      <c r="B892" s="50"/>
      <c r="C892" s="5"/>
      <c r="D892" s="48"/>
      <c r="E892" s="50"/>
      <c r="F892" s="5"/>
      <c r="G892" s="5"/>
      <c r="H892" s="5"/>
      <c r="I892" s="5"/>
      <c r="J892" s="5"/>
      <c r="K892" s="50"/>
      <c r="L892" s="50"/>
      <c r="M892" s="50"/>
      <c r="N892" s="50"/>
      <c r="O892" s="50"/>
      <c r="P892" s="50"/>
      <c r="Q892" s="50"/>
      <c r="R892" s="50"/>
      <c r="S892" s="50"/>
      <c r="T892" s="50"/>
      <c r="U892" s="50"/>
      <c r="V892" s="50"/>
      <c r="W892" s="50"/>
      <c r="X892" s="50"/>
      <c r="Y892" s="50"/>
      <c r="Z892" s="50"/>
      <c r="AA892" s="50"/>
      <c r="AB892" s="50"/>
    </row>
    <row r="893" customFormat="false" ht="15.75" hidden="false" customHeight="false" outlineLevel="0" collapsed="false">
      <c r="A893" s="50"/>
      <c r="B893" s="50"/>
      <c r="C893" s="5"/>
      <c r="D893" s="48"/>
      <c r="E893" s="50"/>
      <c r="F893" s="5"/>
      <c r="G893" s="5"/>
      <c r="H893" s="5"/>
      <c r="I893" s="5"/>
      <c r="J893" s="5"/>
      <c r="K893" s="50"/>
      <c r="L893" s="50"/>
      <c r="M893" s="50"/>
      <c r="N893" s="50"/>
      <c r="O893" s="50"/>
      <c r="P893" s="50"/>
      <c r="Q893" s="50"/>
      <c r="R893" s="50"/>
      <c r="S893" s="50"/>
      <c r="T893" s="50"/>
      <c r="U893" s="50"/>
      <c r="V893" s="50"/>
      <c r="W893" s="50"/>
      <c r="X893" s="50"/>
      <c r="Y893" s="50"/>
      <c r="Z893" s="50"/>
      <c r="AA893" s="50"/>
      <c r="AB893" s="50"/>
    </row>
    <row r="894" customFormat="false" ht="15.75" hidden="false" customHeight="false" outlineLevel="0" collapsed="false">
      <c r="A894" s="50"/>
      <c r="B894" s="50"/>
      <c r="C894" s="5"/>
      <c r="D894" s="48"/>
      <c r="E894" s="50"/>
      <c r="F894" s="5"/>
      <c r="G894" s="5"/>
      <c r="H894" s="5"/>
      <c r="I894" s="5"/>
      <c r="J894" s="5"/>
      <c r="K894" s="50"/>
      <c r="L894" s="50"/>
      <c r="M894" s="50"/>
      <c r="N894" s="50"/>
      <c r="O894" s="50"/>
      <c r="P894" s="50"/>
      <c r="Q894" s="50"/>
      <c r="R894" s="50"/>
      <c r="S894" s="50"/>
      <c r="T894" s="50"/>
      <c r="U894" s="50"/>
      <c r="V894" s="50"/>
      <c r="W894" s="50"/>
      <c r="X894" s="50"/>
      <c r="Y894" s="50"/>
      <c r="Z894" s="50"/>
      <c r="AA894" s="50"/>
      <c r="AB894" s="50"/>
    </row>
    <row r="895" customFormat="false" ht="15.75" hidden="false" customHeight="false" outlineLevel="0" collapsed="false">
      <c r="A895" s="50"/>
      <c r="B895" s="50"/>
      <c r="C895" s="5"/>
      <c r="D895" s="48"/>
      <c r="E895" s="50"/>
      <c r="F895" s="5"/>
      <c r="G895" s="5"/>
      <c r="H895" s="5"/>
      <c r="I895" s="5"/>
      <c r="J895" s="5"/>
      <c r="K895" s="50"/>
      <c r="L895" s="50"/>
      <c r="M895" s="50"/>
      <c r="N895" s="50"/>
      <c r="O895" s="50"/>
      <c r="P895" s="50"/>
      <c r="Q895" s="50"/>
      <c r="R895" s="50"/>
      <c r="S895" s="50"/>
      <c r="T895" s="50"/>
      <c r="U895" s="50"/>
      <c r="V895" s="50"/>
      <c r="W895" s="50"/>
      <c r="X895" s="50"/>
      <c r="Y895" s="50"/>
      <c r="Z895" s="50"/>
      <c r="AA895" s="50"/>
      <c r="AB895" s="50"/>
    </row>
    <row r="896" customFormat="false" ht="15.75" hidden="false" customHeight="false" outlineLevel="0" collapsed="false">
      <c r="A896" s="50"/>
      <c r="B896" s="50"/>
      <c r="C896" s="5"/>
      <c r="D896" s="48"/>
      <c r="E896" s="50"/>
      <c r="F896" s="5"/>
      <c r="G896" s="5"/>
      <c r="H896" s="5"/>
      <c r="I896" s="5"/>
      <c r="J896" s="5"/>
      <c r="K896" s="50"/>
      <c r="L896" s="50"/>
      <c r="M896" s="50"/>
      <c r="N896" s="50"/>
      <c r="O896" s="50"/>
      <c r="P896" s="50"/>
      <c r="Q896" s="50"/>
      <c r="R896" s="50"/>
      <c r="S896" s="50"/>
      <c r="T896" s="50"/>
      <c r="U896" s="50"/>
      <c r="V896" s="50"/>
      <c r="W896" s="50"/>
      <c r="X896" s="50"/>
      <c r="Y896" s="50"/>
      <c r="Z896" s="50"/>
      <c r="AA896" s="50"/>
      <c r="AB896" s="50"/>
    </row>
    <row r="897" customFormat="false" ht="15.75" hidden="false" customHeight="false" outlineLevel="0" collapsed="false">
      <c r="A897" s="50"/>
      <c r="B897" s="50"/>
      <c r="C897" s="5"/>
      <c r="D897" s="48"/>
      <c r="E897" s="50"/>
      <c r="F897" s="5"/>
      <c r="G897" s="5"/>
      <c r="H897" s="5"/>
      <c r="I897" s="5"/>
      <c r="J897" s="5"/>
      <c r="K897" s="50"/>
      <c r="L897" s="50"/>
      <c r="M897" s="50"/>
      <c r="N897" s="50"/>
      <c r="O897" s="50"/>
      <c r="P897" s="50"/>
      <c r="Q897" s="50"/>
      <c r="R897" s="50"/>
      <c r="S897" s="50"/>
      <c r="T897" s="50"/>
      <c r="U897" s="50"/>
      <c r="V897" s="50"/>
      <c r="W897" s="50"/>
      <c r="X897" s="50"/>
      <c r="Y897" s="50"/>
      <c r="Z897" s="50"/>
      <c r="AA897" s="50"/>
      <c r="AB897" s="50"/>
    </row>
    <row r="898" customFormat="false" ht="15.75" hidden="false" customHeight="false" outlineLevel="0" collapsed="false">
      <c r="A898" s="50"/>
      <c r="B898" s="50"/>
      <c r="C898" s="5"/>
      <c r="D898" s="48"/>
      <c r="E898" s="50"/>
      <c r="F898" s="5"/>
      <c r="G898" s="5"/>
      <c r="H898" s="5"/>
      <c r="I898" s="5"/>
      <c r="J898" s="5"/>
      <c r="K898" s="50"/>
      <c r="L898" s="50"/>
      <c r="M898" s="50"/>
      <c r="N898" s="50"/>
      <c r="O898" s="50"/>
      <c r="P898" s="50"/>
      <c r="Q898" s="50"/>
      <c r="R898" s="50"/>
      <c r="S898" s="50"/>
      <c r="T898" s="50"/>
      <c r="U898" s="50"/>
      <c r="V898" s="50"/>
      <c r="W898" s="50"/>
      <c r="X898" s="50"/>
      <c r="Y898" s="50"/>
      <c r="Z898" s="50"/>
      <c r="AA898" s="50"/>
      <c r="AB898" s="50"/>
    </row>
    <row r="899" customFormat="false" ht="15.75" hidden="false" customHeight="false" outlineLevel="0" collapsed="false">
      <c r="A899" s="50"/>
      <c r="B899" s="50"/>
      <c r="C899" s="5"/>
      <c r="D899" s="48"/>
      <c r="E899" s="50"/>
      <c r="F899" s="5"/>
      <c r="G899" s="5"/>
      <c r="H899" s="5"/>
      <c r="I899" s="5"/>
      <c r="J899" s="5"/>
      <c r="K899" s="50"/>
      <c r="L899" s="50"/>
      <c r="M899" s="50"/>
      <c r="N899" s="50"/>
      <c r="O899" s="50"/>
      <c r="P899" s="50"/>
      <c r="Q899" s="50"/>
      <c r="R899" s="50"/>
      <c r="S899" s="50"/>
      <c r="T899" s="50"/>
      <c r="U899" s="50"/>
      <c r="V899" s="50"/>
      <c r="W899" s="50"/>
      <c r="X899" s="50"/>
      <c r="Y899" s="50"/>
      <c r="Z899" s="50"/>
      <c r="AA899" s="50"/>
      <c r="AB899" s="50"/>
    </row>
    <row r="900" customFormat="false" ht="15.75" hidden="false" customHeight="false" outlineLevel="0" collapsed="false">
      <c r="A900" s="50"/>
      <c r="B900" s="50"/>
      <c r="C900" s="5"/>
      <c r="D900" s="48"/>
      <c r="E900" s="50"/>
      <c r="F900" s="5"/>
      <c r="G900" s="5"/>
      <c r="H900" s="5"/>
      <c r="I900" s="5"/>
      <c r="J900" s="5"/>
      <c r="K900" s="50"/>
      <c r="L900" s="50"/>
      <c r="M900" s="50"/>
      <c r="N900" s="50"/>
      <c r="O900" s="50"/>
      <c r="P900" s="50"/>
      <c r="Q900" s="50"/>
      <c r="R900" s="50"/>
      <c r="S900" s="50"/>
      <c r="T900" s="50"/>
      <c r="U900" s="50"/>
      <c r="V900" s="50"/>
      <c r="W900" s="50"/>
      <c r="X900" s="50"/>
      <c r="Y900" s="50"/>
      <c r="Z900" s="50"/>
      <c r="AA900" s="50"/>
      <c r="AB900" s="50"/>
    </row>
    <row r="901" customFormat="false" ht="15.75" hidden="false" customHeight="false" outlineLevel="0" collapsed="false">
      <c r="A901" s="50"/>
      <c r="B901" s="50"/>
      <c r="C901" s="5"/>
      <c r="D901" s="48"/>
      <c r="E901" s="50"/>
      <c r="F901" s="5"/>
      <c r="G901" s="5"/>
      <c r="H901" s="5"/>
      <c r="I901" s="5"/>
      <c r="J901" s="5"/>
      <c r="K901" s="50"/>
      <c r="L901" s="50"/>
      <c r="M901" s="50"/>
      <c r="N901" s="50"/>
      <c r="O901" s="50"/>
      <c r="P901" s="50"/>
      <c r="Q901" s="50"/>
      <c r="R901" s="50"/>
      <c r="S901" s="50"/>
      <c r="T901" s="50"/>
      <c r="U901" s="50"/>
      <c r="V901" s="50"/>
      <c r="W901" s="50"/>
      <c r="X901" s="50"/>
      <c r="Y901" s="50"/>
      <c r="Z901" s="50"/>
      <c r="AA901" s="50"/>
      <c r="AB901" s="50"/>
    </row>
    <row r="902" customFormat="false" ht="15.75" hidden="false" customHeight="false" outlineLevel="0" collapsed="false">
      <c r="A902" s="50"/>
      <c r="B902" s="50"/>
      <c r="C902" s="5"/>
      <c r="D902" s="48"/>
      <c r="E902" s="50"/>
      <c r="F902" s="5"/>
      <c r="G902" s="5"/>
      <c r="H902" s="5"/>
      <c r="I902" s="5"/>
      <c r="J902" s="5"/>
      <c r="K902" s="50"/>
      <c r="L902" s="50"/>
      <c r="M902" s="50"/>
      <c r="N902" s="50"/>
      <c r="O902" s="50"/>
      <c r="P902" s="50"/>
      <c r="Q902" s="50"/>
      <c r="R902" s="50"/>
      <c r="S902" s="50"/>
      <c r="T902" s="50"/>
      <c r="U902" s="50"/>
      <c r="V902" s="50"/>
      <c r="W902" s="50"/>
      <c r="X902" s="50"/>
      <c r="Y902" s="50"/>
      <c r="Z902" s="50"/>
      <c r="AA902" s="50"/>
      <c r="AB902" s="50"/>
    </row>
    <row r="903" customFormat="false" ht="15.75" hidden="false" customHeight="false" outlineLevel="0" collapsed="false">
      <c r="A903" s="50"/>
      <c r="B903" s="50"/>
      <c r="C903" s="5"/>
      <c r="D903" s="48"/>
      <c r="E903" s="50"/>
      <c r="F903" s="5"/>
      <c r="G903" s="5"/>
      <c r="H903" s="5"/>
      <c r="I903" s="5"/>
      <c r="J903" s="5"/>
      <c r="K903" s="50"/>
      <c r="L903" s="50"/>
      <c r="M903" s="50"/>
      <c r="N903" s="50"/>
      <c r="O903" s="50"/>
      <c r="P903" s="50"/>
      <c r="Q903" s="50"/>
      <c r="R903" s="50"/>
      <c r="S903" s="50"/>
      <c r="T903" s="50"/>
      <c r="U903" s="50"/>
      <c r="V903" s="50"/>
      <c r="W903" s="50"/>
      <c r="X903" s="50"/>
      <c r="Y903" s="50"/>
      <c r="Z903" s="50"/>
      <c r="AA903" s="50"/>
      <c r="AB903" s="50"/>
    </row>
    <row r="904" customFormat="false" ht="15.75" hidden="false" customHeight="false" outlineLevel="0" collapsed="false">
      <c r="A904" s="50"/>
      <c r="B904" s="50"/>
      <c r="C904" s="5"/>
      <c r="D904" s="48"/>
      <c r="E904" s="50"/>
      <c r="F904" s="5"/>
      <c r="G904" s="5"/>
      <c r="H904" s="5"/>
      <c r="I904" s="5"/>
      <c r="J904" s="5"/>
      <c r="K904" s="50"/>
      <c r="L904" s="50"/>
      <c r="M904" s="50"/>
      <c r="N904" s="50"/>
      <c r="O904" s="50"/>
      <c r="P904" s="50"/>
      <c r="Q904" s="50"/>
      <c r="R904" s="50"/>
      <c r="S904" s="50"/>
      <c r="T904" s="50"/>
      <c r="U904" s="50"/>
      <c r="V904" s="50"/>
      <c r="W904" s="50"/>
      <c r="X904" s="50"/>
      <c r="Y904" s="50"/>
      <c r="Z904" s="50"/>
      <c r="AA904" s="50"/>
      <c r="AB904" s="50"/>
    </row>
    <row r="905" customFormat="false" ht="15.75" hidden="false" customHeight="false" outlineLevel="0" collapsed="false">
      <c r="A905" s="50"/>
      <c r="B905" s="50"/>
      <c r="C905" s="5"/>
      <c r="D905" s="48"/>
      <c r="E905" s="50"/>
      <c r="F905" s="5"/>
      <c r="G905" s="5"/>
      <c r="H905" s="5"/>
      <c r="I905" s="5"/>
      <c r="J905" s="5"/>
      <c r="K905" s="50"/>
      <c r="L905" s="50"/>
      <c r="M905" s="50"/>
      <c r="N905" s="50"/>
      <c r="O905" s="50"/>
      <c r="P905" s="50"/>
      <c r="Q905" s="50"/>
      <c r="R905" s="50"/>
      <c r="S905" s="50"/>
      <c r="T905" s="50"/>
      <c r="U905" s="50"/>
      <c r="V905" s="50"/>
      <c r="W905" s="50"/>
      <c r="X905" s="50"/>
      <c r="Y905" s="50"/>
      <c r="Z905" s="50"/>
      <c r="AA905" s="50"/>
      <c r="AB905" s="50"/>
    </row>
    <row r="906" customFormat="false" ht="15.75" hidden="false" customHeight="false" outlineLevel="0" collapsed="false">
      <c r="A906" s="50"/>
      <c r="B906" s="50"/>
      <c r="C906" s="5"/>
      <c r="D906" s="48"/>
      <c r="E906" s="50"/>
      <c r="F906" s="5"/>
      <c r="G906" s="5"/>
      <c r="H906" s="5"/>
      <c r="I906" s="5"/>
      <c r="J906" s="5"/>
      <c r="K906" s="50"/>
      <c r="L906" s="50"/>
      <c r="M906" s="50"/>
      <c r="N906" s="50"/>
      <c r="O906" s="50"/>
      <c r="P906" s="50"/>
      <c r="Q906" s="50"/>
      <c r="R906" s="50"/>
      <c r="S906" s="50"/>
      <c r="T906" s="50"/>
      <c r="U906" s="50"/>
      <c r="V906" s="50"/>
      <c r="W906" s="50"/>
      <c r="X906" s="50"/>
      <c r="Y906" s="50"/>
      <c r="Z906" s="50"/>
      <c r="AA906" s="50"/>
      <c r="AB906" s="50"/>
    </row>
    <row r="907" customFormat="false" ht="15.75" hidden="false" customHeight="false" outlineLevel="0" collapsed="false">
      <c r="A907" s="50"/>
      <c r="B907" s="50"/>
      <c r="C907" s="5"/>
      <c r="D907" s="48"/>
      <c r="E907" s="50"/>
      <c r="F907" s="5"/>
      <c r="G907" s="5"/>
      <c r="H907" s="5"/>
      <c r="I907" s="5"/>
      <c r="J907" s="5"/>
      <c r="K907" s="50"/>
      <c r="L907" s="50"/>
      <c r="M907" s="50"/>
      <c r="N907" s="50"/>
      <c r="O907" s="50"/>
      <c r="P907" s="50"/>
      <c r="Q907" s="50"/>
      <c r="R907" s="50"/>
      <c r="S907" s="50"/>
      <c r="T907" s="50"/>
      <c r="U907" s="50"/>
      <c r="V907" s="50"/>
      <c r="W907" s="50"/>
      <c r="X907" s="50"/>
      <c r="Y907" s="50"/>
      <c r="Z907" s="50"/>
      <c r="AA907" s="50"/>
      <c r="AB907" s="50"/>
    </row>
    <row r="908" customFormat="false" ht="15.75" hidden="false" customHeight="false" outlineLevel="0" collapsed="false">
      <c r="A908" s="50"/>
      <c r="B908" s="50"/>
      <c r="C908" s="5"/>
      <c r="D908" s="48"/>
      <c r="E908" s="50"/>
      <c r="F908" s="5"/>
      <c r="G908" s="5"/>
      <c r="H908" s="5"/>
      <c r="I908" s="5"/>
      <c r="J908" s="5"/>
      <c r="K908" s="50"/>
      <c r="L908" s="50"/>
      <c r="M908" s="50"/>
      <c r="N908" s="50"/>
      <c r="O908" s="50"/>
      <c r="P908" s="50"/>
      <c r="Q908" s="50"/>
      <c r="R908" s="50"/>
      <c r="S908" s="50"/>
      <c r="T908" s="50"/>
      <c r="U908" s="50"/>
      <c r="V908" s="50"/>
      <c r="W908" s="50"/>
      <c r="X908" s="50"/>
      <c r="Y908" s="50"/>
      <c r="Z908" s="50"/>
      <c r="AA908" s="50"/>
      <c r="AB908" s="50"/>
    </row>
    <row r="909" customFormat="false" ht="15.75" hidden="false" customHeight="false" outlineLevel="0" collapsed="false">
      <c r="A909" s="50"/>
      <c r="B909" s="50"/>
      <c r="C909" s="5"/>
      <c r="D909" s="48"/>
      <c r="E909" s="50"/>
      <c r="F909" s="5"/>
      <c r="G909" s="5"/>
      <c r="H909" s="5"/>
      <c r="I909" s="5"/>
      <c r="J909" s="5"/>
      <c r="K909" s="50"/>
      <c r="L909" s="50"/>
      <c r="M909" s="50"/>
      <c r="N909" s="50"/>
      <c r="O909" s="50"/>
      <c r="P909" s="50"/>
      <c r="Q909" s="50"/>
      <c r="R909" s="50"/>
      <c r="S909" s="50"/>
      <c r="T909" s="50"/>
      <c r="U909" s="50"/>
      <c r="V909" s="50"/>
      <c r="W909" s="50"/>
      <c r="X909" s="50"/>
      <c r="Y909" s="50"/>
      <c r="Z909" s="50"/>
      <c r="AA909" s="50"/>
      <c r="AB909" s="50"/>
    </row>
    <row r="910" customFormat="false" ht="15.75" hidden="false" customHeight="false" outlineLevel="0" collapsed="false">
      <c r="A910" s="50"/>
      <c r="B910" s="50"/>
      <c r="C910" s="5"/>
      <c r="D910" s="48"/>
      <c r="E910" s="50"/>
      <c r="F910" s="5"/>
      <c r="G910" s="5"/>
      <c r="H910" s="5"/>
      <c r="I910" s="5"/>
      <c r="J910" s="5"/>
      <c r="K910" s="50"/>
      <c r="L910" s="50"/>
      <c r="M910" s="50"/>
      <c r="N910" s="50"/>
      <c r="O910" s="50"/>
      <c r="P910" s="50"/>
      <c r="Q910" s="50"/>
      <c r="R910" s="50"/>
      <c r="S910" s="50"/>
      <c r="T910" s="50"/>
      <c r="U910" s="50"/>
      <c r="V910" s="50"/>
      <c r="W910" s="50"/>
      <c r="X910" s="50"/>
      <c r="Y910" s="50"/>
      <c r="Z910" s="50"/>
      <c r="AA910" s="50"/>
      <c r="AB910" s="50"/>
    </row>
    <row r="911" customFormat="false" ht="15.75" hidden="false" customHeight="false" outlineLevel="0" collapsed="false">
      <c r="A911" s="50"/>
      <c r="B911" s="50"/>
      <c r="C911" s="5"/>
      <c r="D911" s="48"/>
      <c r="E911" s="50"/>
      <c r="F911" s="5"/>
      <c r="G911" s="5"/>
      <c r="H911" s="5"/>
      <c r="I911" s="5"/>
      <c r="J911" s="5"/>
      <c r="K911" s="50"/>
      <c r="L911" s="50"/>
      <c r="M911" s="50"/>
      <c r="N911" s="50"/>
      <c r="O911" s="50"/>
      <c r="P911" s="50"/>
      <c r="Q911" s="50"/>
      <c r="R911" s="50"/>
      <c r="S911" s="50"/>
      <c r="T911" s="50"/>
      <c r="U911" s="50"/>
      <c r="V911" s="50"/>
      <c r="W911" s="50"/>
      <c r="X911" s="50"/>
      <c r="Y911" s="50"/>
      <c r="Z911" s="50"/>
      <c r="AA911" s="50"/>
      <c r="AB911" s="50"/>
    </row>
    <row r="912" customFormat="false" ht="15.75" hidden="false" customHeight="false" outlineLevel="0" collapsed="false">
      <c r="A912" s="50"/>
      <c r="B912" s="50"/>
      <c r="C912" s="5"/>
      <c r="D912" s="48"/>
      <c r="E912" s="50"/>
      <c r="F912" s="5"/>
      <c r="G912" s="5"/>
      <c r="H912" s="5"/>
      <c r="I912" s="5"/>
      <c r="J912" s="5"/>
      <c r="K912" s="50"/>
      <c r="L912" s="50"/>
      <c r="M912" s="50"/>
      <c r="N912" s="50"/>
      <c r="O912" s="50"/>
      <c r="P912" s="50"/>
      <c r="Q912" s="50"/>
      <c r="R912" s="50"/>
      <c r="S912" s="50"/>
      <c r="T912" s="50"/>
      <c r="U912" s="50"/>
      <c r="V912" s="50"/>
      <c r="W912" s="50"/>
      <c r="X912" s="50"/>
      <c r="Y912" s="50"/>
      <c r="Z912" s="50"/>
      <c r="AA912" s="50"/>
      <c r="AB912" s="50"/>
    </row>
    <row r="913" customFormat="false" ht="15.75" hidden="false" customHeight="false" outlineLevel="0" collapsed="false">
      <c r="A913" s="50"/>
      <c r="B913" s="50"/>
      <c r="C913" s="5"/>
      <c r="D913" s="48"/>
      <c r="E913" s="50"/>
      <c r="F913" s="5"/>
      <c r="G913" s="5"/>
      <c r="H913" s="5"/>
      <c r="I913" s="5"/>
      <c r="J913" s="5"/>
      <c r="K913" s="50"/>
      <c r="L913" s="50"/>
      <c r="M913" s="50"/>
      <c r="N913" s="50"/>
      <c r="O913" s="50"/>
      <c r="P913" s="50"/>
      <c r="Q913" s="50"/>
      <c r="R913" s="50"/>
      <c r="S913" s="50"/>
      <c r="T913" s="50"/>
      <c r="U913" s="50"/>
      <c r="V913" s="50"/>
      <c r="W913" s="50"/>
      <c r="X913" s="50"/>
      <c r="Y913" s="50"/>
      <c r="Z913" s="50"/>
      <c r="AA913" s="50"/>
      <c r="AB913" s="50"/>
    </row>
    <row r="914" customFormat="false" ht="15.75" hidden="false" customHeight="false" outlineLevel="0" collapsed="false">
      <c r="A914" s="50"/>
      <c r="B914" s="50"/>
      <c r="C914" s="5"/>
      <c r="D914" s="48"/>
      <c r="E914" s="50"/>
      <c r="F914" s="5"/>
      <c r="G914" s="5"/>
      <c r="H914" s="5"/>
      <c r="I914" s="5"/>
      <c r="J914" s="5"/>
      <c r="K914" s="50"/>
      <c r="L914" s="50"/>
      <c r="M914" s="50"/>
      <c r="N914" s="50"/>
      <c r="O914" s="50"/>
      <c r="P914" s="50"/>
      <c r="Q914" s="50"/>
      <c r="R914" s="50"/>
      <c r="S914" s="50"/>
      <c r="T914" s="50"/>
      <c r="U914" s="50"/>
      <c r="V914" s="50"/>
      <c r="W914" s="50"/>
      <c r="X914" s="50"/>
      <c r="Y914" s="50"/>
      <c r="Z914" s="50"/>
      <c r="AA914" s="50"/>
      <c r="AB914" s="50"/>
    </row>
    <row r="915" customFormat="false" ht="15.75" hidden="false" customHeight="false" outlineLevel="0" collapsed="false">
      <c r="A915" s="50"/>
      <c r="B915" s="50"/>
      <c r="C915" s="5"/>
      <c r="D915" s="48"/>
      <c r="E915" s="50"/>
      <c r="F915" s="5"/>
      <c r="G915" s="5"/>
      <c r="H915" s="5"/>
      <c r="I915" s="5"/>
      <c r="J915" s="5"/>
      <c r="K915" s="50"/>
      <c r="L915" s="50"/>
      <c r="M915" s="50"/>
      <c r="N915" s="50"/>
      <c r="O915" s="50"/>
      <c r="P915" s="50"/>
      <c r="Q915" s="50"/>
      <c r="R915" s="50"/>
      <c r="S915" s="50"/>
      <c r="T915" s="50"/>
      <c r="U915" s="50"/>
      <c r="V915" s="50"/>
      <c r="W915" s="50"/>
      <c r="X915" s="50"/>
      <c r="Y915" s="50"/>
      <c r="Z915" s="50"/>
      <c r="AA915" s="50"/>
      <c r="AB915" s="50"/>
    </row>
    <row r="916" customFormat="false" ht="15.75" hidden="false" customHeight="false" outlineLevel="0" collapsed="false">
      <c r="A916" s="50"/>
      <c r="B916" s="50"/>
      <c r="C916" s="5"/>
      <c r="D916" s="48"/>
      <c r="E916" s="50"/>
      <c r="F916" s="5"/>
      <c r="G916" s="5"/>
      <c r="H916" s="5"/>
      <c r="I916" s="5"/>
      <c r="J916" s="5"/>
      <c r="K916" s="50"/>
      <c r="L916" s="50"/>
      <c r="M916" s="50"/>
      <c r="N916" s="50"/>
      <c r="O916" s="50"/>
      <c r="P916" s="50"/>
      <c r="Q916" s="50"/>
      <c r="R916" s="50"/>
      <c r="S916" s="50"/>
      <c r="T916" s="50"/>
      <c r="U916" s="50"/>
      <c r="V916" s="50"/>
      <c r="W916" s="50"/>
      <c r="X916" s="50"/>
      <c r="Y916" s="50"/>
      <c r="Z916" s="50"/>
      <c r="AA916" s="50"/>
      <c r="AB916" s="50"/>
    </row>
    <row r="917" customFormat="false" ht="15.75" hidden="false" customHeight="false" outlineLevel="0" collapsed="false">
      <c r="A917" s="50"/>
      <c r="B917" s="50"/>
      <c r="C917" s="5"/>
      <c r="D917" s="48"/>
      <c r="E917" s="50"/>
      <c r="F917" s="5"/>
      <c r="G917" s="5"/>
      <c r="H917" s="5"/>
      <c r="I917" s="5"/>
      <c r="J917" s="5"/>
      <c r="K917" s="50"/>
      <c r="L917" s="50"/>
      <c r="M917" s="50"/>
      <c r="N917" s="50"/>
      <c r="O917" s="50"/>
      <c r="P917" s="50"/>
      <c r="Q917" s="50"/>
      <c r="R917" s="50"/>
      <c r="S917" s="50"/>
      <c r="T917" s="50"/>
      <c r="U917" s="50"/>
      <c r="V917" s="50"/>
      <c r="W917" s="50"/>
      <c r="X917" s="50"/>
      <c r="Y917" s="50"/>
      <c r="Z917" s="50"/>
      <c r="AA917" s="50"/>
      <c r="AB917" s="50"/>
    </row>
    <row r="918" customFormat="false" ht="15.75" hidden="false" customHeight="false" outlineLevel="0" collapsed="false">
      <c r="A918" s="50"/>
      <c r="B918" s="50"/>
      <c r="C918" s="5"/>
      <c r="D918" s="48"/>
      <c r="E918" s="50"/>
      <c r="F918" s="5"/>
      <c r="G918" s="5"/>
      <c r="H918" s="5"/>
      <c r="I918" s="5"/>
      <c r="J918" s="5"/>
      <c r="K918" s="50"/>
      <c r="L918" s="50"/>
      <c r="M918" s="50"/>
      <c r="N918" s="50"/>
      <c r="O918" s="50"/>
      <c r="P918" s="50"/>
      <c r="Q918" s="50"/>
      <c r="R918" s="50"/>
      <c r="S918" s="50"/>
      <c r="T918" s="50"/>
      <c r="U918" s="50"/>
      <c r="V918" s="50"/>
      <c r="W918" s="50"/>
      <c r="X918" s="50"/>
      <c r="Y918" s="50"/>
      <c r="Z918" s="50"/>
      <c r="AA918" s="50"/>
      <c r="AB918" s="50"/>
    </row>
    <row r="919" customFormat="false" ht="15.75" hidden="false" customHeight="false" outlineLevel="0" collapsed="false">
      <c r="A919" s="50"/>
      <c r="B919" s="50"/>
      <c r="C919" s="5"/>
      <c r="D919" s="48"/>
      <c r="E919" s="50"/>
      <c r="F919" s="5"/>
      <c r="G919" s="5"/>
      <c r="H919" s="5"/>
      <c r="I919" s="5"/>
      <c r="J919" s="5"/>
      <c r="K919" s="50"/>
      <c r="L919" s="50"/>
      <c r="M919" s="50"/>
      <c r="N919" s="50"/>
      <c r="O919" s="50"/>
      <c r="P919" s="50"/>
      <c r="Q919" s="50"/>
      <c r="R919" s="50"/>
      <c r="S919" s="50"/>
      <c r="T919" s="50"/>
      <c r="U919" s="50"/>
      <c r="V919" s="50"/>
      <c r="W919" s="50"/>
      <c r="X919" s="50"/>
      <c r="Y919" s="50"/>
      <c r="Z919" s="50"/>
      <c r="AA919" s="50"/>
      <c r="AB919" s="50"/>
    </row>
    <row r="920" customFormat="false" ht="15.75" hidden="false" customHeight="false" outlineLevel="0" collapsed="false">
      <c r="A920" s="50"/>
      <c r="B920" s="50"/>
      <c r="C920" s="5"/>
      <c r="D920" s="48"/>
      <c r="E920" s="50"/>
      <c r="F920" s="5"/>
      <c r="G920" s="5"/>
      <c r="H920" s="5"/>
      <c r="I920" s="5"/>
      <c r="J920" s="5"/>
      <c r="K920" s="50"/>
      <c r="L920" s="50"/>
      <c r="M920" s="50"/>
      <c r="N920" s="50"/>
      <c r="O920" s="50"/>
      <c r="P920" s="50"/>
      <c r="Q920" s="50"/>
      <c r="R920" s="50"/>
      <c r="S920" s="50"/>
      <c r="T920" s="50"/>
      <c r="U920" s="50"/>
      <c r="V920" s="50"/>
      <c r="W920" s="50"/>
      <c r="X920" s="50"/>
      <c r="Y920" s="50"/>
      <c r="Z920" s="50"/>
      <c r="AA920" s="50"/>
      <c r="AB920" s="50"/>
    </row>
    <row r="921" customFormat="false" ht="15.75" hidden="false" customHeight="false" outlineLevel="0" collapsed="false">
      <c r="A921" s="50"/>
      <c r="B921" s="50"/>
      <c r="C921" s="5"/>
      <c r="D921" s="48"/>
      <c r="E921" s="50"/>
      <c r="F921" s="5"/>
      <c r="G921" s="5"/>
      <c r="H921" s="5"/>
      <c r="I921" s="5"/>
      <c r="J921" s="5"/>
      <c r="K921" s="50"/>
      <c r="L921" s="50"/>
      <c r="M921" s="50"/>
      <c r="N921" s="50"/>
      <c r="O921" s="50"/>
      <c r="P921" s="50"/>
      <c r="Q921" s="50"/>
      <c r="R921" s="50"/>
      <c r="S921" s="50"/>
      <c r="T921" s="50"/>
      <c r="U921" s="50"/>
      <c r="V921" s="50"/>
      <c r="W921" s="50"/>
      <c r="X921" s="50"/>
      <c r="Y921" s="50"/>
      <c r="Z921" s="50"/>
      <c r="AA921" s="50"/>
      <c r="AB921" s="50"/>
    </row>
    <row r="922" customFormat="false" ht="15.75" hidden="false" customHeight="false" outlineLevel="0" collapsed="false">
      <c r="A922" s="50"/>
      <c r="B922" s="50"/>
      <c r="C922" s="5"/>
      <c r="D922" s="48"/>
      <c r="E922" s="50"/>
      <c r="F922" s="5"/>
      <c r="G922" s="5"/>
      <c r="H922" s="5"/>
      <c r="I922" s="5"/>
      <c r="J922" s="5"/>
      <c r="K922" s="50"/>
      <c r="L922" s="50"/>
      <c r="M922" s="50"/>
      <c r="N922" s="50"/>
      <c r="O922" s="50"/>
      <c r="P922" s="50"/>
      <c r="Q922" s="50"/>
      <c r="R922" s="50"/>
      <c r="S922" s="50"/>
      <c r="T922" s="50"/>
      <c r="U922" s="50"/>
      <c r="V922" s="50"/>
      <c r="W922" s="50"/>
      <c r="X922" s="50"/>
      <c r="Y922" s="50"/>
      <c r="Z922" s="50"/>
      <c r="AA922" s="50"/>
      <c r="AB922" s="50"/>
    </row>
    <row r="923" customFormat="false" ht="15.75" hidden="false" customHeight="false" outlineLevel="0" collapsed="false">
      <c r="A923" s="50"/>
      <c r="B923" s="50"/>
      <c r="C923" s="5"/>
      <c r="D923" s="48"/>
      <c r="E923" s="50"/>
      <c r="F923" s="5"/>
      <c r="G923" s="5"/>
      <c r="H923" s="5"/>
      <c r="I923" s="5"/>
      <c r="J923" s="5"/>
      <c r="K923" s="50"/>
      <c r="L923" s="50"/>
      <c r="M923" s="50"/>
      <c r="N923" s="50"/>
      <c r="O923" s="50"/>
      <c r="P923" s="50"/>
      <c r="Q923" s="50"/>
      <c r="R923" s="50"/>
      <c r="S923" s="50"/>
      <c r="T923" s="50"/>
      <c r="U923" s="50"/>
      <c r="V923" s="50"/>
      <c r="W923" s="50"/>
      <c r="X923" s="50"/>
      <c r="Y923" s="50"/>
      <c r="Z923" s="50"/>
      <c r="AA923" s="50"/>
      <c r="AB923" s="50"/>
    </row>
    <row r="924" customFormat="false" ht="15.75" hidden="false" customHeight="false" outlineLevel="0" collapsed="false">
      <c r="A924" s="50"/>
      <c r="B924" s="50"/>
      <c r="C924" s="5"/>
      <c r="D924" s="48"/>
      <c r="E924" s="50"/>
      <c r="F924" s="5"/>
      <c r="G924" s="5"/>
      <c r="H924" s="5"/>
      <c r="I924" s="5"/>
      <c r="J924" s="5"/>
      <c r="K924" s="50"/>
      <c r="L924" s="50"/>
      <c r="M924" s="50"/>
      <c r="N924" s="50"/>
      <c r="O924" s="50"/>
      <c r="P924" s="50"/>
      <c r="Q924" s="50"/>
      <c r="R924" s="50"/>
      <c r="S924" s="50"/>
      <c r="T924" s="50"/>
      <c r="U924" s="50"/>
      <c r="V924" s="50"/>
      <c r="W924" s="50"/>
      <c r="X924" s="50"/>
      <c r="Y924" s="50"/>
      <c r="Z924" s="50"/>
      <c r="AA924" s="50"/>
      <c r="AB924" s="50"/>
    </row>
    <row r="925" customFormat="false" ht="15.75" hidden="false" customHeight="false" outlineLevel="0" collapsed="false">
      <c r="A925" s="50"/>
      <c r="B925" s="50"/>
      <c r="C925" s="5"/>
      <c r="D925" s="48"/>
      <c r="E925" s="50"/>
      <c r="F925" s="5"/>
      <c r="G925" s="5"/>
      <c r="H925" s="5"/>
      <c r="I925" s="5"/>
      <c r="J925" s="5"/>
      <c r="K925" s="50"/>
      <c r="L925" s="50"/>
      <c r="M925" s="50"/>
      <c r="N925" s="50"/>
      <c r="O925" s="50"/>
      <c r="P925" s="50"/>
      <c r="Q925" s="50"/>
      <c r="R925" s="50"/>
      <c r="S925" s="50"/>
      <c r="T925" s="50"/>
      <c r="U925" s="50"/>
      <c r="V925" s="50"/>
      <c r="W925" s="50"/>
      <c r="X925" s="50"/>
      <c r="Y925" s="50"/>
      <c r="Z925" s="50"/>
      <c r="AA925" s="50"/>
      <c r="AB925" s="50"/>
    </row>
    <row r="926" customFormat="false" ht="15.75" hidden="false" customHeight="false" outlineLevel="0" collapsed="false">
      <c r="A926" s="50"/>
      <c r="B926" s="50"/>
      <c r="C926" s="5"/>
      <c r="D926" s="48"/>
      <c r="E926" s="50"/>
      <c r="F926" s="5"/>
      <c r="G926" s="5"/>
      <c r="H926" s="5"/>
      <c r="I926" s="5"/>
      <c r="J926" s="5"/>
      <c r="K926" s="50"/>
      <c r="L926" s="50"/>
      <c r="M926" s="50"/>
      <c r="N926" s="50"/>
      <c r="O926" s="50"/>
      <c r="P926" s="50"/>
      <c r="Q926" s="50"/>
      <c r="R926" s="50"/>
      <c r="S926" s="50"/>
      <c r="T926" s="50"/>
      <c r="U926" s="50"/>
      <c r="V926" s="50"/>
      <c r="W926" s="50"/>
      <c r="X926" s="50"/>
      <c r="Y926" s="50"/>
      <c r="Z926" s="50"/>
      <c r="AA926" s="50"/>
      <c r="AB926" s="50"/>
    </row>
    <row r="927" customFormat="false" ht="15.75" hidden="false" customHeight="false" outlineLevel="0" collapsed="false">
      <c r="A927" s="50"/>
      <c r="B927" s="50"/>
      <c r="C927" s="5"/>
      <c r="D927" s="48"/>
      <c r="E927" s="50"/>
      <c r="F927" s="5"/>
      <c r="G927" s="5"/>
      <c r="H927" s="5"/>
      <c r="I927" s="5"/>
      <c r="J927" s="5"/>
      <c r="K927" s="50"/>
      <c r="L927" s="50"/>
      <c r="M927" s="50"/>
      <c r="N927" s="50"/>
      <c r="O927" s="50"/>
      <c r="P927" s="50"/>
      <c r="Q927" s="50"/>
      <c r="R927" s="50"/>
      <c r="S927" s="50"/>
      <c r="T927" s="50"/>
      <c r="U927" s="50"/>
      <c r="V927" s="50"/>
      <c r="W927" s="50"/>
      <c r="X927" s="50"/>
      <c r="Y927" s="50"/>
      <c r="Z927" s="50"/>
      <c r="AA927" s="50"/>
      <c r="AB927" s="50"/>
    </row>
    <row r="928" customFormat="false" ht="15.75" hidden="false" customHeight="false" outlineLevel="0" collapsed="false">
      <c r="A928" s="50"/>
      <c r="B928" s="50"/>
      <c r="C928" s="5"/>
      <c r="D928" s="48"/>
      <c r="E928" s="50"/>
      <c r="F928" s="5"/>
      <c r="G928" s="5"/>
      <c r="H928" s="5"/>
      <c r="I928" s="5"/>
      <c r="J928" s="5"/>
      <c r="K928" s="50"/>
      <c r="L928" s="50"/>
      <c r="M928" s="50"/>
      <c r="N928" s="50"/>
      <c r="O928" s="50"/>
      <c r="P928" s="50"/>
      <c r="Q928" s="50"/>
      <c r="R928" s="50"/>
      <c r="S928" s="50"/>
      <c r="T928" s="50"/>
      <c r="U928" s="50"/>
      <c r="V928" s="50"/>
      <c r="W928" s="50"/>
      <c r="X928" s="50"/>
      <c r="Y928" s="50"/>
      <c r="Z928" s="50"/>
      <c r="AA928" s="50"/>
      <c r="AB928" s="50"/>
    </row>
    <row r="929" customFormat="false" ht="15.75" hidden="false" customHeight="false" outlineLevel="0" collapsed="false">
      <c r="A929" s="50"/>
      <c r="B929" s="50"/>
      <c r="C929" s="5"/>
      <c r="D929" s="48"/>
      <c r="E929" s="50"/>
      <c r="F929" s="5"/>
      <c r="G929" s="5"/>
      <c r="H929" s="5"/>
      <c r="I929" s="5"/>
      <c r="J929" s="5"/>
      <c r="K929" s="50"/>
      <c r="L929" s="50"/>
      <c r="M929" s="50"/>
      <c r="N929" s="50"/>
      <c r="O929" s="50"/>
      <c r="P929" s="50"/>
      <c r="Q929" s="50"/>
      <c r="R929" s="50"/>
      <c r="S929" s="50"/>
      <c r="T929" s="50"/>
      <c r="U929" s="50"/>
      <c r="V929" s="50"/>
      <c r="W929" s="50"/>
      <c r="X929" s="50"/>
      <c r="Y929" s="50"/>
      <c r="Z929" s="50"/>
      <c r="AA929" s="50"/>
      <c r="AB929" s="50"/>
    </row>
    <row r="930" customFormat="false" ht="15.75" hidden="false" customHeight="false" outlineLevel="0" collapsed="false">
      <c r="A930" s="50"/>
      <c r="B930" s="50"/>
      <c r="C930" s="5"/>
      <c r="D930" s="48"/>
      <c r="E930" s="50"/>
      <c r="F930" s="5"/>
      <c r="G930" s="5"/>
      <c r="H930" s="5"/>
      <c r="I930" s="5"/>
      <c r="J930" s="5"/>
      <c r="K930" s="50"/>
      <c r="L930" s="50"/>
      <c r="M930" s="50"/>
      <c r="N930" s="50"/>
      <c r="O930" s="50"/>
      <c r="P930" s="50"/>
      <c r="Q930" s="50"/>
      <c r="R930" s="50"/>
      <c r="S930" s="50"/>
      <c r="T930" s="50"/>
      <c r="U930" s="50"/>
      <c r="V930" s="50"/>
      <c r="W930" s="50"/>
      <c r="X930" s="50"/>
      <c r="Y930" s="50"/>
      <c r="Z930" s="50"/>
      <c r="AA930" s="50"/>
      <c r="AB930" s="50"/>
    </row>
    <row r="931" customFormat="false" ht="15.75" hidden="false" customHeight="false" outlineLevel="0" collapsed="false">
      <c r="A931" s="50"/>
      <c r="B931" s="50"/>
      <c r="C931" s="5"/>
      <c r="D931" s="48"/>
      <c r="E931" s="50"/>
      <c r="F931" s="5"/>
      <c r="G931" s="5"/>
      <c r="H931" s="5"/>
      <c r="I931" s="5"/>
      <c r="J931" s="5"/>
      <c r="K931" s="50"/>
      <c r="L931" s="50"/>
      <c r="M931" s="50"/>
      <c r="N931" s="50"/>
      <c r="O931" s="50"/>
      <c r="P931" s="50"/>
      <c r="Q931" s="50"/>
      <c r="R931" s="50"/>
      <c r="S931" s="50"/>
      <c r="T931" s="50"/>
      <c r="U931" s="50"/>
      <c r="V931" s="50"/>
      <c r="W931" s="50"/>
      <c r="X931" s="50"/>
      <c r="Y931" s="50"/>
      <c r="Z931" s="50"/>
      <c r="AA931" s="50"/>
      <c r="AB931" s="50"/>
    </row>
    <row r="932" customFormat="false" ht="15.75" hidden="false" customHeight="false" outlineLevel="0" collapsed="false">
      <c r="A932" s="50"/>
      <c r="B932" s="50"/>
      <c r="C932" s="5"/>
      <c r="D932" s="48"/>
      <c r="E932" s="50"/>
      <c r="F932" s="5"/>
      <c r="G932" s="5"/>
      <c r="H932" s="5"/>
      <c r="I932" s="5"/>
      <c r="J932" s="5"/>
      <c r="K932" s="50"/>
      <c r="L932" s="50"/>
      <c r="M932" s="50"/>
      <c r="N932" s="50"/>
      <c r="O932" s="50"/>
      <c r="P932" s="50"/>
      <c r="Q932" s="50"/>
      <c r="R932" s="50"/>
      <c r="S932" s="50"/>
      <c r="T932" s="50"/>
      <c r="U932" s="50"/>
      <c r="V932" s="50"/>
      <c r="W932" s="50"/>
      <c r="X932" s="50"/>
      <c r="Y932" s="50"/>
      <c r="Z932" s="50"/>
      <c r="AA932" s="50"/>
      <c r="AB932" s="50"/>
    </row>
    <row r="933" customFormat="false" ht="15.75" hidden="false" customHeight="false" outlineLevel="0" collapsed="false">
      <c r="A933" s="50"/>
      <c r="B933" s="50"/>
      <c r="C933" s="5"/>
      <c r="D933" s="48"/>
      <c r="E933" s="50"/>
      <c r="F933" s="5"/>
      <c r="G933" s="5"/>
      <c r="H933" s="5"/>
      <c r="I933" s="5"/>
      <c r="J933" s="5"/>
      <c r="K933" s="50"/>
      <c r="L933" s="50"/>
      <c r="M933" s="50"/>
      <c r="N933" s="50"/>
      <c r="O933" s="50"/>
      <c r="P933" s="50"/>
      <c r="Q933" s="50"/>
      <c r="R933" s="50"/>
      <c r="S933" s="50"/>
      <c r="T933" s="50"/>
      <c r="U933" s="50"/>
      <c r="V933" s="50"/>
      <c r="W933" s="50"/>
      <c r="X933" s="50"/>
      <c r="Y933" s="50"/>
      <c r="Z933" s="50"/>
      <c r="AA933" s="50"/>
      <c r="AB933" s="50"/>
    </row>
    <row r="934" customFormat="false" ht="15.75" hidden="false" customHeight="false" outlineLevel="0" collapsed="false">
      <c r="A934" s="50"/>
      <c r="B934" s="50"/>
      <c r="C934" s="5"/>
      <c r="D934" s="48"/>
      <c r="E934" s="50"/>
      <c r="F934" s="5"/>
      <c r="G934" s="5"/>
      <c r="H934" s="5"/>
      <c r="I934" s="5"/>
      <c r="J934" s="5"/>
      <c r="K934" s="50"/>
      <c r="L934" s="50"/>
      <c r="M934" s="50"/>
      <c r="N934" s="50"/>
      <c r="O934" s="50"/>
      <c r="P934" s="50"/>
      <c r="Q934" s="50"/>
      <c r="R934" s="50"/>
      <c r="S934" s="50"/>
      <c r="T934" s="50"/>
      <c r="U934" s="50"/>
      <c r="V934" s="50"/>
      <c r="W934" s="50"/>
      <c r="X934" s="50"/>
      <c r="Y934" s="50"/>
      <c r="Z934" s="50"/>
      <c r="AA934" s="50"/>
      <c r="AB934" s="50"/>
    </row>
    <row r="935" customFormat="false" ht="15.75" hidden="false" customHeight="false" outlineLevel="0" collapsed="false">
      <c r="A935" s="50"/>
      <c r="B935" s="50"/>
      <c r="C935" s="5"/>
      <c r="D935" s="48"/>
      <c r="E935" s="50"/>
      <c r="F935" s="5"/>
      <c r="G935" s="5"/>
      <c r="H935" s="5"/>
      <c r="I935" s="5"/>
      <c r="J935" s="5"/>
      <c r="K935" s="50"/>
      <c r="L935" s="50"/>
      <c r="M935" s="50"/>
      <c r="N935" s="50"/>
      <c r="O935" s="50"/>
      <c r="P935" s="50"/>
      <c r="Q935" s="50"/>
      <c r="R935" s="50"/>
      <c r="S935" s="50"/>
      <c r="T935" s="50"/>
      <c r="U935" s="50"/>
      <c r="V935" s="50"/>
      <c r="W935" s="50"/>
      <c r="X935" s="50"/>
      <c r="Y935" s="50"/>
      <c r="Z935" s="50"/>
      <c r="AA935" s="50"/>
      <c r="AB935" s="50"/>
    </row>
    <row r="936" customFormat="false" ht="15.75" hidden="false" customHeight="false" outlineLevel="0" collapsed="false">
      <c r="A936" s="50"/>
      <c r="B936" s="50"/>
      <c r="C936" s="5"/>
      <c r="D936" s="48"/>
      <c r="E936" s="50"/>
      <c r="F936" s="5"/>
      <c r="G936" s="5"/>
      <c r="H936" s="5"/>
      <c r="I936" s="5"/>
      <c r="J936" s="5"/>
      <c r="K936" s="50"/>
      <c r="L936" s="50"/>
      <c r="M936" s="50"/>
      <c r="N936" s="50"/>
      <c r="O936" s="50"/>
      <c r="P936" s="50"/>
      <c r="Q936" s="50"/>
      <c r="R936" s="50"/>
      <c r="S936" s="50"/>
      <c r="T936" s="50"/>
      <c r="U936" s="50"/>
      <c r="V936" s="50"/>
      <c r="W936" s="50"/>
      <c r="X936" s="50"/>
      <c r="Y936" s="50"/>
      <c r="Z936" s="50"/>
      <c r="AA936" s="50"/>
      <c r="AB936" s="50"/>
    </row>
    <row r="937" customFormat="false" ht="15.75" hidden="false" customHeight="false" outlineLevel="0" collapsed="false">
      <c r="A937" s="50"/>
      <c r="B937" s="50"/>
      <c r="C937" s="5"/>
      <c r="D937" s="48"/>
      <c r="E937" s="50"/>
      <c r="F937" s="5"/>
      <c r="G937" s="5"/>
      <c r="H937" s="5"/>
      <c r="I937" s="5"/>
      <c r="J937" s="5"/>
      <c r="K937" s="50"/>
      <c r="L937" s="50"/>
      <c r="M937" s="50"/>
      <c r="N937" s="50"/>
      <c r="O937" s="50"/>
      <c r="P937" s="50"/>
      <c r="Q937" s="50"/>
      <c r="R937" s="50"/>
      <c r="S937" s="50"/>
      <c r="T937" s="50"/>
      <c r="U937" s="50"/>
      <c r="V937" s="50"/>
      <c r="W937" s="50"/>
      <c r="X937" s="50"/>
      <c r="Y937" s="50"/>
      <c r="Z937" s="50"/>
      <c r="AA937" s="50"/>
      <c r="AB937" s="50"/>
    </row>
    <row r="938" customFormat="false" ht="15.75" hidden="false" customHeight="false" outlineLevel="0" collapsed="false">
      <c r="A938" s="50"/>
      <c r="B938" s="50"/>
      <c r="C938" s="5"/>
      <c r="D938" s="48"/>
      <c r="E938" s="50"/>
      <c r="F938" s="5"/>
      <c r="G938" s="5"/>
      <c r="H938" s="5"/>
      <c r="I938" s="5"/>
      <c r="J938" s="5"/>
      <c r="K938" s="50"/>
      <c r="L938" s="50"/>
      <c r="M938" s="50"/>
      <c r="N938" s="50"/>
      <c r="O938" s="50"/>
      <c r="P938" s="50"/>
      <c r="Q938" s="50"/>
      <c r="R938" s="50"/>
      <c r="S938" s="50"/>
      <c r="T938" s="50"/>
      <c r="U938" s="50"/>
      <c r="V938" s="50"/>
      <c r="W938" s="50"/>
      <c r="X938" s="50"/>
      <c r="Y938" s="50"/>
      <c r="Z938" s="50"/>
      <c r="AA938" s="50"/>
      <c r="AB938" s="50"/>
    </row>
    <row r="939" customFormat="false" ht="15.75" hidden="false" customHeight="false" outlineLevel="0" collapsed="false">
      <c r="A939" s="50"/>
      <c r="B939" s="50"/>
      <c r="C939" s="5"/>
      <c r="D939" s="48"/>
      <c r="E939" s="50"/>
      <c r="F939" s="5"/>
      <c r="G939" s="5"/>
      <c r="H939" s="5"/>
      <c r="I939" s="5"/>
      <c r="J939" s="5"/>
      <c r="K939" s="50"/>
      <c r="L939" s="50"/>
      <c r="M939" s="50"/>
      <c r="N939" s="50"/>
      <c r="O939" s="50"/>
      <c r="P939" s="50"/>
      <c r="Q939" s="50"/>
      <c r="R939" s="50"/>
      <c r="S939" s="50"/>
      <c r="T939" s="50"/>
      <c r="U939" s="50"/>
      <c r="V939" s="50"/>
      <c r="W939" s="50"/>
      <c r="X939" s="50"/>
      <c r="Y939" s="50"/>
      <c r="Z939" s="50"/>
      <c r="AA939" s="50"/>
      <c r="AB939" s="50"/>
    </row>
    <row r="940" customFormat="false" ht="15.75" hidden="false" customHeight="false" outlineLevel="0" collapsed="false">
      <c r="A940" s="50"/>
      <c r="B940" s="50"/>
      <c r="C940" s="5"/>
      <c r="D940" s="48"/>
      <c r="E940" s="50"/>
      <c r="F940" s="5"/>
      <c r="G940" s="5"/>
      <c r="H940" s="5"/>
      <c r="I940" s="5"/>
      <c r="J940" s="5"/>
      <c r="K940" s="50"/>
      <c r="L940" s="50"/>
      <c r="M940" s="50"/>
      <c r="N940" s="50"/>
      <c r="O940" s="50"/>
      <c r="P940" s="50"/>
      <c r="Q940" s="50"/>
      <c r="R940" s="50"/>
      <c r="S940" s="50"/>
      <c r="T940" s="50"/>
      <c r="U940" s="50"/>
      <c r="V940" s="50"/>
      <c r="W940" s="50"/>
      <c r="X940" s="50"/>
      <c r="Y940" s="50"/>
      <c r="Z940" s="50"/>
      <c r="AA940" s="50"/>
      <c r="AB940" s="50"/>
    </row>
    <row r="941" customFormat="false" ht="15.75" hidden="false" customHeight="false" outlineLevel="0" collapsed="false">
      <c r="A941" s="50"/>
      <c r="B941" s="50"/>
      <c r="C941" s="5"/>
      <c r="D941" s="48"/>
      <c r="E941" s="50"/>
      <c r="F941" s="5"/>
      <c r="G941" s="5"/>
      <c r="H941" s="5"/>
      <c r="I941" s="5"/>
      <c r="J941" s="5"/>
      <c r="K941" s="50"/>
      <c r="L941" s="50"/>
      <c r="M941" s="50"/>
      <c r="N941" s="50"/>
      <c r="O941" s="50"/>
      <c r="P941" s="50"/>
      <c r="Q941" s="50"/>
      <c r="R941" s="50"/>
      <c r="S941" s="50"/>
      <c r="T941" s="50"/>
      <c r="U941" s="50"/>
      <c r="V941" s="50"/>
      <c r="W941" s="50"/>
      <c r="X941" s="50"/>
      <c r="Y941" s="50"/>
      <c r="Z941" s="50"/>
      <c r="AA941" s="50"/>
      <c r="AB941" s="50"/>
    </row>
    <row r="942" customFormat="false" ht="15.75" hidden="false" customHeight="false" outlineLevel="0" collapsed="false">
      <c r="A942" s="50"/>
      <c r="B942" s="50"/>
      <c r="C942" s="5"/>
      <c r="D942" s="48"/>
      <c r="E942" s="50"/>
      <c r="F942" s="5"/>
      <c r="G942" s="5"/>
      <c r="H942" s="5"/>
      <c r="I942" s="5"/>
      <c r="J942" s="5"/>
      <c r="K942" s="50"/>
      <c r="L942" s="50"/>
      <c r="M942" s="50"/>
      <c r="N942" s="50"/>
      <c r="O942" s="50"/>
      <c r="P942" s="50"/>
      <c r="Q942" s="50"/>
      <c r="R942" s="50"/>
      <c r="S942" s="50"/>
      <c r="T942" s="50"/>
      <c r="U942" s="50"/>
      <c r="V942" s="50"/>
      <c r="W942" s="50"/>
      <c r="X942" s="50"/>
      <c r="Y942" s="50"/>
      <c r="Z942" s="50"/>
      <c r="AA942" s="50"/>
      <c r="AB942" s="50"/>
    </row>
    <row r="943" customFormat="false" ht="15.75" hidden="false" customHeight="false" outlineLevel="0" collapsed="false">
      <c r="A943" s="50"/>
      <c r="B943" s="50"/>
      <c r="C943" s="5"/>
      <c r="D943" s="48"/>
      <c r="E943" s="50"/>
      <c r="F943" s="5"/>
      <c r="G943" s="5"/>
      <c r="H943" s="5"/>
      <c r="I943" s="5"/>
      <c r="J943" s="5"/>
      <c r="K943" s="50"/>
      <c r="L943" s="50"/>
      <c r="M943" s="50"/>
      <c r="N943" s="50"/>
      <c r="O943" s="50"/>
      <c r="P943" s="50"/>
      <c r="Q943" s="50"/>
      <c r="R943" s="50"/>
      <c r="S943" s="50"/>
      <c r="T943" s="50"/>
      <c r="U943" s="50"/>
      <c r="V943" s="50"/>
      <c r="W943" s="50"/>
      <c r="X943" s="50"/>
      <c r="Y943" s="50"/>
      <c r="Z943" s="50"/>
      <c r="AA943" s="50"/>
      <c r="AB943" s="50"/>
    </row>
    <row r="944" customFormat="false" ht="15.75" hidden="false" customHeight="false" outlineLevel="0" collapsed="false">
      <c r="A944" s="50"/>
      <c r="B944" s="50"/>
      <c r="C944" s="5"/>
      <c r="D944" s="48"/>
      <c r="E944" s="50"/>
      <c r="F944" s="5"/>
      <c r="G944" s="5"/>
      <c r="H944" s="5"/>
      <c r="I944" s="5"/>
      <c r="J944" s="5"/>
      <c r="K944" s="50"/>
      <c r="L944" s="50"/>
      <c r="M944" s="50"/>
      <c r="N944" s="50"/>
      <c r="O944" s="50"/>
      <c r="P944" s="50"/>
      <c r="Q944" s="50"/>
      <c r="R944" s="50"/>
      <c r="S944" s="50"/>
      <c r="T944" s="50"/>
      <c r="U944" s="50"/>
      <c r="V944" s="50"/>
      <c r="W944" s="50"/>
      <c r="X944" s="50"/>
      <c r="Y944" s="50"/>
      <c r="Z944" s="50"/>
      <c r="AA944" s="50"/>
      <c r="AB944" s="50"/>
    </row>
    <row r="945" customFormat="false" ht="15.75" hidden="false" customHeight="false" outlineLevel="0" collapsed="false">
      <c r="A945" s="50"/>
      <c r="B945" s="50"/>
      <c r="C945" s="5"/>
      <c r="D945" s="48"/>
      <c r="E945" s="50"/>
      <c r="F945" s="5"/>
      <c r="G945" s="5"/>
      <c r="H945" s="5"/>
      <c r="I945" s="5"/>
      <c r="J945" s="5"/>
      <c r="K945" s="50"/>
      <c r="L945" s="50"/>
      <c r="M945" s="50"/>
      <c r="N945" s="50"/>
      <c r="O945" s="50"/>
      <c r="P945" s="50"/>
      <c r="Q945" s="50"/>
      <c r="R945" s="50"/>
      <c r="S945" s="50"/>
      <c r="T945" s="50"/>
      <c r="U945" s="50"/>
      <c r="V945" s="50"/>
      <c r="W945" s="50"/>
      <c r="X945" s="50"/>
      <c r="Y945" s="50"/>
      <c r="Z945" s="50"/>
      <c r="AA945" s="50"/>
      <c r="AB945" s="50"/>
    </row>
    <row r="946" customFormat="false" ht="15.75" hidden="false" customHeight="false" outlineLevel="0" collapsed="false">
      <c r="A946" s="50"/>
      <c r="B946" s="50"/>
      <c r="C946" s="5"/>
      <c r="D946" s="48"/>
      <c r="E946" s="50"/>
      <c r="F946" s="5"/>
      <c r="G946" s="5"/>
      <c r="H946" s="5"/>
      <c r="I946" s="5"/>
      <c r="J946" s="5"/>
      <c r="K946" s="50"/>
      <c r="L946" s="50"/>
      <c r="M946" s="50"/>
      <c r="N946" s="50"/>
      <c r="O946" s="50"/>
      <c r="P946" s="50"/>
      <c r="Q946" s="50"/>
      <c r="R946" s="50"/>
      <c r="S946" s="50"/>
      <c r="T946" s="50"/>
      <c r="U946" s="50"/>
      <c r="V946" s="50"/>
      <c r="W946" s="50"/>
      <c r="X946" s="50"/>
      <c r="Y946" s="50"/>
      <c r="Z946" s="50"/>
      <c r="AA946" s="50"/>
      <c r="AB946" s="50"/>
    </row>
    <row r="947" customFormat="false" ht="15.75" hidden="false" customHeight="false" outlineLevel="0" collapsed="false">
      <c r="A947" s="50"/>
      <c r="B947" s="50"/>
      <c r="C947" s="5"/>
      <c r="D947" s="48"/>
      <c r="E947" s="50"/>
      <c r="F947" s="5"/>
      <c r="G947" s="5"/>
      <c r="H947" s="5"/>
      <c r="I947" s="5"/>
      <c r="J947" s="5"/>
      <c r="K947" s="50"/>
      <c r="L947" s="50"/>
      <c r="M947" s="50"/>
      <c r="N947" s="50"/>
      <c r="O947" s="50"/>
      <c r="P947" s="50"/>
      <c r="Q947" s="50"/>
      <c r="R947" s="50"/>
      <c r="S947" s="50"/>
      <c r="T947" s="50"/>
      <c r="U947" s="50"/>
      <c r="V947" s="50"/>
      <c r="W947" s="50"/>
      <c r="X947" s="50"/>
      <c r="Y947" s="50"/>
      <c r="Z947" s="50"/>
      <c r="AA947" s="50"/>
      <c r="AB947" s="50"/>
    </row>
    <row r="948" customFormat="false" ht="15.75" hidden="false" customHeight="false" outlineLevel="0" collapsed="false">
      <c r="A948" s="50"/>
      <c r="B948" s="50"/>
      <c r="C948" s="5"/>
      <c r="D948" s="48"/>
      <c r="E948" s="50"/>
      <c r="F948" s="5"/>
      <c r="G948" s="5"/>
      <c r="H948" s="5"/>
      <c r="I948" s="5"/>
      <c r="J948" s="5"/>
      <c r="K948" s="50"/>
      <c r="L948" s="50"/>
      <c r="M948" s="50"/>
      <c r="N948" s="50"/>
      <c r="O948" s="50"/>
      <c r="P948" s="50"/>
      <c r="Q948" s="50"/>
      <c r="R948" s="50"/>
      <c r="S948" s="50"/>
      <c r="T948" s="50"/>
      <c r="U948" s="50"/>
      <c r="V948" s="50"/>
      <c r="W948" s="50"/>
      <c r="X948" s="50"/>
      <c r="Y948" s="50"/>
      <c r="Z948" s="50"/>
      <c r="AA948" s="50"/>
      <c r="AB948" s="50"/>
    </row>
    <row r="949" customFormat="false" ht="15.75" hidden="false" customHeight="false" outlineLevel="0" collapsed="false">
      <c r="A949" s="50"/>
      <c r="B949" s="50"/>
      <c r="C949" s="5"/>
      <c r="D949" s="48"/>
      <c r="E949" s="50"/>
      <c r="F949" s="5"/>
      <c r="G949" s="5"/>
      <c r="H949" s="5"/>
      <c r="I949" s="5"/>
      <c r="J949" s="5"/>
      <c r="K949" s="50"/>
      <c r="L949" s="50"/>
      <c r="M949" s="50"/>
      <c r="N949" s="50"/>
      <c r="O949" s="50"/>
      <c r="P949" s="50"/>
      <c r="Q949" s="50"/>
      <c r="R949" s="50"/>
      <c r="S949" s="50"/>
      <c r="T949" s="50"/>
      <c r="U949" s="50"/>
      <c r="V949" s="50"/>
      <c r="W949" s="50"/>
      <c r="X949" s="50"/>
      <c r="Y949" s="50"/>
      <c r="Z949" s="50"/>
      <c r="AA949" s="50"/>
      <c r="AB949" s="50"/>
    </row>
    <row r="950" customFormat="false" ht="15.75" hidden="false" customHeight="false" outlineLevel="0" collapsed="false">
      <c r="A950" s="50"/>
      <c r="B950" s="50"/>
      <c r="C950" s="5"/>
      <c r="D950" s="48"/>
      <c r="E950" s="50"/>
      <c r="F950" s="5"/>
      <c r="G950" s="5"/>
      <c r="H950" s="5"/>
      <c r="I950" s="5"/>
      <c r="J950" s="5"/>
      <c r="K950" s="50"/>
      <c r="L950" s="50"/>
      <c r="M950" s="50"/>
      <c r="N950" s="50"/>
      <c r="O950" s="50"/>
      <c r="P950" s="50"/>
      <c r="Q950" s="50"/>
      <c r="R950" s="50"/>
      <c r="S950" s="50"/>
      <c r="T950" s="50"/>
      <c r="U950" s="50"/>
      <c r="V950" s="50"/>
      <c r="W950" s="50"/>
      <c r="X950" s="50"/>
      <c r="Y950" s="50"/>
      <c r="Z950" s="50"/>
      <c r="AA950" s="50"/>
      <c r="AB950" s="50"/>
    </row>
    <row r="951" customFormat="false" ht="15.75" hidden="false" customHeight="false" outlineLevel="0" collapsed="false">
      <c r="A951" s="50"/>
      <c r="B951" s="50"/>
      <c r="C951" s="5"/>
      <c r="D951" s="48"/>
      <c r="E951" s="50"/>
      <c r="F951" s="5"/>
      <c r="G951" s="5"/>
      <c r="H951" s="5"/>
      <c r="I951" s="5"/>
      <c r="J951" s="5"/>
      <c r="K951" s="50"/>
      <c r="L951" s="50"/>
      <c r="M951" s="50"/>
      <c r="N951" s="50"/>
      <c r="O951" s="50"/>
      <c r="P951" s="50"/>
      <c r="Q951" s="50"/>
      <c r="R951" s="50"/>
      <c r="S951" s="50"/>
      <c r="T951" s="50"/>
      <c r="U951" s="50"/>
      <c r="V951" s="50"/>
      <c r="W951" s="50"/>
      <c r="X951" s="50"/>
      <c r="Y951" s="50"/>
      <c r="Z951" s="50"/>
      <c r="AA951" s="50"/>
      <c r="AB951" s="50"/>
    </row>
    <row r="952" customFormat="false" ht="15.75" hidden="false" customHeight="false" outlineLevel="0" collapsed="false">
      <c r="A952" s="50"/>
      <c r="B952" s="50"/>
      <c r="C952" s="5"/>
      <c r="D952" s="48"/>
      <c r="E952" s="50"/>
      <c r="F952" s="5"/>
      <c r="G952" s="5"/>
      <c r="H952" s="5"/>
      <c r="I952" s="5"/>
      <c r="J952" s="5"/>
      <c r="K952" s="50"/>
      <c r="L952" s="50"/>
      <c r="M952" s="50"/>
      <c r="N952" s="50"/>
      <c r="O952" s="50"/>
      <c r="P952" s="50"/>
      <c r="Q952" s="50"/>
      <c r="R952" s="50"/>
      <c r="S952" s="50"/>
      <c r="T952" s="50"/>
      <c r="U952" s="50"/>
      <c r="V952" s="50"/>
      <c r="W952" s="50"/>
      <c r="X952" s="50"/>
      <c r="Y952" s="50"/>
      <c r="Z952" s="50"/>
      <c r="AA952" s="50"/>
      <c r="AB952" s="50"/>
    </row>
    <row r="953" customFormat="false" ht="15.75" hidden="false" customHeight="false" outlineLevel="0" collapsed="false">
      <c r="A953" s="50"/>
      <c r="B953" s="50"/>
      <c r="C953" s="5"/>
      <c r="D953" s="48"/>
      <c r="E953" s="50"/>
      <c r="F953" s="5"/>
      <c r="G953" s="5"/>
      <c r="H953" s="5"/>
      <c r="I953" s="5"/>
      <c r="J953" s="5"/>
      <c r="K953" s="50"/>
      <c r="L953" s="50"/>
      <c r="M953" s="50"/>
      <c r="N953" s="50"/>
      <c r="O953" s="50"/>
      <c r="P953" s="50"/>
      <c r="Q953" s="50"/>
      <c r="R953" s="50"/>
      <c r="S953" s="50"/>
      <c r="T953" s="50"/>
      <c r="U953" s="50"/>
      <c r="V953" s="50"/>
      <c r="W953" s="50"/>
      <c r="X953" s="50"/>
      <c r="Y953" s="50"/>
      <c r="Z953" s="50"/>
      <c r="AA953" s="50"/>
      <c r="AB953" s="50"/>
    </row>
    <row r="954" customFormat="false" ht="15.75" hidden="false" customHeight="false" outlineLevel="0" collapsed="false">
      <c r="A954" s="50"/>
      <c r="B954" s="50"/>
      <c r="C954" s="5"/>
      <c r="D954" s="48"/>
      <c r="E954" s="50"/>
      <c r="F954" s="5"/>
      <c r="G954" s="5"/>
      <c r="H954" s="5"/>
      <c r="I954" s="5"/>
      <c r="J954" s="5"/>
      <c r="K954" s="50"/>
      <c r="L954" s="50"/>
      <c r="M954" s="50"/>
      <c r="N954" s="50"/>
      <c r="O954" s="50"/>
      <c r="P954" s="50"/>
      <c r="Q954" s="50"/>
      <c r="R954" s="50"/>
      <c r="S954" s="50"/>
      <c r="T954" s="50"/>
      <c r="U954" s="50"/>
      <c r="V954" s="50"/>
      <c r="W954" s="50"/>
      <c r="X954" s="50"/>
      <c r="Y954" s="50"/>
      <c r="Z954" s="50"/>
      <c r="AA954" s="50"/>
      <c r="AB954" s="50"/>
    </row>
    <row r="955" customFormat="false" ht="15.75" hidden="false" customHeight="false" outlineLevel="0" collapsed="false">
      <c r="A955" s="50"/>
      <c r="B955" s="50"/>
      <c r="C955" s="5"/>
      <c r="D955" s="48"/>
      <c r="E955" s="50"/>
      <c r="F955" s="5"/>
      <c r="G955" s="5"/>
      <c r="H955" s="5"/>
      <c r="I955" s="5"/>
      <c r="J955" s="5"/>
      <c r="K955" s="50"/>
      <c r="L955" s="50"/>
      <c r="M955" s="50"/>
      <c r="N955" s="50"/>
      <c r="O955" s="50"/>
      <c r="P955" s="50"/>
      <c r="Q955" s="50"/>
      <c r="R955" s="50"/>
      <c r="S955" s="50"/>
      <c r="T955" s="50"/>
      <c r="U955" s="50"/>
      <c r="V955" s="50"/>
      <c r="W955" s="50"/>
      <c r="X955" s="50"/>
      <c r="Y955" s="50"/>
      <c r="Z955" s="50"/>
      <c r="AA955" s="50"/>
      <c r="AB955" s="50"/>
    </row>
    <row r="956" customFormat="false" ht="15.75" hidden="false" customHeight="false" outlineLevel="0" collapsed="false">
      <c r="A956" s="50"/>
      <c r="B956" s="50"/>
      <c r="C956" s="5"/>
      <c r="D956" s="48"/>
      <c r="E956" s="50"/>
      <c r="F956" s="5"/>
      <c r="G956" s="5"/>
      <c r="H956" s="5"/>
      <c r="I956" s="5"/>
      <c r="J956" s="5"/>
      <c r="K956" s="50"/>
      <c r="L956" s="50"/>
      <c r="M956" s="50"/>
      <c r="N956" s="50"/>
      <c r="O956" s="50"/>
      <c r="P956" s="50"/>
      <c r="Q956" s="50"/>
      <c r="R956" s="50"/>
      <c r="S956" s="50"/>
      <c r="T956" s="50"/>
      <c r="U956" s="50"/>
      <c r="V956" s="50"/>
      <c r="W956" s="50"/>
      <c r="X956" s="50"/>
      <c r="Y956" s="50"/>
      <c r="Z956" s="50"/>
      <c r="AA956" s="50"/>
      <c r="AB956" s="50"/>
    </row>
    <row r="957" customFormat="false" ht="15.75" hidden="false" customHeight="false" outlineLevel="0" collapsed="false">
      <c r="A957" s="50"/>
      <c r="B957" s="50"/>
      <c r="C957" s="5"/>
      <c r="D957" s="48"/>
      <c r="E957" s="50"/>
      <c r="F957" s="5"/>
      <c r="G957" s="5"/>
      <c r="H957" s="5"/>
      <c r="I957" s="5"/>
      <c r="J957" s="5"/>
      <c r="K957" s="50"/>
      <c r="L957" s="50"/>
      <c r="M957" s="50"/>
      <c r="N957" s="50"/>
      <c r="O957" s="50"/>
      <c r="P957" s="50"/>
      <c r="Q957" s="50"/>
      <c r="R957" s="50"/>
      <c r="S957" s="50"/>
      <c r="T957" s="50"/>
      <c r="U957" s="50"/>
      <c r="V957" s="50"/>
      <c r="W957" s="50"/>
      <c r="X957" s="50"/>
      <c r="Y957" s="50"/>
      <c r="Z957" s="50"/>
      <c r="AA957" s="50"/>
      <c r="AB957" s="50"/>
    </row>
    <row r="958" customFormat="false" ht="15.75" hidden="false" customHeight="false" outlineLevel="0" collapsed="false">
      <c r="A958" s="50"/>
      <c r="B958" s="50"/>
      <c r="C958" s="5"/>
      <c r="D958" s="48"/>
      <c r="E958" s="50"/>
      <c r="F958" s="5"/>
      <c r="G958" s="5"/>
      <c r="H958" s="5"/>
      <c r="I958" s="5"/>
      <c r="J958" s="5"/>
      <c r="K958" s="50"/>
      <c r="L958" s="50"/>
      <c r="M958" s="50"/>
      <c r="N958" s="50"/>
      <c r="O958" s="50"/>
      <c r="P958" s="50"/>
      <c r="Q958" s="50"/>
      <c r="R958" s="50"/>
      <c r="S958" s="50"/>
      <c r="T958" s="50"/>
      <c r="U958" s="50"/>
      <c r="V958" s="50"/>
      <c r="W958" s="50"/>
      <c r="X958" s="50"/>
      <c r="Y958" s="50"/>
      <c r="Z958" s="50"/>
      <c r="AA958" s="50"/>
      <c r="AB958" s="50"/>
    </row>
    <row r="959" customFormat="false" ht="15.75" hidden="false" customHeight="false" outlineLevel="0" collapsed="false">
      <c r="A959" s="50"/>
      <c r="B959" s="50"/>
      <c r="C959" s="5"/>
      <c r="D959" s="48"/>
      <c r="E959" s="50"/>
      <c r="F959" s="5"/>
      <c r="G959" s="5"/>
      <c r="H959" s="5"/>
      <c r="I959" s="5"/>
      <c r="J959" s="5"/>
      <c r="K959" s="50"/>
      <c r="L959" s="50"/>
      <c r="M959" s="50"/>
      <c r="N959" s="50"/>
      <c r="O959" s="50"/>
      <c r="P959" s="50"/>
      <c r="Q959" s="50"/>
      <c r="R959" s="50"/>
      <c r="S959" s="50"/>
      <c r="T959" s="50"/>
      <c r="U959" s="50"/>
      <c r="V959" s="50"/>
      <c r="W959" s="50"/>
      <c r="X959" s="50"/>
      <c r="Y959" s="50"/>
      <c r="Z959" s="50"/>
      <c r="AA959" s="50"/>
      <c r="AB959" s="50"/>
    </row>
    <row r="960" customFormat="false" ht="15.75" hidden="false" customHeight="false" outlineLevel="0" collapsed="false">
      <c r="A960" s="50"/>
      <c r="B960" s="50"/>
      <c r="C960" s="5"/>
      <c r="D960" s="48"/>
      <c r="E960" s="50"/>
      <c r="F960" s="5"/>
      <c r="G960" s="5"/>
      <c r="H960" s="5"/>
      <c r="I960" s="5"/>
      <c r="J960" s="5"/>
      <c r="K960" s="50"/>
      <c r="L960" s="50"/>
      <c r="M960" s="50"/>
      <c r="N960" s="50"/>
      <c r="O960" s="50"/>
      <c r="P960" s="50"/>
      <c r="Q960" s="50"/>
      <c r="R960" s="50"/>
      <c r="S960" s="50"/>
      <c r="T960" s="50"/>
      <c r="U960" s="50"/>
      <c r="V960" s="50"/>
      <c r="W960" s="50"/>
      <c r="X960" s="50"/>
      <c r="Y960" s="50"/>
      <c r="Z960" s="50"/>
      <c r="AA960" s="50"/>
      <c r="AB960" s="50"/>
    </row>
    <row r="961" customFormat="false" ht="15.75" hidden="false" customHeight="false" outlineLevel="0" collapsed="false">
      <c r="A961" s="50"/>
      <c r="B961" s="50"/>
      <c r="C961" s="5"/>
      <c r="D961" s="48"/>
      <c r="E961" s="50"/>
      <c r="F961" s="5"/>
      <c r="G961" s="5"/>
      <c r="H961" s="5"/>
      <c r="I961" s="5"/>
      <c r="J961" s="5"/>
      <c r="K961" s="50"/>
      <c r="L961" s="50"/>
      <c r="M961" s="50"/>
      <c r="N961" s="50"/>
      <c r="O961" s="50"/>
      <c r="P961" s="50"/>
      <c r="Q961" s="50"/>
      <c r="R961" s="50"/>
      <c r="S961" s="50"/>
      <c r="T961" s="50"/>
      <c r="U961" s="50"/>
      <c r="V961" s="50"/>
      <c r="W961" s="50"/>
      <c r="X961" s="50"/>
      <c r="Y961" s="50"/>
      <c r="Z961" s="50"/>
      <c r="AA961" s="50"/>
      <c r="AB961" s="50"/>
    </row>
    <row r="962" customFormat="false" ht="15.75" hidden="false" customHeight="false" outlineLevel="0" collapsed="false">
      <c r="A962" s="50"/>
      <c r="B962" s="50"/>
      <c r="C962" s="5"/>
      <c r="D962" s="48"/>
      <c r="E962" s="50"/>
      <c r="F962" s="5"/>
      <c r="G962" s="5"/>
      <c r="H962" s="5"/>
      <c r="I962" s="5"/>
      <c r="J962" s="5"/>
      <c r="K962" s="50"/>
      <c r="L962" s="50"/>
      <c r="M962" s="50"/>
      <c r="N962" s="50"/>
      <c r="O962" s="50"/>
      <c r="P962" s="50"/>
      <c r="Q962" s="50"/>
      <c r="R962" s="50"/>
      <c r="S962" s="50"/>
      <c r="T962" s="50"/>
      <c r="U962" s="50"/>
      <c r="V962" s="50"/>
      <c r="W962" s="50"/>
      <c r="X962" s="50"/>
      <c r="Y962" s="50"/>
      <c r="Z962" s="50"/>
      <c r="AA962" s="50"/>
      <c r="AB962" s="50"/>
    </row>
    <row r="963" customFormat="false" ht="15.75" hidden="false" customHeight="false" outlineLevel="0" collapsed="false">
      <c r="A963" s="50"/>
      <c r="B963" s="50"/>
      <c r="C963" s="5"/>
      <c r="D963" s="48"/>
      <c r="E963" s="50"/>
      <c r="F963" s="5"/>
      <c r="G963" s="5"/>
      <c r="H963" s="5"/>
      <c r="I963" s="5"/>
      <c r="J963" s="5"/>
      <c r="K963" s="50"/>
      <c r="L963" s="50"/>
      <c r="M963" s="50"/>
      <c r="N963" s="50"/>
      <c r="O963" s="50"/>
      <c r="P963" s="50"/>
      <c r="Q963" s="50"/>
      <c r="R963" s="50"/>
      <c r="S963" s="50"/>
      <c r="T963" s="50"/>
      <c r="U963" s="50"/>
      <c r="V963" s="50"/>
      <c r="W963" s="50"/>
      <c r="X963" s="50"/>
      <c r="Y963" s="50"/>
      <c r="Z963" s="50"/>
      <c r="AA963" s="50"/>
      <c r="AB963" s="50"/>
    </row>
    <row r="964" customFormat="false" ht="15.75" hidden="false" customHeight="false" outlineLevel="0" collapsed="false">
      <c r="A964" s="50"/>
      <c r="B964" s="50"/>
      <c r="C964" s="5"/>
      <c r="D964" s="48"/>
      <c r="E964" s="50"/>
      <c r="F964" s="5"/>
      <c r="G964" s="5"/>
      <c r="H964" s="5"/>
      <c r="I964" s="5"/>
      <c r="J964" s="5"/>
      <c r="K964" s="50"/>
      <c r="L964" s="50"/>
      <c r="M964" s="50"/>
      <c r="N964" s="50"/>
      <c r="O964" s="50"/>
      <c r="P964" s="50"/>
      <c r="Q964" s="50"/>
      <c r="R964" s="50"/>
      <c r="S964" s="50"/>
      <c r="T964" s="50"/>
      <c r="U964" s="50"/>
      <c r="V964" s="50"/>
      <c r="W964" s="50"/>
      <c r="X964" s="50"/>
      <c r="Y964" s="50"/>
      <c r="Z964" s="50"/>
      <c r="AA964" s="50"/>
      <c r="AB964" s="50"/>
    </row>
    <row r="965" customFormat="false" ht="15.75" hidden="false" customHeight="false" outlineLevel="0" collapsed="false">
      <c r="A965" s="50"/>
      <c r="B965" s="50"/>
      <c r="C965" s="5"/>
      <c r="D965" s="48"/>
      <c r="E965" s="50"/>
      <c r="F965" s="5"/>
      <c r="G965" s="5"/>
      <c r="H965" s="5"/>
      <c r="I965" s="5"/>
      <c r="J965" s="5"/>
      <c r="K965" s="50"/>
      <c r="L965" s="50"/>
      <c r="M965" s="50"/>
      <c r="N965" s="50"/>
      <c r="O965" s="50"/>
      <c r="P965" s="50"/>
      <c r="Q965" s="50"/>
      <c r="R965" s="50"/>
      <c r="S965" s="50"/>
      <c r="T965" s="50"/>
      <c r="U965" s="50"/>
      <c r="V965" s="50"/>
      <c r="W965" s="50"/>
      <c r="X965" s="50"/>
      <c r="Y965" s="50"/>
      <c r="Z965" s="50"/>
      <c r="AA965" s="50"/>
      <c r="AB965" s="50"/>
    </row>
    <row r="966" customFormat="false" ht="15.75" hidden="false" customHeight="false" outlineLevel="0" collapsed="false">
      <c r="A966" s="50"/>
      <c r="B966" s="50"/>
      <c r="C966" s="5"/>
      <c r="D966" s="48"/>
      <c r="E966" s="50"/>
      <c r="F966" s="5"/>
      <c r="G966" s="5"/>
      <c r="H966" s="5"/>
      <c r="I966" s="5"/>
      <c r="J966" s="5"/>
      <c r="K966" s="50"/>
      <c r="L966" s="50"/>
      <c r="M966" s="50"/>
      <c r="N966" s="50"/>
      <c r="O966" s="50"/>
      <c r="P966" s="50"/>
      <c r="Q966" s="50"/>
      <c r="R966" s="50"/>
      <c r="S966" s="50"/>
      <c r="T966" s="50"/>
      <c r="U966" s="50"/>
      <c r="V966" s="50"/>
      <c r="W966" s="50"/>
      <c r="X966" s="50"/>
      <c r="Y966" s="50"/>
      <c r="Z966" s="50"/>
      <c r="AA966" s="50"/>
      <c r="AB966" s="50"/>
    </row>
    <row r="967" customFormat="false" ht="15.75" hidden="false" customHeight="false" outlineLevel="0" collapsed="false">
      <c r="A967" s="50"/>
      <c r="B967" s="50"/>
      <c r="C967" s="5"/>
      <c r="D967" s="48"/>
      <c r="E967" s="50"/>
      <c r="F967" s="5"/>
      <c r="G967" s="5"/>
      <c r="H967" s="5"/>
      <c r="I967" s="5"/>
      <c r="J967" s="5"/>
      <c r="K967" s="50"/>
      <c r="L967" s="50"/>
      <c r="M967" s="50"/>
      <c r="N967" s="50"/>
      <c r="O967" s="50"/>
      <c r="P967" s="50"/>
      <c r="Q967" s="50"/>
      <c r="R967" s="50"/>
      <c r="S967" s="50"/>
      <c r="T967" s="50"/>
      <c r="U967" s="50"/>
      <c r="V967" s="50"/>
      <c r="W967" s="50"/>
      <c r="X967" s="50"/>
      <c r="Y967" s="50"/>
      <c r="Z967" s="50"/>
      <c r="AA967" s="50"/>
      <c r="AB967" s="50"/>
    </row>
    <row r="968" customFormat="false" ht="15.75" hidden="false" customHeight="false" outlineLevel="0" collapsed="false">
      <c r="A968" s="50"/>
      <c r="B968" s="50"/>
      <c r="C968" s="5"/>
      <c r="D968" s="48"/>
      <c r="E968" s="50"/>
      <c r="F968" s="5"/>
      <c r="G968" s="5"/>
      <c r="H968" s="5"/>
      <c r="I968" s="5"/>
      <c r="J968" s="5"/>
      <c r="K968" s="50"/>
      <c r="L968" s="50"/>
      <c r="M968" s="50"/>
      <c r="N968" s="50"/>
      <c r="O968" s="50"/>
      <c r="P968" s="50"/>
      <c r="Q968" s="50"/>
      <c r="R968" s="50"/>
      <c r="S968" s="50"/>
      <c r="T968" s="50"/>
      <c r="U968" s="50"/>
      <c r="V968" s="50"/>
      <c r="W968" s="50"/>
      <c r="X968" s="50"/>
      <c r="Y968" s="50"/>
      <c r="Z968" s="50"/>
      <c r="AA968" s="50"/>
      <c r="AB968" s="50"/>
    </row>
    <row r="969" customFormat="false" ht="15.75" hidden="false" customHeight="false" outlineLevel="0" collapsed="false">
      <c r="A969" s="50"/>
      <c r="B969" s="50"/>
      <c r="C969" s="5"/>
      <c r="D969" s="48"/>
      <c r="E969" s="50"/>
      <c r="F969" s="5"/>
      <c r="G969" s="5"/>
      <c r="H969" s="5"/>
      <c r="I969" s="5"/>
      <c r="J969" s="5"/>
      <c r="K969" s="50"/>
      <c r="L969" s="50"/>
      <c r="M969" s="50"/>
      <c r="N969" s="50"/>
      <c r="O969" s="50"/>
      <c r="P969" s="50"/>
      <c r="Q969" s="50"/>
      <c r="R969" s="50"/>
      <c r="S969" s="50"/>
      <c r="T969" s="50"/>
      <c r="U969" s="50"/>
      <c r="V969" s="50"/>
      <c r="W969" s="50"/>
      <c r="X969" s="50"/>
      <c r="Y969" s="50"/>
      <c r="Z969" s="50"/>
      <c r="AA969" s="50"/>
      <c r="AB969" s="50"/>
    </row>
    <row r="970" customFormat="false" ht="15.75" hidden="false" customHeight="false" outlineLevel="0" collapsed="false">
      <c r="A970" s="50"/>
      <c r="B970" s="50"/>
      <c r="C970" s="5"/>
      <c r="D970" s="48"/>
      <c r="E970" s="50"/>
      <c r="F970" s="5"/>
      <c r="G970" s="5"/>
      <c r="H970" s="5"/>
      <c r="I970" s="5"/>
      <c r="J970" s="5"/>
      <c r="K970" s="50"/>
      <c r="L970" s="50"/>
      <c r="M970" s="50"/>
      <c r="N970" s="50"/>
      <c r="O970" s="50"/>
      <c r="P970" s="50"/>
      <c r="Q970" s="50"/>
      <c r="R970" s="50"/>
      <c r="S970" s="50"/>
      <c r="T970" s="50"/>
      <c r="U970" s="50"/>
      <c r="V970" s="50"/>
      <c r="W970" s="50"/>
      <c r="X970" s="50"/>
      <c r="Y970" s="50"/>
      <c r="Z970" s="50"/>
      <c r="AA970" s="50"/>
      <c r="AB970" s="50"/>
    </row>
    <row r="971" customFormat="false" ht="15.75" hidden="false" customHeight="false" outlineLevel="0" collapsed="false">
      <c r="A971" s="50"/>
      <c r="B971" s="50"/>
      <c r="C971" s="5"/>
      <c r="D971" s="48"/>
      <c r="E971" s="50"/>
      <c r="F971" s="5"/>
      <c r="G971" s="5"/>
      <c r="H971" s="5"/>
      <c r="I971" s="5"/>
      <c r="J971" s="5"/>
      <c r="K971" s="50"/>
      <c r="L971" s="50"/>
      <c r="M971" s="50"/>
      <c r="N971" s="50"/>
      <c r="O971" s="50"/>
      <c r="P971" s="50"/>
      <c r="Q971" s="50"/>
      <c r="R971" s="50"/>
      <c r="S971" s="50"/>
      <c r="T971" s="50"/>
      <c r="U971" s="50"/>
      <c r="V971" s="50"/>
      <c r="W971" s="50"/>
      <c r="X971" s="50"/>
      <c r="Y971" s="50"/>
      <c r="Z971" s="50"/>
      <c r="AA971" s="50"/>
      <c r="AB971" s="50"/>
    </row>
    <row r="972" customFormat="false" ht="15.75" hidden="false" customHeight="false" outlineLevel="0" collapsed="false">
      <c r="A972" s="50"/>
      <c r="B972" s="50"/>
      <c r="C972" s="5"/>
      <c r="D972" s="48"/>
      <c r="E972" s="50"/>
      <c r="F972" s="5"/>
      <c r="G972" s="5"/>
      <c r="H972" s="5"/>
      <c r="I972" s="5"/>
      <c r="J972" s="5"/>
      <c r="K972" s="50"/>
      <c r="L972" s="50"/>
      <c r="M972" s="50"/>
      <c r="N972" s="50"/>
      <c r="O972" s="50"/>
      <c r="P972" s="50"/>
      <c r="Q972" s="50"/>
      <c r="R972" s="50"/>
      <c r="S972" s="50"/>
      <c r="T972" s="50"/>
      <c r="U972" s="50"/>
      <c r="V972" s="50"/>
      <c r="W972" s="50"/>
      <c r="X972" s="50"/>
      <c r="Y972" s="50"/>
      <c r="Z972" s="50"/>
      <c r="AA972" s="50"/>
      <c r="AB972" s="50"/>
    </row>
    <row r="973" customFormat="false" ht="15.75" hidden="false" customHeight="false" outlineLevel="0" collapsed="false">
      <c r="A973" s="50"/>
      <c r="B973" s="50"/>
      <c r="C973" s="5"/>
      <c r="D973" s="48"/>
      <c r="E973" s="50"/>
      <c r="F973" s="5"/>
      <c r="G973" s="5"/>
      <c r="H973" s="5"/>
      <c r="I973" s="5"/>
      <c r="J973" s="5"/>
      <c r="K973" s="50"/>
      <c r="L973" s="50"/>
      <c r="M973" s="50"/>
      <c r="N973" s="50"/>
      <c r="O973" s="50"/>
      <c r="P973" s="50"/>
      <c r="Q973" s="50"/>
      <c r="R973" s="50"/>
      <c r="S973" s="50"/>
      <c r="T973" s="50"/>
      <c r="U973" s="50"/>
      <c r="V973" s="50"/>
      <c r="W973" s="50"/>
      <c r="X973" s="50"/>
      <c r="Y973" s="50"/>
      <c r="Z973" s="50"/>
      <c r="AA973" s="50"/>
      <c r="AB973" s="50"/>
    </row>
    <row r="974" customFormat="false" ht="15.75" hidden="false" customHeight="false" outlineLevel="0" collapsed="false">
      <c r="A974" s="50"/>
      <c r="B974" s="50"/>
      <c r="C974" s="5"/>
      <c r="D974" s="48"/>
      <c r="E974" s="50"/>
      <c r="F974" s="5"/>
      <c r="G974" s="5"/>
      <c r="H974" s="5"/>
      <c r="I974" s="5"/>
      <c r="J974" s="5"/>
      <c r="K974" s="50"/>
      <c r="L974" s="50"/>
      <c r="M974" s="50"/>
      <c r="N974" s="50"/>
      <c r="O974" s="50"/>
      <c r="P974" s="50"/>
      <c r="Q974" s="50"/>
      <c r="R974" s="50"/>
      <c r="S974" s="50"/>
      <c r="T974" s="50"/>
      <c r="U974" s="50"/>
      <c r="V974" s="50"/>
      <c r="W974" s="50"/>
      <c r="X974" s="50"/>
      <c r="Y974" s="50"/>
      <c r="Z974" s="50"/>
      <c r="AA974" s="50"/>
      <c r="AB974" s="50"/>
    </row>
    <row r="975" customFormat="false" ht="15.75" hidden="false" customHeight="false" outlineLevel="0" collapsed="false">
      <c r="A975" s="50"/>
      <c r="B975" s="50"/>
      <c r="C975" s="5"/>
      <c r="D975" s="48"/>
      <c r="E975" s="50"/>
      <c r="F975" s="5"/>
      <c r="G975" s="5"/>
      <c r="H975" s="5"/>
      <c r="I975" s="5"/>
      <c r="J975" s="5"/>
      <c r="K975" s="50"/>
      <c r="L975" s="50"/>
      <c r="M975" s="50"/>
      <c r="N975" s="50"/>
      <c r="O975" s="50"/>
      <c r="P975" s="50"/>
      <c r="Q975" s="50"/>
      <c r="R975" s="50"/>
      <c r="S975" s="50"/>
      <c r="T975" s="50"/>
      <c r="U975" s="50"/>
      <c r="V975" s="50"/>
      <c r="W975" s="50"/>
      <c r="X975" s="50"/>
      <c r="Y975" s="50"/>
      <c r="Z975" s="50"/>
      <c r="AA975" s="50"/>
      <c r="AB975" s="50"/>
    </row>
    <row r="976" customFormat="false" ht="15.75" hidden="false" customHeight="false" outlineLevel="0" collapsed="false">
      <c r="A976" s="50"/>
      <c r="B976" s="50"/>
      <c r="C976" s="5"/>
      <c r="D976" s="48"/>
      <c r="E976" s="50"/>
      <c r="F976" s="5"/>
      <c r="G976" s="5"/>
      <c r="H976" s="5"/>
      <c r="I976" s="5"/>
      <c r="J976" s="5"/>
      <c r="K976" s="50"/>
      <c r="L976" s="50"/>
      <c r="M976" s="50"/>
      <c r="N976" s="50"/>
      <c r="O976" s="50"/>
      <c r="P976" s="50"/>
      <c r="Q976" s="50"/>
      <c r="R976" s="50"/>
      <c r="S976" s="50"/>
      <c r="T976" s="50"/>
      <c r="U976" s="50"/>
      <c r="V976" s="50"/>
      <c r="W976" s="50"/>
      <c r="X976" s="50"/>
      <c r="Y976" s="50"/>
      <c r="Z976" s="50"/>
      <c r="AA976" s="50"/>
      <c r="AB976" s="50"/>
    </row>
    <row r="977" customFormat="false" ht="15.75" hidden="false" customHeight="false" outlineLevel="0" collapsed="false">
      <c r="A977" s="50"/>
      <c r="B977" s="50"/>
      <c r="C977" s="5"/>
      <c r="D977" s="48"/>
      <c r="E977" s="50"/>
      <c r="F977" s="5"/>
      <c r="G977" s="5"/>
      <c r="H977" s="5"/>
      <c r="I977" s="5"/>
      <c r="J977" s="5"/>
      <c r="K977" s="50"/>
      <c r="L977" s="50"/>
      <c r="M977" s="50"/>
      <c r="N977" s="50"/>
      <c r="O977" s="50"/>
      <c r="P977" s="50"/>
      <c r="Q977" s="50"/>
      <c r="R977" s="50"/>
      <c r="S977" s="50"/>
      <c r="T977" s="50"/>
      <c r="U977" s="50"/>
      <c r="V977" s="50"/>
      <c r="W977" s="50"/>
      <c r="X977" s="50"/>
      <c r="Y977" s="50"/>
      <c r="Z977" s="50"/>
      <c r="AA977" s="50"/>
      <c r="AB977" s="50"/>
    </row>
    <row r="978" customFormat="false" ht="15.75" hidden="false" customHeight="false" outlineLevel="0" collapsed="false">
      <c r="A978" s="50"/>
      <c r="B978" s="50"/>
      <c r="C978" s="5"/>
      <c r="D978" s="48"/>
      <c r="E978" s="50"/>
      <c r="F978" s="5"/>
      <c r="G978" s="5"/>
      <c r="H978" s="5"/>
      <c r="I978" s="5"/>
      <c r="J978" s="5"/>
      <c r="K978" s="50"/>
      <c r="L978" s="50"/>
      <c r="M978" s="50"/>
      <c r="N978" s="50"/>
      <c r="O978" s="50"/>
      <c r="P978" s="50"/>
      <c r="Q978" s="50"/>
      <c r="R978" s="50"/>
      <c r="S978" s="50"/>
      <c r="T978" s="50"/>
      <c r="U978" s="50"/>
      <c r="V978" s="50"/>
      <c r="W978" s="50"/>
      <c r="X978" s="50"/>
      <c r="Y978" s="50"/>
      <c r="Z978" s="50"/>
      <c r="AA978" s="50"/>
      <c r="AB978" s="50"/>
    </row>
    <row r="979" customFormat="false" ht="15.75" hidden="false" customHeight="false" outlineLevel="0" collapsed="false">
      <c r="A979" s="50"/>
      <c r="B979" s="50"/>
      <c r="C979" s="5"/>
      <c r="D979" s="48"/>
      <c r="E979" s="50"/>
      <c r="F979" s="5"/>
      <c r="G979" s="5"/>
      <c r="H979" s="5"/>
      <c r="I979" s="5"/>
      <c r="J979" s="5"/>
      <c r="K979" s="50"/>
      <c r="L979" s="50"/>
      <c r="M979" s="50"/>
      <c r="N979" s="50"/>
      <c r="O979" s="50"/>
      <c r="P979" s="50"/>
      <c r="Q979" s="50"/>
      <c r="R979" s="50"/>
      <c r="S979" s="50"/>
      <c r="T979" s="50"/>
      <c r="U979" s="50"/>
      <c r="V979" s="50"/>
      <c r="W979" s="50"/>
      <c r="X979" s="50"/>
      <c r="Y979" s="50"/>
      <c r="Z979" s="50"/>
      <c r="AA979" s="50"/>
      <c r="AB979" s="50"/>
    </row>
    <row r="980" customFormat="false" ht="15.75" hidden="false" customHeight="false" outlineLevel="0" collapsed="false">
      <c r="A980" s="50"/>
      <c r="B980" s="50"/>
      <c r="C980" s="5"/>
      <c r="D980" s="48"/>
      <c r="E980" s="50"/>
      <c r="F980" s="5"/>
      <c r="G980" s="5"/>
      <c r="H980" s="5"/>
      <c r="I980" s="5"/>
      <c r="J980" s="5"/>
      <c r="K980" s="50"/>
      <c r="L980" s="50"/>
      <c r="M980" s="50"/>
      <c r="N980" s="50"/>
      <c r="O980" s="50"/>
      <c r="P980" s="50"/>
      <c r="Q980" s="50"/>
      <c r="R980" s="50"/>
      <c r="S980" s="50"/>
      <c r="T980" s="50"/>
      <c r="U980" s="50"/>
      <c r="V980" s="50"/>
      <c r="W980" s="50"/>
      <c r="X980" s="50"/>
      <c r="Y980" s="50"/>
      <c r="Z980" s="50"/>
      <c r="AA980" s="50"/>
      <c r="AB980" s="50"/>
    </row>
    <row r="981" customFormat="false" ht="15.75" hidden="false" customHeight="false" outlineLevel="0" collapsed="false">
      <c r="A981" s="50"/>
      <c r="B981" s="50"/>
      <c r="C981" s="5"/>
      <c r="D981" s="48"/>
      <c r="E981" s="50"/>
      <c r="F981" s="5"/>
      <c r="G981" s="5"/>
      <c r="H981" s="5"/>
      <c r="I981" s="5"/>
      <c r="J981" s="5"/>
      <c r="K981" s="50"/>
      <c r="L981" s="50"/>
      <c r="M981" s="50"/>
      <c r="N981" s="50"/>
      <c r="O981" s="50"/>
      <c r="P981" s="50"/>
      <c r="Q981" s="50"/>
      <c r="R981" s="50"/>
      <c r="S981" s="50"/>
      <c r="T981" s="50"/>
      <c r="U981" s="50"/>
      <c r="V981" s="50"/>
      <c r="W981" s="50"/>
      <c r="X981" s="50"/>
      <c r="Y981" s="50"/>
      <c r="Z981" s="50"/>
      <c r="AA981" s="50"/>
      <c r="AB981" s="50"/>
    </row>
    <row r="982" customFormat="false" ht="15.75" hidden="false" customHeight="false" outlineLevel="0" collapsed="false">
      <c r="A982" s="50"/>
      <c r="B982" s="50"/>
      <c r="C982" s="5"/>
      <c r="D982" s="48"/>
      <c r="E982" s="50"/>
      <c r="F982" s="5"/>
      <c r="G982" s="5"/>
      <c r="H982" s="5"/>
      <c r="I982" s="5"/>
      <c r="J982" s="5"/>
      <c r="K982" s="50"/>
      <c r="L982" s="50"/>
      <c r="M982" s="50"/>
      <c r="N982" s="50"/>
      <c r="O982" s="50"/>
      <c r="P982" s="50"/>
      <c r="Q982" s="50"/>
      <c r="R982" s="50"/>
      <c r="S982" s="50"/>
      <c r="T982" s="50"/>
      <c r="U982" s="50"/>
      <c r="V982" s="50"/>
      <c r="W982" s="50"/>
      <c r="X982" s="50"/>
      <c r="Y982" s="50"/>
      <c r="Z982" s="50"/>
      <c r="AA982" s="50"/>
      <c r="AB982" s="50"/>
    </row>
    <row r="983" customFormat="false" ht="15.75" hidden="false" customHeight="false" outlineLevel="0" collapsed="false">
      <c r="A983" s="50"/>
      <c r="B983" s="50"/>
      <c r="C983" s="5"/>
      <c r="D983" s="48"/>
      <c r="E983" s="50"/>
      <c r="F983" s="5"/>
      <c r="G983" s="5"/>
      <c r="H983" s="5"/>
      <c r="I983" s="5"/>
      <c r="J983" s="5"/>
      <c r="K983" s="50"/>
      <c r="L983" s="50"/>
      <c r="M983" s="50"/>
      <c r="N983" s="50"/>
      <c r="O983" s="50"/>
      <c r="P983" s="50"/>
      <c r="Q983" s="50"/>
      <c r="R983" s="50"/>
      <c r="S983" s="50"/>
      <c r="T983" s="50"/>
      <c r="U983" s="50"/>
      <c r="V983" s="50"/>
      <c r="W983" s="50"/>
      <c r="X983" s="50"/>
      <c r="Y983" s="50"/>
      <c r="Z983" s="50"/>
      <c r="AA983" s="50"/>
      <c r="AB983" s="50"/>
    </row>
    <row r="984" customFormat="false" ht="15.75" hidden="false" customHeight="false" outlineLevel="0" collapsed="false">
      <c r="A984" s="50"/>
      <c r="B984" s="50"/>
      <c r="C984" s="5"/>
      <c r="D984" s="48"/>
      <c r="E984" s="50"/>
      <c r="F984" s="5"/>
      <c r="G984" s="5"/>
      <c r="H984" s="5"/>
      <c r="I984" s="5"/>
      <c r="J984" s="5"/>
      <c r="K984" s="50"/>
      <c r="L984" s="50"/>
      <c r="M984" s="50"/>
      <c r="N984" s="50"/>
      <c r="O984" s="50"/>
      <c r="P984" s="50"/>
      <c r="Q984" s="50"/>
      <c r="R984" s="50"/>
      <c r="S984" s="50"/>
      <c r="T984" s="50"/>
      <c r="U984" s="50"/>
      <c r="V984" s="50"/>
      <c r="W984" s="50"/>
      <c r="X984" s="50"/>
      <c r="Y984" s="50"/>
      <c r="Z984" s="50"/>
      <c r="AA984" s="50"/>
      <c r="AB984" s="50"/>
    </row>
    <row r="985" customFormat="false" ht="15.75" hidden="false" customHeight="false" outlineLevel="0" collapsed="false">
      <c r="A985" s="50"/>
      <c r="B985" s="50"/>
      <c r="C985" s="5"/>
      <c r="D985" s="48"/>
      <c r="E985" s="50"/>
      <c r="F985" s="5"/>
      <c r="G985" s="5"/>
      <c r="H985" s="5"/>
      <c r="I985" s="5"/>
      <c r="J985" s="5"/>
      <c r="K985" s="50"/>
      <c r="L985" s="50"/>
      <c r="M985" s="50"/>
      <c r="N985" s="50"/>
      <c r="O985" s="50"/>
      <c r="P985" s="50"/>
      <c r="Q985" s="50"/>
      <c r="R985" s="50"/>
      <c r="S985" s="50"/>
      <c r="T985" s="50"/>
      <c r="U985" s="50"/>
      <c r="V985" s="50"/>
      <c r="W985" s="50"/>
      <c r="X985" s="50"/>
      <c r="Y985" s="50"/>
      <c r="Z985" s="50"/>
      <c r="AA985" s="50"/>
      <c r="AB985" s="50"/>
    </row>
    <row r="986" customFormat="false" ht="15.75" hidden="false" customHeight="false" outlineLevel="0" collapsed="false">
      <c r="A986" s="50"/>
      <c r="B986" s="50"/>
      <c r="C986" s="5"/>
      <c r="D986" s="48"/>
      <c r="E986" s="50"/>
      <c r="F986" s="5"/>
      <c r="G986" s="5"/>
      <c r="H986" s="5"/>
      <c r="I986" s="5"/>
      <c r="J986" s="5"/>
      <c r="K986" s="50"/>
      <c r="L986" s="50"/>
      <c r="M986" s="50"/>
      <c r="N986" s="50"/>
      <c r="O986" s="50"/>
      <c r="P986" s="50"/>
      <c r="Q986" s="50"/>
      <c r="R986" s="50"/>
      <c r="S986" s="50"/>
      <c r="T986" s="50"/>
      <c r="U986" s="50"/>
      <c r="V986" s="50"/>
      <c r="W986" s="50"/>
      <c r="X986" s="50"/>
      <c r="Y986" s="50"/>
      <c r="Z986" s="50"/>
      <c r="AA986" s="50"/>
      <c r="AB986" s="50"/>
    </row>
    <row r="987" customFormat="false" ht="15.75" hidden="false" customHeight="false" outlineLevel="0" collapsed="false">
      <c r="A987" s="50"/>
      <c r="B987" s="50"/>
      <c r="C987" s="5"/>
      <c r="D987" s="48"/>
      <c r="E987" s="50"/>
      <c r="F987" s="5"/>
      <c r="G987" s="5"/>
      <c r="H987" s="5"/>
      <c r="I987" s="5"/>
      <c r="J987" s="5"/>
      <c r="K987" s="50"/>
      <c r="L987" s="50"/>
      <c r="M987" s="50"/>
      <c r="N987" s="50"/>
      <c r="O987" s="50"/>
      <c r="P987" s="50"/>
      <c r="Q987" s="50"/>
      <c r="R987" s="50"/>
      <c r="S987" s="50"/>
      <c r="T987" s="50"/>
      <c r="U987" s="50"/>
      <c r="V987" s="50"/>
      <c r="W987" s="50"/>
      <c r="X987" s="50"/>
      <c r="Y987" s="50"/>
      <c r="Z987" s="50"/>
      <c r="AA987" s="50"/>
      <c r="AB987" s="50"/>
    </row>
    <row r="988" customFormat="false" ht="15.75" hidden="false" customHeight="false" outlineLevel="0" collapsed="false">
      <c r="A988" s="50"/>
      <c r="B988" s="50"/>
      <c r="C988" s="5"/>
      <c r="D988" s="48"/>
      <c r="E988" s="50"/>
      <c r="F988" s="5"/>
      <c r="G988" s="5"/>
      <c r="H988" s="5"/>
      <c r="I988" s="5"/>
      <c r="J988" s="5"/>
      <c r="K988" s="50"/>
      <c r="L988" s="50"/>
      <c r="M988" s="50"/>
      <c r="N988" s="50"/>
      <c r="O988" s="50"/>
      <c r="P988" s="50"/>
      <c r="Q988" s="50"/>
      <c r="R988" s="50"/>
      <c r="S988" s="50"/>
      <c r="T988" s="50"/>
      <c r="U988" s="50"/>
      <c r="V988" s="50"/>
      <c r="W988" s="50"/>
      <c r="X988" s="50"/>
      <c r="Y988" s="50"/>
      <c r="Z988" s="50"/>
      <c r="AA988" s="50"/>
      <c r="AB988" s="50"/>
    </row>
    <row r="989" customFormat="false" ht="15.75" hidden="false" customHeight="false" outlineLevel="0" collapsed="false">
      <c r="A989" s="50"/>
      <c r="B989" s="50"/>
      <c r="C989" s="5"/>
      <c r="D989" s="48"/>
      <c r="E989" s="50"/>
      <c r="F989" s="5"/>
      <c r="G989" s="5"/>
      <c r="H989" s="5"/>
      <c r="I989" s="5"/>
      <c r="J989" s="5"/>
      <c r="K989" s="50"/>
      <c r="L989" s="50"/>
      <c r="M989" s="50"/>
      <c r="N989" s="50"/>
      <c r="O989" s="50"/>
      <c r="P989" s="50"/>
      <c r="Q989" s="50"/>
      <c r="R989" s="50"/>
      <c r="S989" s="50"/>
      <c r="T989" s="50"/>
      <c r="U989" s="50"/>
      <c r="V989" s="50"/>
      <c r="W989" s="50"/>
      <c r="X989" s="50"/>
      <c r="Y989" s="50"/>
      <c r="Z989" s="50"/>
      <c r="AA989" s="50"/>
      <c r="AB989" s="50"/>
    </row>
    <row r="990" customFormat="false" ht="15.75" hidden="false" customHeight="false" outlineLevel="0" collapsed="false">
      <c r="A990" s="50"/>
      <c r="B990" s="50"/>
      <c r="C990" s="5"/>
      <c r="D990" s="48"/>
      <c r="E990" s="50"/>
      <c r="F990" s="5"/>
      <c r="G990" s="5"/>
      <c r="H990" s="5"/>
      <c r="I990" s="5"/>
      <c r="J990" s="5"/>
      <c r="K990" s="50"/>
      <c r="L990" s="50"/>
      <c r="M990" s="50"/>
      <c r="N990" s="50"/>
      <c r="O990" s="50"/>
      <c r="P990" s="50"/>
      <c r="Q990" s="50"/>
      <c r="R990" s="50"/>
      <c r="S990" s="50"/>
      <c r="T990" s="50"/>
      <c r="U990" s="50"/>
      <c r="V990" s="50"/>
      <c r="W990" s="50"/>
      <c r="X990" s="50"/>
      <c r="Y990" s="50"/>
      <c r="Z990" s="50"/>
      <c r="AA990" s="50"/>
      <c r="AB990" s="50"/>
    </row>
    <row r="991" customFormat="false" ht="15.75" hidden="false" customHeight="false" outlineLevel="0" collapsed="false">
      <c r="A991" s="50"/>
      <c r="B991" s="50"/>
      <c r="C991" s="5"/>
      <c r="D991" s="48"/>
      <c r="E991" s="50"/>
      <c r="F991" s="5"/>
      <c r="G991" s="5"/>
      <c r="H991" s="5"/>
      <c r="I991" s="5"/>
      <c r="J991" s="5"/>
      <c r="K991" s="50"/>
      <c r="L991" s="50"/>
      <c r="M991" s="50"/>
      <c r="N991" s="50"/>
      <c r="O991" s="50"/>
      <c r="P991" s="50"/>
      <c r="Q991" s="50"/>
      <c r="R991" s="50"/>
      <c r="S991" s="50"/>
      <c r="T991" s="50"/>
      <c r="U991" s="50"/>
      <c r="V991" s="50"/>
      <c r="W991" s="50"/>
      <c r="X991" s="50"/>
      <c r="Y991" s="50"/>
      <c r="Z991" s="50"/>
      <c r="AA991" s="50"/>
      <c r="AB991" s="50"/>
    </row>
    <row r="992" customFormat="false" ht="15.75" hidden="false" customHeight="false" outlineLevel="0" collapsed="false">
      <c r="A992" s="50"/>
      <c r="B992" s="50"/>
      <c r="C992" s="5"/>
      <c r="D992" s="48"/>
      <c r="E992" s="50"/>
      <c r="F992" s="5"/>
      <c r="G992" s="5"/>
      <c r="H992" s="5"/>
      <c r="I992" s="5"/>
      <c r="J992" s="5"/>
      <c r="K992" s="50"/>
      <c r="L992" s="50"/>
      <c r="M992" s="50"/>
      <c r="N992" s="50"/>
      <c r="O992" s="50"/>
      <c r="P992" s="50"/>
      <c r="Q992" s="50"/>
      <c r="R992" s="50"/>
      <c r="S992" s="50"/>
      <c r="T992" s="50"/>
      <c r="U992" s="50"/>
      <c r="V992" s="50"/>
      <c r="W992" s="50"/>
      <c r="X992" s="50"/>
      <c r="Y992" s="50"/>
      <c r="Z992" s="50"/>
      <c r="AA992" s="50"/>
      <c r="AB992" s="50"/>
    </row>
    <row r="993" customFormat="false" ht="15.75" hidden="false" customHeight="false" outlineLevel="0" collapsed="false">
      <c r="A993" s="50"/>
      <c r="B993" s="50"/>
      <c r="C993" s="5"/>
      <c r="D993" s="48"/>
      <c r="E993" s="50"/>
      <c r="F993" s="5"/>
      <c r="G993" s="5"/>
      <c r="H993" s="5"/>
      <c r="I993" s="5"/>
      <c r="J993" s="5"/>
      <c r="K993" s="50"/>
      <c r="L993" s="50"/>
      <c r="M993" s="50"/>
      <c r="N993" s="50"/>
      <c r="O993" s="50"/>
      <c r="P993" s="50"/>
      <c r="Q993" s="50"/>
      <c r="R993" s="50"/>
      <c r="S993" s="50"/>
      <c r="T993" s="50"/>
      <c r="U993" s="50"/>
      <c r="V993" s="50"/>
      <c r="W993" s="50"/>
      <c r="X993" s="50"/>
      <c r="Y993" s="50"/>
      <c r="Z993" s="50"/>
      <c r="AA993" s="50"/>
      <c r="AB993" s="50"/>
    </row>
    <row r="994" customFormat="false" ht="15.75" hidden="false" customHeight="false" outlineLevel="0" collapsed="false">
      <c r="A994" s="50"/>
      <c r="B994" s="50"/>
      <c r="C994" s="5"/>
      <c r="D994" s="48"/>
      <c r="E994" s="50"/>
      <c r="F994" s="5"/>
      <c r="G994" s="5"/>
      <c r="H994" s="5"/>
      <c r="I994" s="5"/>
      <c r="J994" s="5"/>
      <c r="K994" s="50"/>
      <c r="L994" s="50"/>
      <c r="M994" s="50"/>
      <c r="N994" s="50"/>
      <c r="O994" s="50"/>
      <c r="P994" s="50"/>
      <c r="Q994" s="50"/>
      <c r="R994" s="50"/>
      <c r="S994" s="50"/>
      <c r="T994" s="50"/>
      <c r="U994" s="50"/>
      <c r="V994" s="50"/>
      <c r="W994" s="50"/>
      <c r="X994" s="50"/>
      <c r="Y994" s="50"/>
      <c r="Z994" s="50"/>
      <c r="AA994" s="50"/>
      <c r="AB994" s="50"/>
    </row>
    <row r="995" customFormat="false" ht="15.75" hidden="false" customHeight="false" outlineLevel="0" collapsed="false">
      <c r="A995" s="50"/>
      <c r="B995" s="50"/>
      <c r="C995" s="5"/>
      <c r="D995" s="48"/>
      <c r="E995" s="50"/>
      <c r="F995" s="5"/>
      <c r="G995" s="5"/>
      <c r="H995" s="5"/>
      <c r="I995" s="5"/>
      <c r="J995" s="5"/>
      <c r="K995" s="50"/>
      <c r="L995" s="50"/>
      <c r="M995" s="50"/>
      <c r="N995" s="50"/>
      <c r="O995" s="50"/>
      <c r="P995" s="50"/>
      <c r="Q995" s="50"/>
      <c r="R995" s="50"/>
      <c r="S995" s="50"/>
      <c r="T995" s="50"/>
      <c r="U995" s="50"/>
      <c r="V995" s="50"/>
      <c r="W995" s="50"/>
      <c r="X995" s="50"/>
      <c r="Y995" s="50"/>
      <c r="Z995" s="50"/>
      <c r="AA995" s="50"/>
      <c r="AB995" s="50"/>
    </row>
    <row r="996" customFormat="false" ht="15.75" hidden="false" customHeight="false" outlineLevel="0" collapsed="false">
      <c r="A996" s="50"/>
      <c r="B996" s="50"/>
      <c r="C996" s="5"/>
      <c r="D996" s="48"/>
      <c r="E996" s="50"/>
      <c r="F996" s="5"/>
      <c r="G996" s="5"/>
      <c r="H996" s="5"/>
      <c r="I996" s="5"/>
      <c r="J996" s="5"/>
      <c r="K996" s="50"/>
      <c r="L996" s="50"/>
      <c r="M996" s="50"/>
      <c r="N996" s="50"/>
      <c r="O996" s="50"/>
      <c r="P996" s="50"/>
      <c r="Q996" s="50"/>
      <c r="R996" s="50"/>
      <c r="S996" s="50"/>
      <c r="T996" s="50"/>
      <c r="U996" s="50"/>
      <c r="V996" s="50"/>
      <c r="W996" s="50"/>
      <c r="X996" s="50"/>
      <c r="Y996" s="50"/>
      <c r="Z996" s="50"/>
      <c r="AA996" s="50"/>
      <c r="AB996" s="50"/>
    </row>
    <row r="997" customFormat="false" ht="15.75" hidden="false" customHeight="false" outlineLevel="0" collapsed="false">
      <c r="A997" s="50"/>
      <c r="B997" s="50"/>
      <c r="C997" s="5"/>
      <c r="D997" s="48"/>
      <c r="E997" s="50"/>
      <c r="F997" s="5"/>
      <c r="G997" s="5"/>
      <c r="H997" s="5"/>
      <c r="I997" s="5"/>
      <c r="J997" s="5"/>
      <c r="K997" s="50"/>
      <c r="L997" s="50"/>
      <c r="M997" s="50"/>
      <c r="N997" s="50"/>
      <c r="O997" s="50"/>
      <c r="P997" s="50"/>
      <c r="Q997" s="50"/>
      <c r="R997" s="50"/>
      <c r="S997" s="50"/>
      <c r="T997" s="50"/>
      <c r="U997" s="50"/>
      <c r="V997" s="50"/>
      <c r="W997" s="50"/>
      <c r="X997" s="50"/>
      <c r="Y997" s="50"/>
      <c r="Z997" s="50"/>
      <c r="AA997" s="50"/>
      <c r="AB997" s="50"/>
    </row>
    <row r="998" customFormat="false" ht="15.75" hidden="false" customHeight="false" outlineLevel="0" collapsed="false">
      <c r="A998" s="50"/>
      <c r="B998" s="50"/>
      <c r="C998" s="5"/>
      <c r="D998" s="48"/>
      <c r="E998" s="50"/>
      <c r="F998" s="5"/>
      <c r="G998" s="5"/>
      <c r="H998" s="5"/>
      <c r="I998" s="5"/>
      <c r="J998" s="5"/>
      <c r="K998" s="50"/>
      <c r="L998" s="50"/>
      <c r="M998" s="50"/>
      <c r="N998" s="50"/>
      <c r="O998" s="50"/>
      <c r="P998" s="50"/>
      <c r="Q998" s="50"/>
      <c r="R998" s="50"/>
      <c r="S998" s="50"/>
      <c r="T998" s="50"/>
      <c r="U998" s="50"/>
      <c r="V998" s="50"/>
      <c r="W998" s="50"/>
      <c r="X998" s="50"/>
      <c r="Y998" s="50"/>
      <c r="Z998" s="50"/>
      <c r="AA998" s="50"/>
      <c r="AB998" s="50"/>
    </row>
    <row r="999" customFormat="false" ht="15.75" hidden="false" customHeight="false" outlineLevel="0" collapsed="false">
      <c r="A999" s="50"/>
      <c r="B999" s="50"/>
      <c r="C999" s="5"/>
      <c r="D999" s="48"/>
      <c r="E999" s="50"/>
      <c r="F999" s="5"/>
      <c r="G999" s="5"/>
      <c r="H999" s="5"/>
      <c r="I999" s="5"/>
      <c r="J999" s="5"/>
      <c r="K999" s="50"/>
      <c r="L999" s="50"/>
      <c r="M999" s="50"/>
      <c r="N999" s="50"/>
      <c r="O999" s="50"/>
      <c r="P999" s="50"/>
      <c r="Q999" s="50"/>
      <c r="R999" s="50"/>
      <c r="S999" s="50"/>
      <c r="T999" s="50"/>
      <c r="U999" s="50"/>
      <c r="V999" s="50"/>
      <c r="W999" s="50"/>
      <c r="X999" s="50"/>
      <c r="Y999" s="50"/>
      <c r="Z999" s="50"/>
      <c r="AA999" s="50"/>
      <c r="AB999" s="50"/>
    </row>
    <row r="1000" customFormat="false" ht="15.75" hidden="false" customHeight="false" outlineLevel="0" collapsed="false">
      <c r="A1000" s="50"/>
      <c r="B1000" s="50"/>
      <c r="C1000" s="5"/>
      <c r="D1000" s="48"/>
      <c r="E1000" s="50"/>
      <c r="F1000" s="5"/>
      <c r="G1000" s="5"/>
      <c r="H1000" s="5"/>
      <c r="I1000" s="5"/>
      <c r="J1000" s="5"/>
      <c r="K1000" s="50"/>
      <c r="L1000" s="50"/>
      <c r="M1000" s="50"/>
      <c r="N1000" s="50"/>
      <c r="O1000" s="50"/>
      <c r="P1000" s="50"/>
      <c r="Q1000" s="50"/>
      <c r="R1000" s="50"/>
      <c r="S1000" s="50"/>
      <c r="T1000" s="50"/>
      <c r="U1000" s="50"/>
      <c r="V1000" s="50"/>
      <c r="W1000" s="50"/>
      <c r="X1000" s="50"/>
      <c r="Y1000" s="50"/>
      <c r="Z1000" s="50"/>
      <c r="AA1000" s="50"/>
      <c r="AB1000" s="50"/>
    </row>
    <row r="1001" customFormat="false" ht="15.75" hidden="false" customHeight="false" outlineLevel="0" collapsed="false">
      <c r="A1001" s="50"/>
      <c r="B1001" s="50"/>
      <c r="C1001" s="5"/>
      <c r="D1001" s="48"/>
      <c r="E1001" s="50"/>
      <c r="F1001" s="5"/>
      <c r="G1001" s="5"/>
      <c r="H1001" s="5"/>
      <c r="I1001" s="5"/>
      <c r="J1001" s="5"/>
      <c r="K1001" s="50"/>
      <c r="L1001" s="50"/>
      <c r="M1001" s="50"/>
      <c r="N1001" s="50"/>
      <c r="O1001" s="50"/>
      <c r="P1001" s="50"/>
      <c r="Q1001" s="50"/>
      <c r="R1001" s="50"/>
      <c r="S1001" s="50"/>
      <c r="T1001" s="50"/>
      <c r="U1001" s="50"/>
      <c r="V1001" s="50"/>
      <c r="W1001" s="50"/>
      <c r="X1001" s="50"/>
      <c r="Y1001" s="50"/>
      <c r="Z1001" s="50"/>
      <c r="AA1001" s="50"/>
      <c r="AB1001" s="50"/>
    </row>
    <row r="1002" customFormat="false" ht="15.75" hidden="false" customHeight="false" outlineLevel="0" collapsed="false">
      <c r="A1002" s="50"/>
      <c r="B1002" s="50"/>
      <c r="C1002" s="5"/>
      <c r="D1002" s="48"/>
      <c r="E1002" s="50"/>
      <c r="F1002" s="5"/>
      <c r="G1002" s="5"/>
      <c r="H1002" s="5"/>
      <c r="I1002" s="5"/>
      <c r="J1002" s="5"/>
      <c r="K1002" s="50"/>
      <c r="L1002" s="50"/>
      <c r="M1002" s="50"/>
      <c r="N1002" s="50"/>
      <c r="O1002" s="50"/>
      <c r="P1002" s="50"/>
      <c r="Q1002" s="50"/>
      <c r="R1002" s="50"/>
      <c r="S1002" s="50"/>
      <c r="T1002" s="50"/>
      <c r="U1002" s="50"/>
      <c r="V1002" s="50"/>
      <c r="W1002" s="50"/>
      <c r="X1002" s="50"/>
      <c r="Y1002" s="50"/>
      <c r="Z1002" s="50"/>
      <c r="AA1002" s="50"/>
      <c r="AB1002" s="50"/>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mundua/aragonesek-lehen-lerro-politikoa-utziko-du_2125045_102.html"/>
    <hyperlink ref="A7" r:id="rId3" display="https://www.berria.eus/kirola/derbi-bikoitza_2118881_102.html"/>
    <hyperlink ref="A12" r:id="rId4" display="https://www.berria.eus/kirola/berriro-etxean-sentitzeko_2117830_102.html"/>
    <hyperlink ref="A17" r:id="rId5" display="https://www.berria.eus/komunikazioa/generacion-porno-dokumental-saioa-egin-dute-etbk-eta-tv3ek_1341518_102.html"/>
    <hyperlink ref="A22" r:id="rId6" display="https://www.berria.eus/kirola/artolak-nagusitasunez-irabazi-dio-zabaleri_2124679_102.html"/>
    <hyperlink ref="A27" r:id="rId7" display="https://www.berria.eus/mundua/gutxienez-40-hildako-eta-dozenaka-zauritu-moskun-gertatutako-tiroketa-batean_2122731_102.html"/>
    <hyperlink ref="A32" r:id="rId8" display="https://www.berria.eus/bizigiro/ohartu-behar-dugu-bizi-garen-jendartea-dominazioaren-kultura-batean-oinarritzen-dela_2121952_102.html"/>
    <hyperlink ref="A37" r:id="rId9" display="https://www.berria.eus/ekonomia/energiaren-euskal-erakundea-energia-konpainien-zergaren-aurka_234607_102.html"/>
    <hyperlink ref="A42" r:id="rId10" display="https://www.berria.eus/kultura/benat-arrutik-irabazi-du-donostia-kultura-vii-poesia-lehiaketa_2122642_102.html"/>
    <hyperlink ref="A47" r:id="rId11" display="https://www.berria.eus/mundua/aleksei-navalni-hil-da_212084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4" t="s">
        <v>29</v>
      </c>
      <c r="E1" s="45"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76" t="s">
        <v>30</v>
      </c>
      <c r="B2" s="47" t="s">
        <v>31</v>
      </c>
      <c r="C2" s="5" t="s">
        <v>18</v>
      </c>
      <c r="D2" s="48" t="s">
        <v>231</v>
      </c>
      <c r="E2" s="77" t="n">
        <f aca="false">IFERROR(__xludf.dummyfunction("COUNTA(SPLIT(D2,"" ""))/COUNTA(SPLIT($B$2,"" ""))"),0.361858190709046)</f>
        <v>0.3618581907</v>
      </c>
      <c r="F2" s="5" t="n">
        <v>1</v>
      </c>
      <c r="G2" s="5" t="n">
        <v>1</v>
      </c>
      <c r="H2" s="5" t="n">
        <v>1</v>
      </c>
      <c r="I2" s="5" t="n">
        <v>1</v>
      </c>
      <c r="J2" s="5" t="n">
        <v>1</v>
      </c>
      <c r="K2" s="50"/>
      <c r="L2" s="50"/>
      <c r="M2" s="50"/>
      <c r="N2" s="50"/>
      <c r="O2" s="50"/>
      <c r="P2" s="50"/>
      <c r="Q2" s="50"/>
      <c r="R2" s="50"/>
      <c r="S2" s="50"/>
      <c r="T2" s="50"/>
      <c r="U2" s="50"/>
      <c r="V2" s="50"/>
      <c r="W2" s="50"/>
      <c r="X2" s="50"/>
      <c r="Y2" s="50"/>
      <c r="Z2" s="50"/>
      <c r="AA2" s="50"/>
      <c r="AB2" s="50"/>
    </row>
    <row r="3" customFormat="false" ht="225" hidden="false" customHeight="true" outlineLevel="0" collapsed="false">
      <c r="A3" s="76"/>
      <c r="B3" s="76"/>
      <c r="C3" s="5" t="s">
        <v>19</v>
      </c>
      <c r="D3" s="48" t="s">
        <v>232</v>
      </c>
      <c r="E3" s="78" t="n">
        <f aca="false">IFERROR(__xludf.dummyfunction("COUNTA(SPLIT(D3,"" ""))/COUNTA(SPLIT($B$2,"" ""))"),0.0611246943765281)</f>
        <v>0.06112469438</v>
      </c>
      <c r="F3" s="5" t="n">
        <v>4</v>
      </c>
      <c r="G3" s="5" t="n">
        <v>4</v>
      </c>
      <c r="H3" s="5" t="n">
        <v>4</v>
      </c>
      <c r="I3" s="5" t="n">
        <v>5</v>
      </c>
      <c r="J3" s="5" t="n">
        <v>3</v>
      </c>
      <c r="K3" s="50"/>
      <c r="L3" s="50"/>
      <c r="M3" s="50"/>
      <c r="N3" s="50"/>
      <c r="O3" s="50"/>
      <c r="P3" s="50"/>
      <c r="Q3" s="50"/>
      <c r="R3" s="50"/>
      <c r="S3" s="50"/>
      <c r="T3" s="50"/>
      <c r="U3" s="50"/>
      <c r="V3" s="50"/>
      <c r="W3" s="50"/>
      <c r="X3" s="50"/>
      <c r="Y3" s="50"/>
      <c r="Z3" s="50"/>
      <c r="AA3" s="50"/>
      <c r="AB3" s="50"/>
    </row>
    <row r="4" customFormat="false" ht="225" hidden="false" customHeight="true" outlineLevel="0" collapsed="false">
      <c r="A4" s="76"/>
      <c r="B4" s="76"/>
      <c r="C4" s="5" t="s">
        <v>8</v>
      </c>
      <c r="D4" s="48" t="s">
        <v>233</v>
      </c>
      <c r="E4" s="79" t="n">
        <f aca="false">IFERROR(__xludf.dummyfunction("COUNTA(SPLIT(D4,"" ""))/COUNTA(SPLIT($B$2,"" ""))"),0.190709046454768)</f>
        <v>0.1907090465</v>
      </c>
      <c r="F4" s="5" t="n">
        <v>3</v>
      </c>
      <c r="G4" s="5" t="n">
        <v>3</v>
      </c>
      <c r="H4" s="5" t="n">
        <v>4</v>
      </c>
      <c r="I4" s="5" t="n">
        <v>3</v>
      </c>
      <c r="J4" s="5" t="n">
        <v>3</v>
      </c>
      <c r="K4" s="50"/>
      <c r="L4" s="50"/>
      <c r="M4" s="50"/>
      <c r="N4" s="50"/>
      <c r="O4" s="50"/>
      <c r="P4" s="50"/>
      <c r="Q4" s="50"/>
      <c r="R4" s="50"/>
      <c r="S4" s="50"/>
      <c r="T4" s="50"/>
      <c r="U4" s="50"/>
      <c r="V4" s="50"/>
      <c r="W4" s="50"/>
      <c r="X4" s="50"/>
      <c r="Y4" s="50"/>
      <c r="Z4" s="50"/>
      <c r="AA4" s="50"/>
      <c r="AB4" s="50"/>
    </row>
    <row r="5" customFormat="false" ht="225" hidden="false" customHeight="true" outlineLevel="0" collapsed="false">
      <c r="A5" s="76"/>
      <c r="B5" s="76"/>
      <c r="C5" s="5" t="s">
        <v>20</v>
      </c>
      <c r="D5" s="48" t="s">
        <v>234</v>
      </c>
      <c r="E5" s="80" t="n">
        <f aca="false">IFERROR(__xludf.dummyfunction("COUNTA(SPLIT(D5,"" ""))/COUNTA(SPLIT($B$2,"" ""))"),0.0403422982885086)</f>
        <v>0.04034229829</v>
      </c>
      <c r="F5" s="5" t="n">
        <v>5</v>
      </c>
      <c r="G5" s="5" t="n">
        <v>3</v>
      </c>
      <c r="H5" s="5" t="n">
        <v>5</v>
      </c>
      <c r="I5" s="5" t="n">
        <v>5</v>
      </c>
      <c r="J5" s="5" t="n">
        <v>2</v>
      </c>
      <c r="K5" s="50"/>
      <c r="L5" s="50"/>
      <c r="M5" s="50"/>
      <c r="N5" s="50"/>
      <c r="O5" s="50"/>
      <c r="P5" s="50"/>
      <c r="Q5" s="50"/>
      <c r="R5" s="50"/>
      <c r="S5" s="50"/>
      <c r="T5" s="50"/>
      <c r="U5" s="50"/>
      <c r="V5" s="50"/>
      <c r="W5" s="50"/>
      <c r="X5" s="50"/>
      <c r="Y5" s="50"/>
      <c r="Z5" s="50"/>
      <c r="AA5" s="50"/>
      <c r="AB5" s="50"/>
    </row>
    <row r="6" customFormat="false" ht="15.75" hidden="false" customHeight="false" outlineLevel="0" collapsed="false">
      <c r="A6" s="50"/>
      <c r="B6" s="50"/>
      <c r="C6" s="5"/>
      <c r="D6" s="48"/>
      <c r="E6" s="52"/>
      <c r="F6" s="5"/>
      <c r="G6" s="5"/>
      <c r="H6" s="5"/>
      <c r="I6" s="5"/>
      <c r="J6" s="5"/>
      <c r="K6" s="50"/>
      <c r="L6" s="50"/>
      <c r="M6" s="50"/>
      <c r="N6" s="50"/>
      <c r="O6" s="50"/>
      <c r="P6" s="50"/>
      <c r="Q6" s="50"/>
      <c r="R6" s="50"/>
      <c r="S6" s="50"/>
      <c r="T6" s="50"/>
      <c r="U6" s="50"/>
      <c r="V6" s="50"/>
      <c r="W6" s="50"/>
      <c r="X6" s="50"/>
      <c r="Y6" s="50"/>
      <c r="Z6" s="50"/>
      <c r="AA6" s="50"/>
      <c r="AB6" s="50"/>
    </row>
    <row r="7" customFormat="false" ht="225" hidden="false" customHeight="true" outlineLevel="0" collapsed="false">
      <c r="A7" s="53" t="s">
        <v>35</v>
      </c>
      <c r="B7" s="54" t="s">
        <v>36</v>
      </c>
      <c r="C7" s="55" t="s">
        <v>18</v>
      </c>
      <c r="D7" s="56" t="s">
        <v>235</v>
      </c>
      <c r="E7" s="81" t="n">
        <f aca="false">IFERROR(__xludf.dummyfunction("COUNTA(SPLIT(D7,"" ""))/COUNTA(SPLIT($B$7,"" ""))"),0.195833333333333)</f>
        <v>0.1958333333</v>
      </c>
      <c r="F7" s="55" t="n">
        <v>3</v>
      </c>
      <c r="G7" s="55" t="n">
        <v>4</v>
      </c>
      <c r="H7" s="55" t="n">
        <v>5</v>
      </c>
      <c r="I7" s="55" t="n">
        <v>4</v>
      </c>
      <c r="J7" s="55" t="n">
        <v>4</v>
      </c>
      <c r="K7" s="58"/>
      <c r="L7" s="58"/>
      <c r="M7" s="58"/>
      <c r="N7" s="58"/>
      <c r="O7" s="58"/>
      <c r="P7" s="58"/>
      <c r="Q7" s="58"/>
      <c r="R7" s="58"/>
      <c r="S7" s="58"/>
      <c r="T7" s="58"/>
      <c r="U7" s="58"/>
      <c r="V7" s="58"/>
      <c r="W7" s="58"/>
      <c r="X7" s="58"/>
      <c r="Y7" s="58"/>
      <c r="Z7" s="58"/>
      <c r="AA7" s="58"/>
      <c r="AB7" s="58"/>
    </row>
    <row r="8" customFormat="false" ht="225" hidden="false" customHeight="true" outlineLevel="0" collapsed="false">
      <c r="A8" s="53"/>
      <c r="B8" s="53"/>
      <c r="C8" s="5" t="s">
        <v>19</v>
      </c>
      <c r="D8" s="48" t="s">
        <v>236</v>
      </c>
      <c r="E8" s="82" t="n">
        <f aca="false">IFERROR(__xludf.dummyfunction("COUNTA(SPLIT(D8,"" ""))/COUNTA(SPLIT($B$7,"" ""))"),0.0625)</f>
        <v>0.0625</v>
      </c>
      <c r="F8" s="5" t="n">
        <v>3</v>
      </c>
      <c r="G8" s="5" t="n">
        <v>5</v>
      </c>
      <c r="H8" s="5" t="n">
        <v>5</v>
      </c>
      <c r="I8" s="5" t="n">
        <v>5</v>
      </c>
      <c r="J8" s="5" t="n">
        <v>4</v>
      </c>
      <c r="K8" s="50"/>
      <c r="L8" s="50"/>
      <c r="M8" s="50"/>
      <c r="N8" s="50"/>
      <c r="O8" s="50"/>
      <c r="P8" s="50"/>
      <c r="Q8" s="50"/>
      <c r="R8" s="50"/>
      <c r="S8" s="50"/>
      <c r="T8" s="50"/>
      <c r="U8" s="50"/>
      <c r="V8" s="50"/>
      <c r="W8" s="50"/>
      <c r="X8" s="50"/>
      <c r="Y8" s="50"/>
      <c r="Z8" s="50"/>
      <c r="AA8" s="50"/>
      <c r="AB8" s="50"/>
    </row>
    <row r="9" customFormat="false" ht="225" hidden="false" customHeight="true" outlineLevel="0" collapsed="false">
      <c r="A9" s="53"/>
      <c r="B9" s="53"/>
      <c r="C9" s="5" t="s">
        <v>8</v>
      </c>
      <c r="D9" s="48" t="s">
        <v>237</v>
      </c>
      <c r="E9" s="83" t="n">
        <f aca="false">IFERROR(__xludf.dummyfunction("COUNTA(SPLIT(D9,"" ""))/COUNTA(SPLIT($B$7,"" ""))"),0.266666666666667)</f>
        <v>0.2666666667</v>
      </c>
      <c r="F9" s="5" t="n">
        <v>1</v>
      </c>
      <c r="G9" s="5" t="n">
        <v>4</v>
      </c>
      <c r="H9" s="5" t="n">
        <v>4</v>
      </c>
      <c r="I9" s="5" t="n">
        <v>4</v>
      </c>
      <c r="J9" s="5" t="n">
        <v>5</v>
      </c>
      <c r="K9" s="50"/>
      <c r="L9" s="50"/>
      <c r="M9" s="50"/>
      <c r="N9" s="50"/>
      <c r="O9" s="50"/>
      <c r="P9" s="50"/>
      <c r="Q9" s="50"/>
      <c r="R9" s="50"/>
      <c r="S9" s="50"/>
      <c r="T9" s="50"/>
      <c r="U9" s="50"/>
      <c r="V9" s="50"/>
      <c r="W9" s="50"/>
      <c r="X9" s="50"/>
      <c r="Y9" s="50"/>
      <c r="Z9" s="50"/>
      <c r="AA9" s="50"/>
      <c r="AB9" s="50"/>
    </row>
    <row r="10" customFormat="false" ht="225" hidden="false" customHeight="true" outlineLevel="0" collapsed="false">
      <c r="A10" s="53"/>
      <c r="B10" s="53"/>
      <c r="C10" s="5" t="s">
        <v>20</v>
      </c>
      <c r="D10" s="48" t="s">
        <v>238</v>
      </c>
      <c r="E10" s="84" t="n">
        <f aca="false">IFERROR(__xludf.dummyfunction("COUNTA(SPLIT(D10,"" ""))/COUNTA(SPLIT($B$7,"" ""))"),0.075)</f>
        <v>0.075</v>
      </c>
      <c r="F10" s="5" t="n">
        <v>2</v>
      </c>
      <c r="G10" s="5" t="n">
        <v>2</v>
      </c>
      <c r="H10" s="5" t="n">
        <v>4</v>
      </c>
      <c r="I10" s="5" t="n">
        <v>5</v>
      </c>
      <c r="J10" s="5" t="n">
        <v>2</v>
      </c>
      <c r="K10" s="50"/>
      <c r="L10" s="50"/>
      <c r="M10" s="50"/>
      <c r="N10" s="50"/>
      <c r="O10" s="50"/>
      <c r="P10" s="50"/>
      <c r="Q10" s="50"/>
      <c r="R10" s="50"/>
      <c r="S10" s="50"/>
      <c r="T10" s="50"/>
      <c r="U10" s="50"/>
      <c r="V10" s="50"/>
      <c r="W10" s="50"/>
      <c r="X10" s="50"/>
      <c r="Y10" s="50"/>
      <c r="Z10" s="50"/>
      <c r="AA10" s="50"/>
      <c r="AB10" s="50"/>
    </row>
    <row r="11" customFormat="false" ht="15.75" hidden="false" customHeight="false" outlineLevel="0" collapsed="false">
      <c r="A11" s="50"/>
      <c r="B11" s="50"/>
      <c r="C11" s="5"/>
      <c r="D11" s="48"/>
      <c r="E11" s="52"/>
      <c r="F11" s="5"/>
      <c r="G11" s="5"/>
      <c r="H11" s="5"/>
      <c r="I11" s="5"/>
      <c r="J11" s="5"/>
      <c r="K11" s="50"/>
      <c r="L11" s="50"/>
      <c r="M11" s="50"/>
      <c r="N11" s="50"/>
      <c r="O11" s="50"/>
      <c r="P11" s="50"/>
      <c r="Q11" s="50"/>
      <c r="R11" s="50"/>
      <c r="S11" s="50"/>
      <c r="T11" s="50"/>
      <c r="U11" s="50"/>
      <c r="V11" s="50"/>
      <c r="W11" s="50"/>
      <c r="X11" s="50"/>
      <c r="Y11" s="50"/>
      <c r="Z11" s="50"/>
      <c r="AA11" s="50"/>
      <c r="AB11" s="50"/>
    </row>
    <row r="12" customFormat="false" ht="225" hidden="false" customHeight="true" outlineLevel="0" collapsed="false">
      <c r="A12" s="53" t="s">
        <v>39</v>
      </c>
      <c r="B12" s="54" t="s">
        <v>40</v>
      </c>
      <c r="C12" s="55" t="s">
        <v>18</v>
      </c>
      <c r="D12" s="56" t="s">
        <v>239</v>
      </c>
      <c r="E12" s="85" t="n">
        <f aca="false">IFERROR(__xludf.dummyfunction("COUNTA(SPLIT(D12,"" ""))/COUNTA(SPLIT($B$12,"" ""))"),0.0745454545454545)</f>
        <v>0.07454545455</v>
      </c>
      <c r="F12" s="55" t="n">
        <v>3</v>
      </c>
      <c r="G12" s="55" t="n">
        <v>4</v>
      </c>
      <c r="H12" s="55" t="n">
        <v>5</v>
      </c>
      <c r="I12" s="55" t="n">
        <v>5</v>
      </c>
      <c r="J12" s="55" t="n">
        <v>5</v>
      </c>
      <c r="K12" s="58"/>
      <c r="L12" s="58"/>
      <c r="M12" s="58"/>
      <c r="N12" s="58"/>
      <c r="O12" s="58"/>
      <c r="P12" s="58"/>
      <c r="Q12" s="58"/>
      <c r="R12" s="58"/>
      <c r="S12" s="58"/>
      <c r="T12" s="58"/>
      <c r="U12" s="58"/>
      <c r="V12" s="58"/>
      <c r="W12" s="58"/>
      <c r="X12" s="58"/>
      <c r="Y12" s="58"/>
      <c r="Z12" s="58"/>
      <c r="AA12" s="58"/>
      <c r="AB12" s="58"/>
    </row>
    <row r="13" customFormat="false" ht="225" hidden="false" customHeight="true" outlineLevel="0" collapsed="false">
      <c r="A13" s="53"/>
      <c r="B13" s="53"/>
      <c r="C13" s="5" t="s">
        <v>19</v>
      </c>
      <c r="D13" s="48" t="s">
        <v>240</v>
      </c>
      <c r="E13" s="85" t="n">
        <f aca="false">IFERROR(__xludf.dummyfunction("COUNTA(SPLIT(D13,"" ""))/COUNTA(SPLIT($B$12,"" ""))"),0.143636363636364)</f>
        <v>0.1436363636</v>
      </c>
      <c r="F13" s="5" t="n">
        <v>3</v>
      </c>
      <c r="G13" s="5" t="n">
        <v>4</v>
      </c>
      <c r="H13" s="5" t="n">
        <v>4</v>
      </c>
      <c r="I13" s="5" t="n">
        <v>4</v>
      </c>
      <c r="J13" s="5" t="n">
        <v>4</v>
      </c>
      <c r="K13" s="50"/>
      <c r="L13" s="50"/>
      <c r="M13" s="50"/>
      <c r="N13" s="50"/>
      <c r="O13" s="50"/>
      <c r="P13" s="50"/>
      <c r="Q13" s="50"/>
      <c r="R13" s="50"/>
      <c r="S13" s="50"/>
      <c r="T13" s="50"/>
      <c r="U13" s="50"/>
      <c r="V13" s="50"/>
      <c r="W13" s="50"/>
      <c r="X13" s="50"/>
      <c r="Y13" s="50"/>
      <c r="Z13" s="50"/>
      <c r="AA13" s="50"/>
      <c r="AB13" s="50"/>
    </row>
    <row r="14" customFormat="false" ht="225" hidden="false" customHeight="true" outlineLevel="0" collapsed="false">
      <c r="A14" s="53"/>
      <c r="B14" s="53"/>
      <c r="C14" s="5" t="s">
        <v>8</v>
      </c>
      <c r="D14" s="48" t="s">
        <v>241</v>
      </c>
      <c r="E14" s="86" t="n">
        <f aca="false">IFERROR(__xludf.dummyfunction("COUNTA(SPLIT(D14,"" ""))/COUNTA(SPLIT($B$12,"" ""))"),0.158181818181818)</f>
        <v>0.1581818182</v>
      </c>
      <c r="F14" s="5" t="n">
        <v>2</v>
      </c>
      <c r="G14" s="5" t="n">
        <v>5</v>
      </c>
      <c r="H14" s="5" t="n">
        <v>4</v>
      </c>
      <c r="I14" s="5" t="n">
        <v>5</v>
      </c>
      <c r="J14" s="5" t="n">
        <v>5</v>
      </c>
      <c r="K14" s="50"/>
      <c r="L14" s="50"/>
      <c r="M14" s="50"/>
      <c r="N14" s="50"/>
      <c r="O14" s="50"/>
      <c r="P14" s="50"/>
      <c r="Q14" s="50"/>
      <c r="R14" s="50"/>
      <c r="S14" s="50"/>
      <c r="T14" s="50"/>
      <c r="U14" s="50"/>
      <c r="V14" s="50"/>
      <c r="W14" s="50"/>
      <c r="X14" s="50"/>
      <c r="Y14" s="50"/>
      <c r="Z14" s="50"/>
      <c r="AA14" s="50"/>
      <c r="AB14" s="50"/>
    </row>
    <row r="15" customFormat="false" ht="225" hidden="false" customHeight="true" outlineLevel="0" collapsed="false">
      <c r="A15" s="53"/>
      <c r="B15" s="53"/>
      <c r="C15" s="5" t="s">
        <v>20</v>
      </c>
      <c r="D15" s="48" t="s">
        <v>242</v>
      </c>
      <c r="E15" s="87" t="n">
        <f aca="false">IFERROR(__xludf.dummyfunction("COUNTA(SPLIT(D15,"" ""))/COUNTA(SPLIT($B$12,"" ""))"),0.0818181818181818)</f>
        <v>0.08181818182</v>
      </c>
      <c r="F15" s="5" t="n">
        <v>3</v>
      </c>
      <c r="G15" s="5" t="n">
        <v>4</v>
      </c>
      <c r="H15" s="5" t="n">
        <v>3</v>
      </c>
      <c r="I15" s="5" t="n">
        <v>5</v>
      </c>
      <c r="J15" s="5" t="n">
        <v>3</v>
      </c>
      <c r="K15" s="50"/>
      <c r="L15" s="50"/>
      <c r="M15" s="50"/>
      <c r="N15" s="50"/>
      <c r="O15" s="50"/>
      <c r="P15" s="50"/>
      <c r="Q15" s="50"/>
      <c r="R15" s="50"/>
      <c r="S15" s="50"/>
      <c r="T15" s="50"/>
      <c r="U15" s="50"/>
      <c r="V15" s="50"/>
      <c r="W15" s="50"/>
      <c r="X15" s="50"/>
      <c r="Y15" s="50"/>
      <c r="Z15" s="50"/>
      <c r="AA15" s="50"/>
      <c r="AB15" s="50"/>
    </row>
    <row r="16" customFormat="false" ht="15.75" hidden="false" customHeight="false" outlineLevel="0" collapsed="false">
      <c r="A16" s="50"/>
      <c r="B16" s="50"/>
      <c r="C16" s="5"/>
      <c r="D16" s="48"/>
      <c r="E16" s="52"/>
      <c r="F16" s="5"/>
      <c r="G16" s="5"/>
      <c r="H16" s="5"/>
      <c r="I16" s="5"/>
      <c r="J16" s="5"/>
      <c r="K16" s="50"/>
      <c r="L16" s="50"/>
      <c r="M16" s="50"/>
      <c r="N16" s="50"/>
      <c r="O16" s="50"/>
      <c r="P16" s="50"/>
      <c r="Q16" s="50"/>
      <c r="R16" s="50"/>
      <c r="S16" s="50"/>
      <c r="T16" s="50"/>
      <c r="U16" s="50"/>
      <c r="V16" s="50"/>
      <c r="W16" s="50"/>
      <c r="X16" s="50"/>
      <c r="Y16" s="50"/>
      <c r="Z16" s="50"/>
      <c r="AA16" s="50"/>
      <c r="AB16" s="50"/>
    </row>
    <row r="17" customFormat="false" ht="225" hidden="false" customHeight="true" outlineLevel="0" collapsed="false">
      <c r="A17" s="53" t="s">
        <v>43</v>
      </c>
      <c r="B17" s="54" t="s">
        <v>44</v>
      </c>
      <c r="C17" s="55" t="s">
        <v>18</v>
      </c>
      <c r="D17" s="56" t="s">
        <v>243</v>
      </c>
      <c r="E17" s="88" t="n">
        <f aca="false">IFERROR(__xludf.dummyfunction("COUNTA(SPLIT(D17,"" ""))/COUNTA(SPLIT($B$17,"" ""))"),0.19941348973607)</f>
        <v>0.1994134897</v>
      </c>
      <c r="F17" s="55" t="n">
        <v>4</v>
      </c>
      <c r="G17" s="55" t="n">
        <v>4</v>
      </c>
      <c r="H17" s="55" t="n">
        <v>4</v>
      </c>
      <c r="I17" s="55" t="n">
        <v>5</v>
      </c>
      <c r="J17" s="55" t="n">
        <v>4</v>
      </c>
      <c r="K17" s="58"/>
      <c r="L17" s="58"/>
      <c r="M17" s="58"/>
      <c r="N17" s="58"/>
      <c r="O17" s="58"/>
      <c r="P17" s="58"/>
      <c r="Q17" s="58"/>
      <c r="R17" s="58"/>
      <c r="S17" s="58"/>
      <c r="T17" s="58"/>
      <c r="U17" s="58"/>
      <c r="V17" s="58"/>
      <c r="W17" s="58"/>
      <c r="X17" s="58"/>
      <c r="Y17" s="58"/>
      <c r="Z17" s="58"/>
      <c r="AA17" s="58"/>
      <c r="AB17" s="58"/>
    </row>
    <row r="18" customFormat="false" ht="225" hidden="false" customHeight="true" outlineLevel="0" collapsed="false">
      <c r="A18" s="53"/>
      <c r="B18" s="53"/>
      <c r="C18" s="5" t="s">
        <v>19</v>
      </c>
      <c r="D18" s="48" t="s">
        <v>244</v>
      </c>
      <c r="E18" s="89" t="n">
        <f aca="false">IFERROR(__xludf.dummyfunction("COUNTA(SPLIT(D18,"" ""))/COUNTA(SPLIT($B$17,"" ""))"),0.0234604105571848)</f>
        <v>0.02346041056</v>
      </c>
      <c r="F18" s="5" t="n">
        <v>3</v>
      </c>
      <c r="G18" s="5" t="n">
        <v>3</v>
      </c>
      <c r="H18" s="5" t="n">
        <v>5</v>
      </c>
      <c r="I18" s="5" t="n">
        <v>5</v>
      </c>
      <c r="J18" s="5" t="n">
        <v>2</v>
      </c>
      <c r="K18" s="50"/>
      <c r="L18" s="50"/>
      <c r="M18" s="50"/>
      <c r="N18" s="50"/>
      <c r="O18" s="50"/>
      <c r="P18" s="50"/>
      <c r="Q18" s="50"/>
      <c r="R18" s="50"/>
      <c r="S18" s="50"/>
      <c r="T18" s="50"/>
      <c r="U18" s="50"/>
      <c r="V18" s="50"/>
      <c r="W18" s="50"/>
      <c r="X18" s="50"/>
      <c r="Y18" s="50"/>
      <c r="Z18" s="50"/>
      <c r="AA18" s="50"/>
      <c r="AB18" s="50"/>
    </row>
    <row r="19" customFormat="false" ht="225" hidden="false" customHeight="true" outlineLevel="0" collapsed="false">
      <c r="A19" s="53"/>
      <c r="B19" s="53"/>
      <c r="C19" s="5" t="s">
        <v>8</v>
      </c>
      <c r="D19" s="48" t="s">
        <v>245</v>
      </c>
      <c r="E19" s="85" t="n">
        <f aca="false">IFERROR(__xludf.dummyfunction("COUNTA(SPLIT(D19,"" ""))/COUNTA(SPLIT($B$17,"" ""))"),0.219941348973607)</f>
        <v>0.219941349</v>
      </c>
      <c r="F19" s="5" t="n">
        <v>2</v>
      </c>
      <c r="G19" s="5" t="n">
        <v>4</v>
      </c>
      <c r="H19" s="5" t="n">
        <v>5</v>
      </c>
      <c r="I19" s="5" t="n">
        <v>5</v>
      </c>
      <c r="J19" s="5" t="n">
        <v>4</v>
      </c>
      <c r="K19" s="50"/>
      <c r="L19" s="50"/>
      <c r="M19" s="50"/>
      <c r="N19" s="50"/>
      <c r="O19" s="50"/>
      <c r="P19" s="50"/>
      <c r="Q19" s="50"/>
      <c r="R19" s="50"/>
      <c r="S19" s="50"/>
      <c r="T19" s="50"/>
      <c r="U19" s="50"/>
      <c r="V19" s="50"/>
      <c r="W19" s="50"/>
      <c r="X19" s="50"/>
      <c r="Y19" s="50"/>
      <c r="Z19" s="50"/>
      <c r="AA19" s="50"/>
      <c r="AB19" s="50"/>
    </row>
    <row r="20" customFormat="false" ht="225" hidden="false" customHeight="true" outlineLevel="0" collapsed="false">
      <c r="A20" s="53"/>
      <c r="B20" s="53"/>
      <c r="C20" s="5" t="s">
        <v>20</v>
      </c>
      <c r="D20" s="48" t="s">
        <v>246</v>
      </c>
      <c r="E20" s="90" t="n">
        <f aca="false">IFERROR(__xludf.dummyfunction("COUNTA(SPLIT(D20,"" ""))/COUNTA(SPLIT($B$17,"" ""))"),0.120234604105572)</f>
        <v>0.1202346041</v>
      </c>
      <c r="F20" s="5" t="n">
        <v>4</v>
      </c>
      <c r="G20" s="5" t="n">
        <v>5</v>
      </c>
      <c r="H20" s="5" t="n">
        <v>5</v>
      </c>
      <c r="I20" s="5" t="n">
        <v>5</v>
      </c>
      <c r="J20" s="5" t="n">
        <v>3</v>
      </c>
      <c r="K20" s="50"/>
      <c r="L20" s="50"/>
      <c r="M20" s="50"/>
      <c r="N20" s="50"/>
      <c r="O20" s="50"/>
      <c r="P20" s="50"/>
      <c r="Q20" s="50"/>
      <c r="R20" s="50"/>
      <c r="S20" s="50"/>
      <c r="T20" s="50"/>
      <c r="U20" s="50"/>
      <c r="V20" s="50"/>
      <c r="W20" s="50"/>
      <c r="X20" s="50"/>
      <c r="Y20" s="50"/>
      <c r="Z20" s="50"/>
      <c r="AA20" s="50"/>
      <c r="AB20" s="50"/>
    </row>
    <row r="21" customFormat="false" ht="15.75" hidden="false" customHeight="false" outlineLevel="0" collapsed="false">
      <c r="A21" s="50"/>
      <c r="B21" s="50"/>
      <c r="C21" s="5"/>
      <c r="D21" s="48"/>
      <c r="E21" s="52"/>
      <c r="F21" s="5"/>
      <c r="G21" s="5"/>
      <c r="H21" s="5"/>
      <c r="I21" s="5"/>
      <c r="J21" s="5"/>
      <c r="K21" s="50"/>
      <c r="L21" s="50"/>
      <c r="M21" s="50"/>
      <c r="N21" s="50"/>
      <c r="O21" s="50"/>
      <c r="P21" s="50"/>
      <c r="Q21" s="50"/>
      <c r="R21" s="50"/>
      <c r="S21" s="50"/>
      <c r="T21" s="50"/>
      <c r="U21" s="50"/>
      <c r="V21" s="50"/>
      <c r="W21" s="50"/>
      <c r="X21" s="50"/>
      <c r="Y21" s="50"/>
      <c r="Z21" s="50"/>
      <c r="AA21" s="50"/>
      <c r="AB21" s="50"/>
    </row>
    <row r="22" customFormat="false" ht="225" hidden="false" customHeight="true" outlineLevel="0" collapsed="false">
      <c r="A22" s="53" t="s">
        <v>47</v>
      </c>
      <c r="B22" s="54" t="s">
        <v>48</v>
      </c>
      <c r="C22" s="55" t="s">
        <v>18</v>
      </c>
      <c r="D22" s="56" t="s">
        <v>247</v>
      </c>
      <c r="E22" s="91" t="n">
        <f aca="false">IFERROR(__xludf.dummyfunction("COUNTA(SPLIT(D22,"" ""))/COUNTA(SPLIT($B$22,"" ""))"),0.0125628140703518)</f>
        <v>0.01256281407</v>
      </c>
      <c r="F22" s="55" t="n">
        <v>3</v>
      </c>
      <c r="G22" s="55" t="n">
        <v>4</v>
      </c>
      <c r="H22" s="55" t="n">
        <v>5</v>
      </c>
      <c r="I22" s="55" t="n">
        <v>5</v>
      </c>
      <c r="J22" s="55" t="n">
        <v>1</v>
      </c>
      <c r="K22" s="58"/>
      <c r="L22" s="58"/>
      <c r="M22" s="58"/>
      <c r="N22" s="58"/>
      <c r="O22" s="58"/>
      <c r="P22" s="58"/>
      <c r="Q22" s="58"/>
      <c r="R22" s="58"/>
      <c r="S22" s="58"/>
      <c r="T22" s="58"/>
      <c r="U22" s="58"/>
      <c r="V22" s="58"/>
      <c r="W22" s="58"/>
      <c r="X22" s="58"/>
      <c r="Y22" s="58"/>
      <c r="Z22" s="58"/>
      <c r="AA22" s="58"/>
      <c r="AB22" s="58"/>
    </row>
    <row r="23" customFormat="false" ht="225" hidden="false" customHeight="true" outlineLevel="0" collapsed="false">
      <c r="A23" s="53"/>
      <c r="B23" s="53"/>
      <c r="C23" s="5" t="s">
        <v>19</v>
      </c>
      <c r="D23" s="48" t="s">
        <v>248</v>
      </c>
      <c r="E23" s="92" t="n">
        <f aca="false">IFERROR(__xludf.dummyfunction("COUNTA(SPLIT(D23,"" ""))/COUNTA(SPLIT($B$22,"" ""))"),0.0150753768844221)</f>
        <v>0.01507537688</v>
      </c>
      <c r="F23" s="5" t="n">
        <v>1</v>
      </c>
      <c r="G23" s="5" t="n">
        <v>5</v>
      </c>
      <c r="H23" s="5" t="n">
        <v>4</v>
      </c>
      <c r="I23" s="5" t="n">
        <v>5</v>
      </c>
      <c r="J23" s="5" t="n">
        <v>1</v>
      </c>
      <c r="K23" s="50"/>
      <c r="L23" s="50"/>
      <c r="M23" s="50"/>
      <c r="N23" s="50"/>
      <c r="O23" s="50"/>
      <c r="P23" s="50"/>
      <c r="Q23" s="50"/>
      <c r="R23" s="50"/>
      <c r="S23" s="50"/>
      <c r="T23" s="50"/>
      <c r="U23" s="50"/>
      <c r="V23" s="50"/>
      <c r="W23" s="50"/>
      <c r="X23" s="50"/>
      <c r="Y23" s="50"/>
      <c r="Z23" s="50"/>
      <c r="AA23" s="50"/>
      <c r="AB23" s="50"/>
    </row>
    <row r="24" customFormat="false" ht="225" hidden="false" customHeight="true" outlineLevel="0" collapsed="false">
      <c r="A24" s="53"/>
      <c r="B24" s="53"/>
      <c r="C24" s="5" t="s">
        <v>8</v>
      </c>
      <c r="D24" s="48" t="s">
        <v>249</v>
      </c>
      <c r="E24" s="93" t="n">
        <f aca="false">IFERROR(__xludf.dummyfunction("COUNTA(SPLIT(D24,"" ""))/COUNTA(SPLIT($B$22,"" ""))"),0.198492462311558)</f>
        <v>0.1984924623</v>
      </c>
      <c r="F24" s="5" t="n">
        <v>2</v>
      </c>
      <c r="G24" s="5" t="n">
        <v>4</v>
      </c>
      <c r="H24" s="5" t="n">
        <v>4</v>
      </c>
      <c r="I24" s="5" t="n">
        <v>5</v>
      </c>
      <c r="J24" s="5" t="n">
        <v>4</v>
      </c>
      <c r="K24" s="50"/>
      <c r="L24" s="50"/>
      <c r="M24" s="50"/>
      <c r="N24" s="50"/>
      <c r="O24" s="50"/>
      <c r="P24" s="50"/>
      <c r="Q24" s="50"/>
      <c r="R24" s="50"/>
      <c r="S24" s="50"/>
      <c r="T24" s="50"/>
      <c r="U24" s="50"/>
      <c r="V24" s="50"/>
      <c r="W24" s="50"/>
      <c r="X24" s="50"/>
      <c r="Y24" s="50"/>
      <c r="Z24" s="50"/>
      <c r="AA24" s="50"/>
      <c r="AB24" s="50"/>
    </row>
    <row r="25" customFormat="false" ht="225" hidden="false" customHeight="true" outlineLevel="0" collapsed="false">
      <c r="A25" s="53"/>
      <c r="B25" s="53"/>
      <c r="C25" s="5" t="s">
        <v>20</v>
      </c>
      <c r="D25" s="48" t="s">
        <v>250</v>
      </c>
      <c r="E25" s="69" t="n">
        <f aca="false">IFERROR(__xludf.dummyfunction("COUNTA(SPLIT(D25,"" ""))/COUNTA(SPLIT($B$22,"" ""))"),0.085427135678392)</f>
        <v>0.08542713568</v>
      </c>
      <c r="F25" s="5" t="n">
        <v>5</v>
      </c>
      <c r="G25" s="5" t="n">
        <v>5</v>
      </c>
      <c r="H25" s="5" t="n">
        <v>4</v>
      </c>
      <c r="I25" s="5" t="n">
        <v>5</v>
      </c>
      <c r="J25" s="5" t="n">
        <v>3</v>
      </c>
      <c r="K25" s="50"/>
      <c r="L25" s="50"/>
      <c r="M25" s="50"/>
      <c r="N25" s="50"/>
      <c r="O25" s="50"/>
      <c r="P25" s="50"/>
      <c r="Q25" s="50"/>
      <c r="R25" s="50"/>
      <c r="S25" s="50"/>
      <c r="T25" s="50"/>
      <c r="U25" s="50"/>
      <c r="V25" s="50"/>
      <c r="W25" s="50"/>
      <c r="X25" s="50"/>
      <c r="Y25" s="50"/>
      <c r="Z25" s="50"/>
      <c r="AA25" s="50"/>
      <c r="AB25" s="50"/>
    </row>
    <row r="26" customFormat="false" ht="15.75" hidden="false" customHeight="false" outlineLevel="0" collapsed="false">
      <c r="A26" s="50"/>
      <c r="B26" s="50"/>
      <c r="C26" s="5"/>
      <c r="D26" s="48"/>
      <c r="E26" s="52"/>
      <c r="F26" s="5"/>
      <c r="G26" s="5"/>
      <c r="H26" s="5"/>
      <c r="I26" s="5"/>
      <c r="J26" s="5"/>
      <c r="K26" s="50"/>
      <c r="L26" s="50"/>
      <c r="M26" s="50"/>
      <c r="N26" s="50"/>
      <c r="O26" s="50"/>
      <c r="P26" s="50"/>
      <c r="Q26" s="50"/>
      <c r="R26" s="50"/>
      <c r="S26" s="50"/>
      <c r="T26" s="50"/>
      <c r="U26" s="50"/>
      <c r="V26" s="50"/>
      <c r="W26" s="50"/>
      <c r="X26" s="50"/>
      <c r="Y26" s="50"/>
      <c r="Z26" s="50"/>
      <c r="AA26" s="50"/>
      <c r="AB26" s="50"/>
    </row>
    <row r="27" customFormat="false" ht="225" hidden="false" customHeight="true" outlineLevel="0" collapsed="false">
      <c r="A27" s="53" t="s">
        <v>51</v>
      </c>
      <c r="B27" s="54" t="s">
        <v>52</v>
      </c>
      <c r="C27" s="55" t="s">
        <v>18</v>
      </c>
      <c r="D27" s="56" t="s">
        <v>251</v>
      </c>
      <c r="E27" s="95" t="n">
        <f aca="false">IFERROR(__xludf.dummyfunction("COUNTA(SPLIT(D27,"" ""))/COUNTA(SPLIT($B$27,"" ""))"),0.00293255131964809)</f>
        <v>0.00293255132</v>
      </c>
      <c r="F27" s="55" t="n">
        <v>1</v>
      </c>
      <c r="G27" s="55" t="n">
        <v>1</v>
      </c>
      <c r="H27" s="55" t="n">
        <v>5</v>
      </c>
      <c r="I27" s="55" t="n">
        <v>3</v>
      </c>
      <c r="J27" s="55" t="n">
        <v>1</v>
      </c>
      <c r="K27" s="58"/>
      <c r="L27" s="58"/>
      <c r="M27" s="58"/>
      <c r="N27" s="58"/>
      <c r="O27" s="58"/>
      <c r="P27" s="58"/>
      <c r="Q27" s="58"/>
      <c r="R27" s="58"/>
      <c r="S27" s="58"/>
      <c r="T27" s="58"/>
      <c r="U27" s="58"/>
      <c r="V27" s="58"/>
      <c r="W27" s="58"/>
      <c r="X27" s="58"/>
      <c r="Y27" s="58"/>
      <c r="Z27" s="58"/>
      <c r="AA27" s="58"/>
      <c r="AB27" s="58"/>
    </row>
    <row r="28" customFormat="false" ht="225" hidden="false" customHeight="true" outlineLevel="0" collapsed="false">
      <c r="A28" s="53"/>
      <c r="B28" s="53"/>
      <c r="C28" s="5" t="s">
        <v>19</v>
      </c>
      <c r="D28" s="48" t="s">
        <v>252</v>
      </c>
      <c r="E28" s="96" t="n">
        <f aca="false">IFERROR(__xludf.dummyfunction("COUNTA(SPLIT(D28,"" ""))/COUNTA(SPLIT($B$27,"" ""))"),0.0703812316715543)</f>
        <v>0.07038123167</v>
      </c>
      <c r="F28" s="5" t="n">
        <v>4</v>
      </c>
      <c r="G28" s="5" t="n">
        <v>5</v>
      </c>
      <c r="H28" s="5" t="n">
        <v>4</v>
      </c>
      <c r="I28" s="5" t="n">
        <v>5</v>
      </c>
      <c r="J28" s="5" t="n">
        <v>3</v>
      </c>
      <c r="K28" s="50"/>
      <c r="L28" s="50"/>
      <c r="M28" s="50"/>
      <c r="N28" s="50"/>
      <c r="O28" s="50"/>
      <c r="P28" s="50"/>
      <c r="Q28" s="50"/>
      <c r="R28" s="50"/>
      <c r="S28" s="50"/>
      <c r="T28" s="50"/>
      <c r="U28" s="50"/>
      <c r="V28" s="50"/>
      <c r="W28" s="50"/>
      <c r="X28" s="50"/>
      <c r="Y28" s="50"/>
      <c r="Z28" s="50"/>
      <c r="AA28" s="50"/>
      <c r="AB28" s="50"/>
    </row>
    <row r="29" customFormat="false" ht="225" hidden="false" customHeight="true" outlineLevel="0" collapsed="false">
      <c r="A29" s="53"/>
      <c r="B29" s="53"/>
      <c r="C29" s="5" t="s">
        <v>8</v>
      </c>
      <c r="D29" s="48" t="s">
        <v>253</v>
      </c>
      <c r="E29" s="90" t="n">
        <f aca="false">IFERROR(__xludf.dummyfunction("COUNTA(SPLIT(D29,"" ""))/COUNTA(SPLIT($B$27,"" ""))"),0.26099706744868)</f>
        <v>0.2609970674</v>
      </c>
      <c r="F29" s="5" t="n">
        <v>2</v>
      </c>
      <c r="G29" s="5" t="n">
        <v>5</v>
      </c>
      <c r="H29" s="5" t="n">
        <v>4</v>
      </c>
      <c r="I29" s="5" t="n">
        <v>4</v>
      </c>
      <c r="J29" s="5" t="n">
        <v>5</v>
      </c>
      <c r="K29" s="50"/>
      <c r="L29" s="50"/>
      <c r="M29" s="50"/>
      <c r="N29" s="50"/>
      <c r="O29" s="50"/>
      <c r="P29" s="50"/>
      <c r="Q29" s="50"/>
      <c r="R29" s="50"/>
      <c r="S29" s="50"/>
      <c r="T29" s="50"/>
      <c r="U29" s="50"/>
      <c r="V29" s="50"/>
      <c r="W29" s="50"/>
      <c r="X29" s="50"/>
      <c r="Y29" s="50"/>
      <c r="Z29" s="50"/>
      <c r="AA29" s="50"/>
      <c r="AB29" s="50"/>
    </row>
    <row r="30" customFormat="false" ht="225" hidden="false" customHeight="true" outlineLevel="0" collapsed="false">
      <c r="A30" s="53"/>
      <c r="B30" s="53"/>
      <c r="C30" s="5" t="s">
        <v>20</v>
      </c>
      <c r="D30" s="48" t="s">
        <v>254</v>
      </c>
      <c r="E30" s="97" t="n">
        <f aca="false">IFERROR(__xludf.dummyfunction("COUNTA(SPLIT(D30,"" ""))/COUNTA(SPLIT($B$27,"" ""))"),0.120234604105572)</f>
        <v>0.1202346041</v>
      </c>
      <c r="F30" s="5" t="n">
        <v>4</v>
      </c>
      <c r="G30" s="5" t="n">
        <v>5</v>
      </c>
      <c r="H30" s="5" t="n">
        <v>4</v>
      </c>
      <c r="I30" s="5" t="n">
        <v>5</v>
      </c>
      <c r="J30" s="5" t="n">
        <v>4</v>
      </c>
      <c r="K30" s="50"/>
      <c r="L30" s="50"/>
      <c r="M30" s="50"/>
      <c r="N30" s="50"/>
      <c r="O30" s="50"/>
      <c r="P30" s="50"/>
      <c r="Q30" s="50"/>
      <c r="R30" s="50"/>
      <c r="S30" s="50"/>
      <c r="T30" s="50"/>
      <c r="U30" s="50"/>
      <c r="V30" s="50"/>
      <c r="W30" s="50"/>
      <c r="X30" s="50"/>
      <c r="Y30" s="50"/>
      <c r="Z30" s="50"/>
      <c r="AA30" s="50"/>
      <c r="AB30" s="50"/>
    </row>
    <row r="31" customFormat="false" ht="15.75" hidden="false" customHeight="false" outlineLevel="0" collapsed="false">
      <c r="A31" s="50"/>
      <c r="B31" s="50"/>
      <c r="C31" s="5"/>
      <c r="D31" s="48"/>
      <c r="E31" s="52"/>
      <c r="F31" s="5"/>
      <c r="G31" s="5"/>
      <c r="H31" s="5"/>
      <c r="I31" s="5"/>
      <c r="J31" s="5"/>
      <c r="K31" s="50"/>
      <c r="L31" s="50"/>
      <c r="M31" s="50"/>
      <c r="N31" s="50"/>
      <c r="O31" s="50"/>
      <c r="P31" s="50"/>
      <c r="Q31" s="50"/>
      <c r="R31" s="50"/>
      <c r="S31" s="50"/>
      <c r="T31" s="50"/>
      <c r="U31" s="50"/>
      <c r="V31" s="50"/>
      <c r="W31" s="50"/>
      <c r="X31" s="50"/>
      <c r="Y31" s="50"/>
      <c r="Z31" s="50"/>
      <c r="AA31" s="50"/>
      <c r="AB31" s="50"/>
    </row>
    <row r="32" customFormat="false" ht="225" hidden="false" customHeight="true" outlineLevel="0" collapsed="false">
      <c r="A32" s="53" t="s">
        <v>55</v>
      </c>
      <c r="B32" s="54" t="s">
        <v>56</v>
      </c>
      <c r="C32" s="55" t="s">
        <v>18</v>
      </c>
      <c r="D32" s="56" t="s">
        <v>255</v>
      </c>
      <c r="E32" s="68" t="n">
        <f aca="false">IFERROR(__xludf.dummyfunction("COUNTA(SPLIT(D32,"" ""))/COUNTA(SPLIT($B$32,"" ""))"),0.16382252559727)</f>
        <v>0.1638225256</v>
      </c>
      <c r="F32" s="55" t="n">
        <v>4</v>
      </c>
      <c r="G32" s="55" t="n">
        <v>4</v>
      </c>
      <c r="H32" s="55" t="n">
        <v>4</v>
      </c>
      <c r="I32" s="55" t="n">
        <v>5</v>
      </c>
      <c r="J32" s="55" t="n">
        <v>4</v>
      </c>
      <c r="K32" s="58"/>
      <c r="L32" s="58"/>
      <c r="M32" s="58"/>
      <c r="N32" s="58"/>
      <c r="O32" s="58"/>
      <c r="P32" s="58"/>
      <c r="Q32" s="58"/>
      <c r="R32" s="58"/>
      <c r="S32" s="58"/>
      <c r="T32" s="58"/>
      <c r="U32" s="58"/>
      <c r="V32" s="58"/>
      <c r="W32" s="58"/>
      <c r="X32" s="58"/>
      <c r="Y32" s="58"/>
      <c r="Z32" s="58"/>
      <c r="AA32" s="58"/>
      <c r="AB32" s="58"/>
    </row>
    <row r="33" customFormat="false" ht="225" hidden="false" customHeight="true" outlineLevel="0" collapsed="false">
      <c r="A33" s="53"/>
      <c r="B33" s="53"/>
      <c r="C33" s="5" t="s">
        <v>19</v>
      </c>
      <c r="D33" s="48" t="s">
        <v>256</v>
      </c>
      <c r="E33" s="98" t="n">
        <f aca="false">IFERROR(__xludf.dummyfunction("COUNTA(SPLIT(D33,"" ""))/COUNTA(SPLIT($B$32,"" ""))"),0.16382252559727)</f>
        <v>0.1638225256</v>
      </c>
      <c r="F33" s="5" t="n">
        <v>3</v>
      </c>
      <c r="G33" s="5" t="n">
        <v>4</v>
      </c>
      <c r="H33" s="5" t="n">
        <v>4</v>
      </c>
      <c r="I33" s="5" t="n">
        <v>4</v>
      </c>
      <c r="J33" s="5" t="n">
        <v>3</v>
      </c>
      <c r="K33" s="50"/>
      <c r="L33" s="50"/>
      <c r="M33" s="50"/>
      <c r="N33" s="50"/>
      <c r="O33" s="50"/>
      <c r="P33" s="50"/>
      <c r="Q33" s="50"/>
      <c r="R33" s="50"/>
      <c r="S33" s="50"/>
      <c r="T33" s="50"/>
      <c r="U33" s="50"/>
      <c r="V33" s="50"/>
      <c r="W33" s="50"/>
      <c r="X33" s="50"/>
      <c r="Y33" s="50"/>
      <c r="Z33" s="50"/>
      <c r="AA33" s="50"/>
      <c r="AB33" s="50"/>
    </row>
    <row r="34" customFormat="false" ht="225" hidden="false" customHeight="true" outlineLevel="0" collapsed="false">
      <c r="A34" s="53"/>
      <c r="B34" s="65"/>
      <c r="C34" s="5" t="s">
        <v>8</v>
      </c>
      <c r="D34" s="48" t="s">
        <v>257</v>
      </c>
      <c r="E34" s="99" t="n">
        <f aca="false">IFERROR(__xludf.dummyfunction("COUNTA(SPLIT(D34,"" ""))/COUNTA(SPLIT($B$32,"" ""))"),0.177474402730375)</f>
        <v>0.1774744027</v>
      </c>
      <c r="F34" s="5" t="n">
        <v>2</v>
      </c>
      <c r="G34" s="5" t="n">
        <v>4</v>
      </c>
      <c r="H34" s="5" t="n">
        <v>4</v>
      </c>
      <c r="I34" s="5" t="n">
        <v>5</v>
      </c>
      <c r="J34" s="5" t="n">
        <v>5</v>
      </c>
      <c r="K34" s="50"/>
      <c r="L34" s="50"/>
      <c r="M34" s="50"/>
      <c r="N34" s="50"/>
      <c r="O34" s="50"/>
      <c r="P34" s="50"/>
      <c r="Q34" s="50"/>
      <c r="R34" s="50"/>
      <c r="S34" s="50"/>
      <c r="T34" s="50"/>
      <c r="U34" s="50"/>
      <c r="V34" s="50"/>
      <c r="W34" s="50"/>
      <c r="X34" s="50"/>
      <c r="Y34" s="50"/>
      <c r="Z34" s="50"/>
      <c r="AA34" s="50"/>
      <c r="AB34" s="50"/>
    </row>
    <row r="35" customFormat="false" ht="225" hidden="false" customHeight="true" outlineLevel="0" collapsed="false">
      <c r="A35" s="53"/>
      <c r="B35" s="65"/>
      <c r="C35" s="5" t="s">
        <v>20</v>
      </c>
      <c r="D35" s="48" t="s">
        <v>258</v>
      </c>
      <c r="E35" s="63" t="n">
        <f aca="false">IFERROR(__xludf.dummyfunction("COUNTA(SPLIT(D35,"" ""))/COUNTA(SPLIT($B$32,"" ""))"),0.100682593856655)</f>
        <v>0.1006825939</v>
      </c>
      <c r="F35" s="5" t="n">
        <v>5</v>
      </c>
      <c r="G35" s="5" t="n">
        <v>5</v>
      </c>
      <c r="H35" s="5" t="n">
        <v>4</v>
      </c>
      <c r="I35" s="5" t="n">
        <v>5</v>
      </c>
      <c r="J35" s="5" t="n">
        <v>3</v>
      </c>
      <c r="K35" s="50"/>
      <c r="L35" s="50"/>
      <c r="M35" s="50"/>
      <c r="N35" s="50"/>
      <c r="O35" s="50"/>
      <c r="P35" s="50"/>
      <c r="Q35" s="50"/>
      <c r="R35" s="50"/>
      <c r="S35" s="50"/>
      <c r="T35" s="50"/>
      <c r="U35" s="50"/>
      <c r="V35" s="50"/>
      <c r="W35" s="50"/>
      <c r="X35" s="50"/>
      <c r="Y35" s="50"/>
      <c r="Z35" s="50"/>
      <c r="AA35" s="50"/>
      <c r="AB35" s="50"/>
    </row>
    <row r="36" customFormat="false" ht="15.75" hidden="false" customHeight="false" outlineLevel="0" collapsed="false">
      <c r="A36" s="50"/>
      <c r="B36" s="50"/>
      <c r="C36" s="5"/>
      <c r="D36" s="48"/>
      <c r="E36" s="52"/>
      <c r="F36" s="5"/>
      <c r="G36" s="5"/>
      <c r="H36" s="5"/>
      <c r="I36" s="5"/>
      <c r="J36" s="5"/>
      <c r="K36" s="50"/>
      <c r="L36" s="50"/>
      <c r="M36" s="50"/>
      <c r="N36" s="50"/>
      <c r="O36" s="50"/>
      <c r="P36" s="50"/>
      <c r="Q36" s="50"/>
      <c r="R36" s="50"/>
      <c r="S36" s="50"/>
      <c r="T36" s="50"/>
      <c r="U36" s="50"/>
      <c r="V36" s="50"/>
      <c r="W36" s="50"/>
      <c r="X36" s="50"/>
      <c r="Y36" s="50"/>
      <c r="Z36" s="50"/>
      <c r="AA36" s="50"/>
      <c r="AB36" s="50"/>
    </row>
    <row r="37" customFormat="false" ht="225" hidden="false" customHeight="true" outlineLevel="0" collapsed="false">
      <c r="A37" s="53" t="s">
        <v>59</v>
      </c>
      <c r="B37" s="54" t="s">
        <v>60</v>
      </c>
      <c r="C37" s="55" t="s">
        <v>18</v>
      </c>
      <c r="D37" s="56" t="s">
        <v>259</v>
      </c>
      <c r="E37" s="78" t="n">
        <f aca="false">IFERROR(__xludf.dummyfunction("COUNTA(SPLIT(D37,"" ""))/COUNTA(SPLIT($B$37,"" ""))"),0.14745308310992)</f>
        <v>0.1474530831</v>
      </c>
      <c r="F37" s="55" t="n">
        <v>5</v>
      </c>
      <c r="G37" s="55" t="n">
        <v>4</v>
      </c>
      <c r="H37" s="55" t="n">
        <v>4</v>
      </c>
      <c r="I37" s="55" t="n">
        <v>4</v>
      </c>
      <c r="J37" s="55" t="n">
        <v>3</v>
      </c>
      <c r="K37" s="58"/>
      <c r="L37" s="58"/>
      <c r="M37" s="58"/>
      <c r="N37" s="58"/>
      <c r="O37" s="58"/>
      <c r="P37" s="58"/>
      <c r="Q37" s="58"/>
      <c r="R37" s="58"/>
      <c r="S37" s="58"/>
      <c r="T37" s="58"/>
      <c r="U37" s="58"/>
      <c r="V37" s="58"/>
      <c r="W37" s="58"/>
      <c r="X37" s="58"/>
      <c r="Y37" s="58"/>
      <c r="Z37" s="58"/>
      <c r="AA37" s="58"/>
      <c r="AB37" s="58"/>
    </row>
    <row r="38" customFormat="false" ht="225" hidden="false" customHeight="true" outlineLevel="0" collapsed="false">
      <c r="A38" s="53"/>
      <c r="B38" s="53"/>
      <c r="C38" s="5" t="s">
        <v>19</v>
      </c>
      <c r="D38" s="48" t="s">
        <v>260</v>
      </c>
      <c r="E38" s="100" t="n">
        <f aca="false">IFERROR(__xludf.dummyfunction("COUNTA(SPLIT(D38,"" ""))/COUNTA(SPLIT($B$37,"" ""))"),0.270777479892761)</f>
        <v>0.2707774799</v>
      </c>
      <c r="F38" s="5" t="n">
        <v>4</v>
      </c>
      <c r="G38" s="5" t="n">
        <v>4</v>
      </c>
      <c r="H38" s="5" t="n">
        <v>4</v>
      </c>
      <c r="I38" s="5" t="n">
        <v>3</v>
      </c>
      <c r="J38" s="5" t="n">
        <v>3</v>
      </c>
      <c r="K38" s="50"/>
      <c r="L38" s="50"/>
      <c r="M38" s="50"/>
      <c r="N38" s="50"/>
      <c r="O38" s="50"/>
      <c r="P38" s="50"/>
      <c r="Q38" s="50"/>
      <c r="R38" s="50"/>
      <c r="S38" s="50"/>
      <c r="T38" s="50"/>
      <c r="U38" s="50"/>
      <c r="V38" s="50"/>
      <c r="W38" s="50"/>
      <c r="X38" s="50"/>
      <c r="Y38" s="50"/>
      <c r="Z38" s="50"/>
      <c r="AA38" s="50"/>
      <c r="AB38" s="50"/>
    </row>
    <row r="39" customFormat="false" ht="225" hidden="false" customHeight="true" outlineLevel="0" collapsed="false">
      <c r="A39" s="53"/>
      <c r="B39" s="53"/>
      <c r="C39" s="5" t="s">
        <v>8</v>
      </c>
      <c r="D39" s="48" t="s">
        <v>261</v>
      </c>
      <c r="E39" s="87" t="n">
        <f aca="false">IFERROR(__xludf.dummyfunction("COUNTA(SPLIT(D39,"" ""))/COUNTA(SPLIT($B$37,"" ""))"),0.300268096514745)</f>
        <v>0.3002680965</v>
      </c>
      <c r="F39" s="5" t="n">
        <v>1</v>
      </c>
      <c r="G39" s="5" t="n">
        <v>4</v>
      </c>
      <c r="H39" s="5" t="n">
        <v>4</v>
      </c>
      <c r="I39" s="5" t="n">
        <v>4</v>
      </c>
      <c r="J39" s="5" t="n">
        <v>4</v>
      </c>
      <c r="K39" s="50"/>
      <c r="L39" s="50"/>
      <c r="M39" s="50"/>
      <c r="N39" s="50"/>
      <c r="O39" s="50"/>
      <c r="P39" s="50"/>
      <c r="Q39" s="50"/>
      <c r="R39" s="50"/>
      <c r="S39" s="50"/>
      <c r="T39" s="50"/>
      <c r="U39" s="50"/>
      <c r="V39" s="50"/>
      <c r="W39" s="50"/>
      <c r="X39" s="50"/>
      <c r="Y39" s="50"/>
      <c r="Z39" s="50"/>
      <c r="AA39" s="50"/>
      <c r="AB39" s="50"/>
    </row>
    <row r="40" customFormat="false" ht="225" hidden="false" customHeight="true" outlineLevel="0" collapsed="false">
      <c r="A40" s="53"/>
      <c r="B40" s="53"/>
      <c r="C40" s="5" t="s">
        <v>20</v>
      </c>
      <c r="D40" s="48" t="s">
        <v>262</v>
      </c>
      <c r="E40" s="80" t="n">
        <f aca="false">IFERROR(__xludf.dummyfunction("COUNTA(SPLIT(D40,"" ""))/COUNTA(SPLIT($B$37,"" ""))"),0.152815013404826)</f>
        <v>0.1528150134</v>
      </c>
      <c r="F40" s="5" t="n">
        <v>5</v>
      </c>
      <c r="G40" s="5" t="n">
        <v>5</v>
      </c>
      <c r="H40" s="5" t="n">
        <v>5</v>
      </c>
      <c r="I40" s="5" t="n">
        <v>5</v>
      </c>
      <c r="J40" s="5" t="n">
        <v>3</v>
      </c>
      <c r="K40" s="50"/>
      <c r="L40" s="50"/>
      <c r="M40" s="50"/>
      <c r="N40" s="50"/>
      <c r="O40" s="50"/>
      <c r="P40" s="50"/>
      <c r="Q40" s="50"/>
      <c r="R40" s="50"/>
      <c r="S40" s="50"/>
      <c r="T40" s="50"/>
      <c r="U40" s="50"/>
      <c r="V40" s="50"/>
      <c r="W40" s="50"/>
      <c r="X40" s="50"/>
      <c r="Y40" s="50"/>
      <c r="Z40" s="50"/>
      <c r="AA40" s="50"/>
      <c r="AB40" s="50"/>
    </row>
    <row r="41" customFormat="false" ht="15.75" hidden="false" customHeight="false" outlineLevel="0" collapsed="false">
      <c r="A41" s="50"/>
      <c r="B41" s="50"/>
      <c r="C41" s="5"/>
      <c r="D41" s="48"/>
      <c r="E41" s="52"/>
      <c r="F41" s="5"/>
      <c r="G41" s="5"/>
      <c r="H41" s="5"/>
      <c r="I41" s="5"/>
      <c r="J41" s="5"/>
      <c r="K41" s="50"/>
      <c r="L41" s="50"/>
      <c r="M41" s="50"/>
      <c r="N41" s="50"/>
      <c r="O41" s="50"/>
      <c r="P41" s="50"/>
      <c r="Q41" s="50"/>
      <c r="R41" s="50"/>
      <c r="S41" s="50"/>
      <c r="T41" s="50"/>
      <c r="U41" s="50"/>
      <c r="V41" s="50"/>
      <c r="W41" s="50"/>
      <c r="X41" s="50"/>
      <c r="Y41" s="50"/>
      <c r="Z41" s="50"/>
      <c r="AA41" s="50"/>
      <c r="AB41" s="50"/>
    </row>
    <row r="42" customFormat="false" ht="225" hidden="false" customHeight="true" outlineLevel="0" collapsed="false">
      <c r="A42" s="53" t="s">
        <v>63</v>
      </c>
      <c r="B42" s="54" t="s">
        <v>64</v>
      </c>
      <c r="C42" s="55" t="s">
        <v>18</v>
      </c>
      <c r="D42" s="56" t="s">
        <v>263</v>
      </c>
      <c r="E42" s="78" t="n">
        <f aca="false">IFERROR(__xludf.dummyfunction("COUNTA(SPLIT(D42,"" ""))/COUNTA(SPLIT($B$42,"" ""))"),0.297169811320755)</f>
        <v>0.2971698113</v>
      </c>
      <c r="F42" s="55" t="n">
        <v>5</v>
      </c>
      <c r="G42" s="55" t="n">
        <v>5</v>
      </c>
      <c r="H42" s="55" t="n">
        <v>5</v>
      </c>
      <c r="I42" s="55" t="n">
        <v>4</v>
      </c>
      <c r="J42" s="55" t="n">
        <v>4</v>
      </c>
      <c r="K42" s="58"/>
      <c r="L42" s="58"/>
      <c r="M42" s="58"/>
      <c r="N42" s="58"/>
      <c r="O42" s="58"/>
      <c r="P42" s="58"/>
      <c r="Q42" s="58"/>
      <c r="R42" s="58"/>
      <c r="S42" s="58"/>
      <c r="T42" s="58"/>
      <c r="U42" s="58"/>
      <c r="V42" s="58"/>
      <c r="W42" s="58"/>
      <c r="X42" s="58"/>
      <c r="Y42" s="58"/>
      <c r="Z42" s="58"/>
      <c r="AA42" s="58"/>
      <c r="AB42" s="58"/>
    </row>
    <row r="43" customFormat="false" ht="225" hidden="false" customHeight="true" outlineLevel="0" collapsed="false">
      <c r="A43" s="53"/>
      <c r="B43" s="53"/>
      <c r="C43" s="5" t="s">
        <v>19</v>
      </c>
      <c r="D43" s="48" t="s">
        <v>264</v>
      </c>
      <c r="E43" s="78" t="n">
        <f aca="false">IFERROR(__xludf.dummyfunction("COUNTA(SPLIT(D43,"" ""))/COUNTA(SPLIT($B$42,"" ""))"),0.254716981132075)</f>
        <v>0.2547169811</v>
      </c>
      <c r="F43" s="5" t="n">
        <v>4</v>
      </c>
      <c r="G43" s="5" t="n">
        <v>5</v>
      </c>
      <c r="H43" s="5" t="n">
        <v>5</v>
      </c>
      <c r="I43" s="5" t="n">
        <v>4</v>
      </c>
      <c r="J43" s="5" t="n">
        <v>4</v>
      </c>
      <c r="K43" s="50"/>
      <c r="L43" s="50"/>
      <c r="M43" s="50"/>
      <c r="N43" s="50"/>
      <c r="O43" s="50"/>
      <c r="P43" s="50"/>
      <c r="Q43" s="50"/>
      <c r="R43" s="50"/>
      <c r="S43" s="50"/>
      <c r="T43" s="50"/>
      <c r="U43" s="50"/>
      <c r="V43" s="50"/>
      <c r="W43" s="50"/>
      <c r="X43" s="50"/>
      <c r="Y43" s="50"/>
      <c r="Z43" s="50"/>
      <c r="AA43" s="50"/>
      <c r="AB43" s="50"/>
    </row>
    <row r="44" customFormat="false" ht="225" hidden="false" customHeight="true" outlineLevel="0" collapsed="false">
      <c r="A44" s="53"/>
      <c r="B44" s="53"/>
      <c r="C44" s="5" t="s">
        <v>8</v>
      </c>
      <c r="D44" s="48" t="s">
        <v>265</v>
      </c>
      <c r="E44" s="101" t="n">
        <f aca="false">IFERROR(__xludf.dummyfunction("COUNTA(SPLIT(D44,"" ""))/COUNTA(SPLIT($B$42,"" ""))"),0.419811320754717)</f>
        <v>0.4198113208</v>
      </c>
      <c r="F44" s="5" t="n">
        <v>3</v>
      </c>
      <c r="G44" s="5" t="n">
        <v>4</v>
      </c>
      <c r="H44" s="5" t="n">
        <v>5</v>
      </c>
      <c r="I44" s="5" t="n">
        <v>4</v>
      </c>
      <c r="J44" s="5" t="n">
        <v>4</v>
      </c>
      <c r="K44" s="50"/>
      <c r="L44" s="50"/>
      <c r="M44" s="50"/>
      <c r="N44" s="50"/>
      <c r="O44" s="50"/>
      <c r="P44" s="50"/>
      <c r="Q44" s="50"/>
      <c r="R44" s="50"/>
      <c r="S44" s="50"/>
      <c r="T44" s="50"/>
      <c r="U44" s="50"/>
      <c r="V44" s="50"/>
      <c r="W44" s="50"/>
      <c r="X44" s="50"/>
      <c r="Y44" s="50"/>
      <c r="Z44" s="50"/>
      <c r="AA44" s="50"/>
      <c r="AB44" s="50"/>
    </row>
    <row r="45" customFormat="false" ht="225" hidden="false" customHeight="true" outlineLevel="0" collapsed="false">
      <c r="A45" s="53"/>
      <c r="B45" s="53"/>
      <c r="C45" s="5" t="s">
        <v>20</v>
      </c>
      <c r="D45" s="48" t="s">
        <v>266</v>
      </c>
      <c r="E45" s="97" t="n">
        <f aca="false">IFERROR(__xludf.dummyfunction("COUNTA(SPLIT(D45,"" ""))/COUNTA(SPLIT($B$42,"" ""))"),0.207547169811321)</f>
        <v>0.2075471698</v>
      </c>
      <c r="F45" s="5" t="n">
        <v>5</v>
      </c>
      <c r="G45" s="5" t="n">
        <v>5</v>
      </c>
      <c r="H45" s="5" t="n">
        <v>5</v>
      </c>
      <c r="I45" s="5" t="n">
        <v>5</v>
      </c>
      <c r="J45" s="5" t="n">
        <v>5</v>
      </c>
      <c r="K45" s="50"/>
      <c r="L45" s="50"/>
      <c r="M45" s="50"/>
      <c r="N45" s="50"/>
      <c r="O45" s="50"/>
      <c r="P45" s="50"/>
      <c r="Q45" s="50"/>
      <c r="R45" s="50"/>
      <c r="S45" s="50"/>
      <c r="T45" s="50"/>
      <c r="U45" s="50"/>
      <c r="V45" s="50"/>
      <c r="W45" s="50"/>
      <c r="X45" s="50"/>
      <c r="Y45" s="50"/>
      <c r="Z45" s="50"/>
      <c r="AA45" s="50"/>
      <c r="AB45" s="50"/>
    </row>
    <row r="46" customFormat="false" ht="15.75" hidden="false" customHeight="false" outlineLevel="0" collapsed="false">
      <c r="A46" s="50"/>
      <c r="B46" s="50"/>
      <c r="C46" s="5"/>
      <c r="D46" s="48"/>
      <c r="E46" s="52"/>
      <c r="F46" s="5"/>
      <c r="G46" s="5"/>
      <c r="H46" s="5"/>
      <c r="I46" s="5"/>
      <c r="J46" s="5"/>
      <c r="K46" s="50"/>
      <c r="L46" s="50"/>
      <c r="M46" s="50"/>
      <c r="N46" s="50"/>
      <c r="O46" s="50"/>
      <c r="P46" s="50"/>
      <c r="Q46" s="50"/>
      <c r="R46" s="50"/>
      <c r="S46" s="50"/>
      <c r="T46" s="50"/>
      <c r="U46" s="50"/>
      <c r="V46" s="50"/>
      <c r="W46" s="50"/>
      <c r="X46" s="50"/>
      <c r="Y46" s="50"/>
      <c r="Z46" s="50"/>
      <c r="AA46" s="50"/>
      <c r="AB46" s="50"/>
    </row>
    <row r="47" customFormat="false" ht="225" hidden="false" customHeight="true" outlineLevel="0" collapsed="false">
      <c r="A47" s="102" t="s">
        <v>67</v>
      </c>
      <c r="B47" s="54" t="s">
        <v>68</v>
      </c>
      <c r="C47" s="55" t="s">
        <v>18</v>
      </c>
      <c r="D47" s="56" t="s">
        <v>267</v>
      </c>
      <c r="E47" s="103" t="n">
        <f aca="false">IFERROR(__xludf.dummyfunction("COUNTA(SPLIT(D47,"" ""))/COUNTA(SPLIT($B$47,"" ""))"),0.157766990291262)</f>
        <v>0.1577669903</v>
      </c>
      <c r="F47" s="55" t="n">
        <v>4</v>
      </c>
      <c r="G47" s="55" t="n">
        <v>4</v>
      </c>
      <c r="H47" s="55" t="n">
        <v>4</v>
      </c>
      <c r="I47" s="55" t="n">
        <v>4</v>
      </c>
      <c r="J47" s="55" t="n">
        <v>4</v>
      </c>
      <c r="K47" s="58"/>
      <c r="L47" s="58"/>
      <c r="M47" s="58"/>
      <c r="N47" s="58"/>
      <c r="O47" s="58"/>
      <c r="P47" s="58"/>
      <c r="Q47" s="58"/>
      <c r="R47" s="58"/>
      <c r="S47" s="58"/>
      <c r="T47" s="58"/>
      <c r="U47" s="58"/>
      <c r="V47" s="58"/>
      <c r="W47" s="58"/>
      <c r="X47" s="58"/>
      <c r="Y47" s="58"/>
      <c r="Z47" s="58"/>
      <c r="AA47" s="58"/>
      <c r="AB47" s="58"/>
    </row>
    <row r="48" customFormat="false" ht="225" hidden="false" customHeight="true" outlineLevel="0" collapsed="false">
      <c r="A48" s="102"/>
      <c r="B48" s="102"/>
      <c r="C48" s="5" t="s">
        <v>19</v>
      </c>
      <c r="D48" s="48" t="s">
        <v>268</v>
      </c>
      <c r="E48" s="73" t="n">
        <f aca="false">IFERROR(__xludf.dummyfunction("COUNTA(SPLIT(D48,"" ""))/COUNTA(SPLIT($B$47,"" ""))"),0.0533980582524272)</f>
        <v>0.05339805825</v>
      </c>
      <c r="F48" s="5" t="n">
        <v>3</v>
      </c>
      <c r="G48" s="5" t="n">
        <v>5</v>
      </c>
      <c r="H48" s="5" t="n">
        <v>5</v>
      </c>
      <c r="I48" s="5" t="n">
        <v>4</v>
      </c>
      <c r="J48" s="5" t="n">
        <v>3</v>
      </c>
      <c r="K48" s="50"/>
      <c r="L48" s="50"/>
      <c r="M48" s="50"/>
      <c r="N48" s="50"/>
      <c r="O48" s="50"/>
      <c r="P48" s="50"/>
      <c r="Q48" s="50"/>
      <c r="R48" s="50"/>
      <c r="S48" s="50"/>
      <c r="T48" s="50"/>
      <c r="U48" s="50"/>
      <c r="V48" s="50"/>
      <c r="W48" s="50"/>
      <c r="X48" s="50"/>
      <c r="Y48" s="50"/>
      <c r="Z48" s="50"/>
      <c r="AA48" s="50"/>
      <c r="AB48" s="50"/>
    </row>
    <row r="49" customFormat="false" ht="225" hidden="false" customHeight="true" outlineLevel="0" collapsed="false">
      <c r="A49" s="102"/>
      <c r="B49" s="102"/>
      <c r="C49" s="5" t="s">
        <v>8</v>
      </c>
      <c r="D49" s="48" t="s">
        <v>269</v>
      </c>
      <c r="E49" s="74" t="n">
        <f aca="false">IFERROR(__xludf.dummyfunction("COUNTA(SPLIT(D49,"" ""))/COUNTA(SPLIT($B$47,"" ""))"),0.257281553398058)</f>
        <v>0.2572815534</v>
      </c>
      <c r="F49" s="5" t="n">
        <v>3</v>
      </c>
      <c r="G49" s="5" t="n">
        <v>4</v>
      </c>
      <c r="H49" s="5" t="n">
        <v>5</v>
      </c>
      <c r="I49" s="5" t="n">
        <v>4</v>
      </c>
      <c r="J49" s="5" t="n">
        <v>5</v>
      </c>
      <c r="K49" s="50"/>
      <c r="L49" s="50"/>
      <c r="M49" s="50"/>
      <c r="N49" s="50"/>
      <c r="O49" s="50"/>
      <c r="P49" s="50"/>
      <c r="Q49" s="50"/>
      <c r="R49" s="50"/>
      <c r="S49" s="50"/>
      <c r="T49" s="50"/>
      <c r="U49" s="50"/>
      <c r="V49" s="50"/>
      <c r="W49" s="50"/>
      <c r="X49" s="50"/>
      <c r="Y49" s="50"/>
      <c r="Z49" s="50"/>
      <c r="AA49" s="50"/>
      <c r="AB49" s="50"/>
    </row>
    <row r="50" customFormat="false" ht="225" hidden="false" customHeight="true" outlineLevel="0" collapsed="false">
      <c r="A50" s="102"/>
      <c r="B50" s="102"/>
      <c r="C50" s="5" t="s">
        <v>20</v>
      </c>
      <c r="D50" s="48" t="s">
        <v>270</v>
      </c>
      <c r="E50" s="75" t="n">
        <f aca="false">IFERROR(__xludf.dummyfunction("COUNTA(SPLIT(D50,"" ""))/COUNTA(SPLIT($B$47,"" ""))"),0.109223300970874)</f>
        <v>0.109223301</v>
      </c>
      <c r="F50" s="5" t="n">
        <v>3</v>
      </c>
      <c r="G50" s="5" t="n">
        <v>5</v>
      </c>
      <c r="H50" s="5" t="n">
        <v>5</v>
      </c>
      <c r="I50" s="5" t="n">
        <v>5</v>
      </c>
      <c r="J50" s="5" t="n">
        <v>4</v>
      </c>
      <c r="K50" s="50"/>
      <c r="L50" s="50"/>
      <c r="M50" s="50"/>
      <c r="N50" s="50"/>
      <c r="O50" s="50"/>
      <c r="P50" s="50"/>
      <c r="Q50" s="50"/>
      <c r="R50" s="50"/>
      <c r="S50" s="50"/>
      <c r="T50" s="50"/>
      <c r="U50" s="50"/>
      <c r="V50" s="50"/>
      <c r="W50" s="50"/>
      <c r="X50" s="50"/>
      <c r="Y50" s="50"/>
      <c r="Z50" s="50"/>
      <c r="AA50" s="50"/>
      <c r="AB50" s="50"/>
    </row>
    <row r="51" customFormat="false" ht="15.75" hidden="false" customHeight="false" outlineLevel="0" collapsed="false">
      <c r="A51" s="50"/>
      <c r="B51" s="50"/>
      <c r="C51" s="5"/>
      <c r="D51" s="48"/>
      <c r="E51" s="50"/>
      <c r="F51" s="5"/>
      <c r="G51" s="5"/>
      <c r="H51" s="5"/>
      <c r="I51" s="5"/>
      <c r="J51" s="5"/>
      <c r="K51" s="50"/>
      <c r="L51" s="50"/>
      <c r="M51" s="50"/>
      <c r="N51" s="50"/>
      <c r="O51" s="50"/>
      <c r="P51" s="50"/>
      <c r="Q51" s="50"/>
      <c r="R51" s="50"/>
      <c r="S51" s="50"/>
      <c r="T51" s="50"/>
      <c r="U51" s="50"/>
      <c r="V51" s="50"/>
      <c r="W51" s="50"/>
      <c r="X51" s="50"/>
      <c r="Y51" s="50"/>
      <c r="Z51" s="50"/>
      <c r="AA51" s="50"/>
      <c r="AB51" s="50"/>
    </row>
    <row r="52" customFormat="false" ht="15.75" hidden="false" customHeight="false" outlineLevel="0" collapsed="false">
      <c r="A52" s="71"/>
      <c r="B52" s="54"/>
      <c r="C52" s="55" t="s">
        <v>18</v>
      </c>
      <c r="D52" s="56"/>
      <c r="E52" s="72" t="n">
        <f aca="false">IFERROR(__xludf.dummyfunction("COUNTA(SPLIT(D52,"" ""))/COUNTA(SPLIT($B$47,"" ""))"),0.00242718446601942)</f>
        <v>0.002427184466</v>
      </c>
      <c r="F52" s="55"/>
      <c r="G52" s="55"/>
      <c r="H52" s="55"/>
      <c r="I52" s="55"/>
      <c r="J52" s="55"/>
      <c r="K52" s="58"/>
      <c r="L52" s="58"/>
      <c r="M52" s="58"/>
      <c r="N52" s="58"/>
      <c r="O52" s="58"/>
      <c r="P52" s="58"/>
      <c r="Q52" s="58"/>
      <c r="R52" s="58"/>
      <c r="S52" s="58"/>
      <c r="T52" s="58"/>
      <c r="U52" s="58"/>
      <c r="V52" s="58"/>
      <c r="W52" s="58"/>
      <c r="X52" s="58"/>
      <c r="Y52" s="58"/>
      <c r="Z52" s="58"/>
      <c r="AA52" s="58"/>
      <c r="AB52" s="58"/>
    </row>
    <row r="53" customFormat="false" ht="15.75" hidden="false" customHeight="false" outlineLevel="0" collapsed="false">
      <c r="A53" s="71"/>
      <c r="B53" s="71"/>
      <c r="C53" s="5" t="s">
        <v>19</v>
      </c>
      <c r="D53" s="48"/>
      <c r="E53" s="73" t="n">
        <f aca="false">IFERROR(__xludf.dummyfunction("COUNTA(SPLIT(D53,"" ""))/COUNTA(SPLIT($B$47,"" ""))"),0.00242718446601942)</f>
        <v>0.002427184466</v>
      </c>
      <c r="F53" s="5"/>
      <c r="G53" s="5"/>
      <c r="H53" s="5"/>
      <c r="I53" s="5"/>
      <c r="J53" s="5"/>
      <c r="K53" s="50"/>
      <c r="L53" s="50"/>
      <c r="M53" s="50"/>
      <c r="N53" s="50"/>
      <c r="O53" s="50"/>
      <c r="P53" s="50"/>
      <c r="Q53" s="50"/>
      <c r="R53" s="50"/>
      <c r="S53" s="50"/>
      <c r="T53" s="50"/>
      <c r="U53" s="50"/>
      <c r="V53" s="50"/>
      <c r="W53" s="50"/>
      <c r="X53" s="50"/>
      <c r="Y53" s="50"/>
      <c r="Z53" s="50"/>
      <c r="AA53" s="50"/>
      <c r="AB53" s="50"/>
    </row>
    <row r="54" customFormat="false" ht="15.75" hidden="false" customHeight="false" outlineLevel="0" collapsed="false">
      <c r="A54" s="71"/>
      <c r="B54" s="71"/>
      <c r="C54" s="5" t="s">
        <v>8</v>
      </c>
      <c r="D54" s="48"/>
      <c r="E54" s="74" t="n">
        <f aca="false">IFERROR(__xludf.dummyfunction("COUNTA(SPLIT(D54,"" ""))/COUNTA(SPLIT($B$47,"" ""))"),0.00242718446601942)</f>
        <v>0.002427184466</v>
      </c>
      <c r="F54" s="5"/>
      <c r="G54" s="5"/>
      <c r="H54" s="5"/>
      <c r="I54" s="5"/>
      <c r="J54" s="5"/>
      <c r="K54" s="50"/>
      <c r="L54" s="50"/>
      <c r="M54" s="50"/>
      <c r="N54" s="50"/>
      <c r="O54" s="50"/>
      <c r="P54" s="50"/>
      <c r="Q54" s="50"/>
      <c r="R54" s="50"/>
      <c r="S54" s="50"/>
      <c r="T54" s="50"/>
      <c r="U54" s="50"/>
      <c r="V54" s="50"/>
      <c r="W54" s="50"/>
      <c r="X54" s="50"/>
      <c r="Y54" s="50"/>
      <c r="Z54" s="50"/>
      <c r="AA54" s="50"/>
      <c r="AB54" s="50"/>
    </row>
    <row r="55" customFormat="false" ht="15.75" hidden="false" customHeight="false" outlineLevel="0" collapsed="false">
      <c r="A55" s="71"/>
      <c r="B55" s="71"/>
      <c r="C55" s="5" t="s">
        <v>20</v>
      </c>
      <c r="D55" s="48"/>
      <c r="E55" s="75" t="n">
        <f aca="false">IFERROR(__xludf.dummyfunction("COUNTA(SPLIT(D55,"" ""))/COUNTA(SPLIT($B$47,"" ""))"),0.00242718446601942)</f>
        <v>0.002427184466</v>
      </c>
      <c r="F55" s="5"/>
      <c r="G55" s="5"/>
      <c r="H55" s="5"/>
      <c r="I55" s="5"/>
      <c r="J55" s="5"/>
      <c r="K55" s="50"/>
      <c r="L55" s="50"/>
      <c r="M55" s="50"/>
      <c r="N55" s="50"/>
      <c r="O55" s="50"/>
      <c r="P55" s="50"/>
      <c r="Q55" s="50"/>
      <c r="R55" s="50"/>
      <c r="S55" s="50"/>
      <c r="T55" s="50"/>
      <c r="U55" s="50"/>
      <c r="V55" s="50"/>
      <c r="W55" s="50"/>
      <c r="X55" s="50"/>
      <c r="Y55" s="50"/>
      <c r="Z55" s="50"/>
      <c r="AA55" s="50"/>
      <c r="AB55" s="50"/>
    </row>
    <row r="56" customFormat="false" ht="15.75" hidden="false" customHeight="false" outlineLevel="0" collapsed="false">
      <c r="A56" s="50"/>
      <c r="B56" s="50"/>
      <c r="C56" s="5"/>
      <c r="D56" s="48"/>
      <c r="E56" s="50"/>
      <c r="F56" s="5"/>
      <c r="G56" s="5"/>
      <c r="H56" s="5"/>
      <c r="I56" s="5"/>
      <c r="J56" s="5"/>
      <c r="K56" s="50"/>
      <c r="L56" s="50"/>
      <c r="M56" s="50"/>
      <c r="N56" s="50"/>
      <c r="O56" s="50"/>
      <c r="P56" s="50"/>
      <c r="Q56" s="50"/>
      <c r="R56" s="50"/>
      <c r="S56" s="50"/>
      <c r="T56" s="50"/>
      <c r="U56" s="50"/>
      <c r="V56" s="50"/>
      <c r="W56" s="50"/>
      <c r="X56" s="50"/>
      <c r="Y56" s="50"/>
      <c r="Z56" s="50"/>
      <c r="AA56" s="50"/>
      <c r="AB56" s="50"/>
    </row>
    <row r="57" customFormat="false" ht="15.75" hidden="false" customHeight="false" outlineLevel="0" collapsed="false">
      <c r="A57" s="71"/>
      <c r="B57" s="54"/>
      <c r="C57" s="55" t="s">
        <v>18</v>
      </c>
      <c r="D57" s="56"/>
      <c r="E57" s="72" t="n">
        <f aca="false">IFERROR(__xludf.dummyfunction("COUNTA(SPLIT(D57,"" ""))/COUNTA(SPLIT($B$47,"" ""))"),0.00242718446601942)</f>
        <v>0.002427184466</v>
      </c>
      <c r="F57" s="55"/>
      <c r="G57" s="55"/>
      <c r="H57" s="55"/>
      <c r="I57" s="55"/>
      <c r="J57" s="55"/>
      <c r="K57" s="58"/>
      <c r="L57" s="58"/>
      <c r="M57" s="58"/>
      <c r="N57" s="58"/>
      <c r="O57" s="58"/>
      <c r="P57" s="58"/>
      <c r="Q57" s="58"/>
      <c r="R57" s="58"/>
      <c r="S57" s="58"/>
      <c r="T57" s="58"/>
      <c r="U57" s="58"/>
      <c r="V57" s="58"/>
      <c r="W57" s="58"/>
      <c r="X57" s="58"/>
      <c r="Y57" s="58"/>
      <c r="Z57" s="58"/>
      <c r="AA57" s="58"/>
      <c r="AB57" s="58"/>
    </row>
    <row r="58" customFormat="false" ht="15.75" hidden="false" customHeight="false" outlineLevel="0" collapsed="false">
      <c r="A58" s="71"/>
      <c r="B58" s="71"/>
      <c r="C58" s="5" t="s">
        <v>19</v>
      </c>
      <c r="D58" s="48"/>
      <c r="E58" s="73" t="n">
        <f aca="false">IFERROR(__xludf.dummyfunction("COUNTA(SPLIT(D58,"" ""))/COUNTA(SPLIT($B$47,"" ""))"),0.00242718446601942)</f>
        <v>0.002427184466</v>
      </c>
      <c r="F58" s="5"/>
      <c r="G58" s="5"/>
      <c r="H58" s="5"/>
      <c r="I58" s="5"/>
      <c r="J58" s="5"/>
      <c r="K58" s="50"/>
      <c r="L58" s="50"/>
      <c r="M58" s="50"/>
      <c r="N58" s="50"/>
      <c r="O58" s="50"/>
      <c r="P58" s="50"/>
      <c r="Q58" s="50"/>
      <c r="R58" s="50"/>
      <c r="S58" s="50"/>
      <c r="T58" s="50"/>
      <c r="U58" s="50"/>
      <c r="V58" s="50"/>
      <c r="W58" s="50"/>
      <c r="X58" s="50"/>
      <c r="Y58" s="50"/>
      <c r="Z58" s="50"/>
      <c r="AA58" s="50"/>
      <c r="AB58" s="50"/>
    </row>
    <row r="59" customFormat="false" ht="15.75" hidden="false" customHeight="false" outlineLevel="0" collapsed="false">
      <c r="A59" s="71"/>
      <c r="B59" s="71"/>
      <c r="C59" s="5" t="s">
        <v>8</v>
      </c>
      <c r="D59" s="48"/>
      <c r="E59" s="74" t="n">
        <f aca="false">IFERROR(__xludf.dummyfunction("COUNTA(SPLIT(D59,"" ""))/COUNTA(SPLIT($B$47,"" ""))"),0.00242718446601942)</f>
        <v>0.002427184466</v>
      </c>
      <c r="F59" s="5"/>
      <c r="G59" s="5"/>
      <c r="H59" s="5"/>
      <c r="I59" s="5"/>
      <c r="J59" s="5"/>
      <c r="K59" s="50"/>
      <c r="L59" s="50"/>
      <c r="M59" s="50"/>
      <c r="N59" s="50"/>
      <c r="O59" s="50"/>
      <c r="P59" s="50"/>
      <c r="Q59" s="50"/>
      <c r="R59" s="50"/>
      <c r="S59" s="50"/>
      <c r="T59" s="50"/>
      <c r="U59" s="50"/>
      <c r="V59" s="50"/>
      <c r="W59" s="50"/>
      <c r="X59" s="50"/>
      <c r="Y59" s="50"/>
      <c r="Z59" s="50"/>
      <c r="AA59" s="50"/>
      <c r="AB59" s="50"/>
    </row>
    <row r="60" customFormat="false" ht="15.75" hidden="false" customHeight="false" outlineLevel="0" collapsed="false">
      <c r="A60" s="71"/>
      <c r="B60" s="71"/>
      <c r="C60" s="5" t="s">
        <v>20</v>
      </c>
      <c r="D60" s="48"/>
      <c r="E60" s="75" t="n">
        <f aca="false">IFERROR(__xludf.dummyfunction("COUNTA(SPLIT(D60,"" ""))/COUNTA(SPLIT($B$47,"" ""))"),0.00242718446601942)</f>
        <v>0.002427184466</v>
      </c>
      <c r="F60" s="5"/>
      <c r="G60" s="5"/>
      <c r="H60" s="5"/>
      <c r="I60" s="5"/>
      <c r="J60" s="5"/>
      <c r="K60" s="50"/>
      <c r="L60" s="50"/>
      <c r="M60" s="50"/>
      <c r="N60" s="50"/>
      <c r="O60" s="50"/>
      <c r="P60" s="50"/>
      <c r="Q60" s="50"/>
      <c r="R60" s="50"/>
      <c r="S60" s="50"/>
      <c r="T60" s="50"/>
      <c r="U60" s="50"/>
      <c r="V60" s="50"/>
      <c r="W60" s="50"/>
      <c r="X60" s="50"/>
      <c r="Y60" s="50"/>
      <c r="Z60" s="50"/>
      <c r="AA60" s="50"/>
      <c r="AB60" s="50"/>
    </row>
    <row r="61" customFormat="false" ht="15.75" hidden="false" customHeight="false" outlineLevel="0" collapsed="false">
      <c r="A61" s="50"/>
      <c r="B61" s="50"/>
      <c r="C61" s="5"/>
      <c r="D61" s="48"/>
      <c r="E61" s="50"/>
      <c r="F61" s="5"/>
      <c r="G61" s="5"/>
      <c r="H61" s="5"/>
      <c r="I61" s="5"/>
      <c r="J61" s="5"/>
      <c r="K61" s="50"/>
      <c r="L61" s="50"/>
      <c r="M61" s="50"/>
      <c r="N61" s="50"/>
      <c r="O61" s="50"/>
      <c r="P61" s="50"/>
      <c r="Q61" s="50"/>
      <c r="R61" s="50"/>
      <c r="S61" s="50"/>
      <c r="T61" s="50"/>
      <c r="U61" s="50"/>
      <c r="V61" s="50"/>
      <c r="W61" s="50"/>
      <c r="X61" s="50"/>
      <c r="Y61" s="50"/>
      <c r="Z61" s="50"/>
      <c r="AA61" s="50"/>
      <c r="AB61" s="50"/>
    </row>
    <row r="62" customFormat="false" ht="15.75" hidden="false" customHeight="false" outlineLevel="0" collapsed="false">
      <c r="A62" s="71"/>
      <c r="B62" s="54"/>
      <c r="C62" s="55" t="s">
        <v>18</v>
      </c>
      <c r="D62" s="56"/>
      <c r="E62" s="72" t="n">
        <f aca="false">IFERROR(__xludf.dummyfunction("COUNTA(SPLIT(D62,"" ""))/COUNTA(SPLIT($B$47,"" ""))"),0.00242718446601942)</f>
        <v>0.002427184466</v>
      </c>
      <c r="F62" s="55"/>
      <c r="G62" s="55"/>
      <c r="H62" s="55"/>
      <c r="I62" s="55"/>
      <c r="J62" s="55"/>
      <c r="K62" s="58"/>
      <c r="L62" s="58"/>
      <c r="M62" s="58"/>
      <c r="N62" s="58"/>
      <c r="O62" s="58"/>
      <c r="P62" s="58"/>
      <c r="Q62" s="58"/>
      <c r="R62" s="58"/>
      <c r="S62" s="58"/>
      <c r="T62" s="58"/>
      <c r="U62" s="58"/>
      <c r="V62" s="58"/>
      <c r="W62" s="58"/>
      <c r="X62" s="58"/>
      <c r="Y62" s="58"/>
      <c r="Z62" s="58"/>
      <c r="AA62" s="58"/>
      <c r="AB62" s="58"/>
    </row>
    <row r="63" customFormat="false" ht="15.75" hidden="false" customHeight="false" outlineLevel="0" collapsed="false">
      <c r="A63" s="71"/>
      <c r="B63" s="71"/>
      <c r="C63" s="5" t="s">
        <v>19</v>
      </c>
      <c r="D63" s="48"/>
      <c r="E63" s="73" t="n">
        <f aca="false">IFERROR(__xludf.dummyfunction("COUNTA(SPLIT(D63,"" ""))/COUNTA(SPLIT($B$47,"" ""))"),0.00242718446601942)</f>
        <v>0.002427184466</v>
      </c>
      <c r="F63" s="5"/>
      <c r="G63" s="5"/>
      <c r="H63" s="5"/>
      <c r="I63" s="5"/>
      <c r="J63" s="5"/>
      <c r="K63" s="50"/>
      <c r="L63" s="50"/>
      <c r="M63" s="50"/>
      <c r="N63" s="50"/>
      <c r="O63" s="50"/>
      <c r="P63" s="50"/>
      <c r="Q63" s="50"/>
      <c r="R63" s="50"/>
      <c r="S63" s="50"/>
      <c r="T63" s="50"/>
      <c r="U63" s="50"/>
      <c r="V63" s="50"/>
      <c r="W63" s="50"/>
      <c r="X63" s="50"/>
      <c r="Y63" s="50"/>
      <c r="Z63" s="50"/>
      <c r="AA63" s="50"/>
      <c r="AB63" s="50"/>
    </row>
    <row r="64" customFormat="false" ht="15.75" hidden="false" customHeight="false" outlineLevel="0" collapsed="false">
      <c r="A64" s="71"/>
      <c r="B64" s="71"/>
      <c r="C64" s="5" t="s">
        <v>8</v>
      </c>
      <c r="D64" s="48"/>
      <c r="E64" s="74" t="n">
        <f aca="false">IFERROR(__xludf.dummyfunction("COUNTA(SPLIT(D64,"" ""))/COUNTA(SPLIT($B$47,"" ""))"),0.00242718446601942)</f>
        <v>0.002427184466</v>
      </c>
      <c r="F64" s="5"/>
      <c r="G64" s="5"/>
      <c r="H64" s="5"/>
      <c r="I64" s="5"/>
      <c r="J64" s="5"/>
      <c r="K64" s="50"/>
      <c r="L64" s="50"/>
      <c r="M64" s="50"/>
      <c r="N64" s="50"/>
      <c r="O64" s="50"/>
      <c r="P64" s="50"/>
      <c r="Q64" s="50"/>
      <c r="R64" s="50"/>
      <c r="S64" s="50"/>
      <c r="T64" s="50"/>
      <c r="U64" s="50"/>
      <c r="V64" s="50"/>
      <c r="W64" s="50"/>
      <c r="X64" s="50"/>
      <c r="Y64" s="50"/>
      <c r="Z64" s="50"/>
      <c r="AA64" s="50"/>
      <c r="AB64" s="50"/>
    </row>
    <row r="65" customFormat="false" ht="15.75" hidden="false" customHeight="false" outlineLevel="0" collapsed="false">
      <c r="A65" s="71"/>
      <c r="B65" s="71"/>
      <c r="C65" s="5" t="s">
        <v>20</v>
      </c>
      <c r="D65" s="48"/>
      <c r="E65" s="75" t="n">
        <f aca="false">IFERROR(__xludf.dummyfunction("COUNTA(SPLIT(D65,"" ""))/COUNTA(SPLIT($B$47,"" ""))"),0.00242718446601942)</f>
        <v>0.002427184466</v>
      </c>
      <c r="F65" s="5"/>
      <c r="G65" s="5"/>
      <c r="H65" s="5"/>
      <c r="I65" s="5"/>
      <c r="J65" s="5"/>
      <c r="K65" s="50"/>
      <c r="L65" s="50"/>
      <c r="M65" s="50"/>
      <c r="N65" s="50"/>
      <c r="O65" s="50"/>
      <c r="P65" s="50"/>
      <c r="Q65" s="50"/>
      <c r="R65" s="50"/>
      <c r="S65" s="50"/>
      <c r="T65" s="50"/>
      <c r="U65" s="50"/>
      <c r="V65" s="50"/>
      <c r="W65" s="50"/>
      <c r="X65" s="50"/>
      <c r="Y65" s="50"/>
      <c r="Z65" s="50"/>
      <c r="AA65" s="50"/>
      <c r="AB65" s="50"/>
    </row>
    <row r="66" customFormat="false" ht="15.75" hidden="false" customHeight="false" outlineLevel="0" collapsed="false">
      <c r="A66" s="50"/>
      <c r="B66" s="50"/>
      <c r="C66" s="5"/>
      <c r="D66" s="48"/>
      <c r="E66" s="50"/>
      <c r="F66" s="5"/>
      <c r="G66" s="5"/>
      <c r="H66" s="5"/>
      <c r="I66" s="5"/>
      <c r="J66" s="5"/>
      <c r="K66" s="50"/>
      <c r="L66" s="50"/>
      <c r="M66" s="50"/>
      <c r="N66" s="50"/>
      <c r="O66" s="50"/>
      <c r="P66" s="50"/>
      <c r="Q66" s="50"/>
      <c r="R66" s="50"/>
      <c r="S66" s="50"/>
      <c r="T66" s="50"/>
      <c r="U66" s="50"/>
      <c r="V66" s="50"/>
      <c r="W66" s="50"/>
      <c r="X66" s="50"/>
      <c r="Y66" s="50"/>
      <c r="Z66" s="50"/>
      <c r="AA66" s="50"/>
      <c r="AB66" s="50"/>
    </row>
    <row r="67" customFormat="false" ht="15.75" hidden="false" customHeight="false" outlineLevel="0" collapsed="false">
      <c r="A67" s="71"/>
      <c r="B67" s="54"/>
      <c r="C67" s="55" t="s">
        <v>18</v>
      </c>
      <c r="D67" s="56"/>
      <c r="E67" s="72" t="n">
        <f aca="false">IFERROR(__xludf.dummyfunction("COUNTA(SPLIT(D67,"" ""))/COUNTA(SPLIT($B$47,"" ""))"),0.00242718446601942)</f>
        <v>0.002427184466</v>
      </c>
      <c r="F67" s="55"/>
      <c r="G67" s="55"/>
      <c r="H67" s="55"/>
      <c r="I67" s="55"/>
      <c r="J67" s="55"/>
      <c r="K67" s="58"/>
      <c r="L67" s="58"/>
      <c r="M67" s="58"/>
      <c r="N67" s="58"/>
      <c r="O67" s="58"/>
      <c r="P67" s="58"/>
      <c r="Q67" s="58"/>
      <c r="R67" s="58"/>
      <c r="S67" s="58"/>
      <c r="T67" s="58"/>
      <c r="U67" s="58"/>
      <c r="V67" s="58"/>
      <c r="W67" s="58"/>
      <c r="X67" s="58"/>
      <c r="Y67" s="58"/>
      <c r="Z67" s="58"/>
      <c r="AA67" s="58"/>
      <c r="AB67" s="58"/>
    </row>
    <row r="68" customFormat="false" ht="15.75" hidden="false" customHeight="false" outlineLevel="0" collapsed="false">
      <c r="A68" s="71"/>
      <c r="B68" s="71"/>
      <c r="C68" s="5" t="s">
        <v>19</v>
      </c>
      <c r="D68" s="48"/>
      <c r="E68" s="73" t="n">
        <f aca="false">IFERROR(__xludf.dummyfunction("COUNTA(SPLIT(D68,"" ""))/COUNTA(SPLIT($B$47,"" ""))"),0.00242718446601942)</f>
        <v>0.002427184466</v>
      </c>
      <c r="F68" s="5"/>
      <c r="G68" s="5"/>
      <c r="H68" s="5"/>
      <c r="I68" s="5"/>
      <c r="J68" s="5"/>
      <c r="K68" s="50"/>
      <c r="L68" s="50"/>
      <c r="M68" s="50"/>
      <c r="N68" s="50"/>
      <c r="O68" s="50"/>
      <c r="P68" s="50"/>
      <c r="Q68" s="50"/>
      <c r="R68" s="50"/>
      <c r="S68" s="50"/>
      <c r="T68" s="50"/>
      <c r="U68" s="50"/>
      <c r="V68" s="50"/>
      <c r="W68" s="50"/>
      <c r="X68" s="50"/>
      <c r="Y68" s="50"/>
      <c r="Z68" s="50"/>
      <c r="AA68" s="50"/>
      <c r="AB68" s="50"/>
    </row>
    <row r="69" customFormat="false" ht="15.75" hidden="false" customHeight="false" outlineLevel="0" collapsed="false">
      <c r="A69" s="71"/>
      <c r="B69" s="71"/>
      <c r="C69" s="5" t="s">
        <v>8</v>
      </c>
      <c r="D69" s="48"/>
      <c r="E69" s="74" t="n">
        <f aca="false">IFERROR(__xludf.dummyfunction("COUNTA(SPLIT(D69,"" ""))/COUNTA(SPLIT($B$47,"" ""))"),0.00242718446601942)</f>
        <v>0.002427184466</v>
      </c>
      <c r="F69" s="5"/>
      <c r="G69" s="5"/>
      <c r="H69" s="5"/>
      <c r="I69" s="5"/>
      <c r="J69" s="5"/>
      <c r="K69" s="50"/>
      <c r="L69" s="50"/>
      <c r="M69" s="50"/>
      <c r="N69" s="50"/>
      <c r="O69" s="50"/>
      <c r="P69" s="50"/>
      <c r="Q69" s="50"/>
      <c r="R69" s="50"/>
      <c r="S69" s="50"/>
      <c r="T69" s="50"/>
      <c r="U69" s="50"/>
      <c r="V69" s="50"/>
      <c r="W69" s="50"/>
      <c r="X69" s="50"/>
      <c r="Y69" s="50"/>
      <c r="Z69" s="50"/>
      <c r="AA69" s="50"/>
      <c r="AB69" s="50"/>
    </row>
    <row r="70" customFormat="false" ht="15.75" hidden="false" customHeight="false" outlineLevel="0" collapsed="false">
      <c r="A70" s="71"/>
      <c r="B70" s="71"/>
      <c r="C70" s="5" t="s">
        <v>20</v>
      </c>
      <c r="D70" s="48"/>
      <c r="E70" s="75" t="n">
        <f aca="false">IFERROR(__xludf.dummyfunction("COUNTA(SPLIT(D70,"" ""))/COUNTA(SPLIT($B$47,"" ""))"),0.00242718446601942)</f>
        <v>0.002427184466</v>
      </c>
      <c r="F70" s="5"/>
      <c r="G70" s="5"/>
      <c r="H70" s="5"/>
      <c r="I70" s="5"/>
      <c r="J70" s="5"/>
      <c r="K70" s="50"/>
      <c r="L70" s="50"/>
      <c r="M70" s="50"/>
      <c r="N70" s="50"/>
      <c r="O70" s="50"/>
      <c r="P70" s="50"/>
      <c r="Q70" s="50"/>
      <c r="R70" s="50"/>
      <c r="S70" s="50"/>
      <c r="T70" s="50"/>
      <c r="U70" s="50"/>
      <c r="V70" s="50"/>
      <c r="W70" s="50"/>
      <c r="X70" s="50"/>
      <c r="Y70" s="50"/>
      <c r="Z70" s="50"/>
      <c r="AA70" s="50"/>
      <c r="AB70" s="50"/>
    </row>
    <row r="71" customFormat="false" ht="15.75" hidden="false" customHeight="false" outlineLevel="0" collapsed="false">
      <c r="A71" s="50"/>
      <c r="B71" s="50"/>
      <c r="C71" s="5"/>
      <c r="D71" s="48"/>
      <c r="E71" s="50"/>
      <c r="F71" s="5"/>
      <c r="G71" s="5"/>
      <c r="H71" s="5"/>
      <c r="I71" s="5"/>
      <c r="J71" s="5"/>
      <c r="K71" s="50"/>
      <c r="L71" s="50"/>
      <c r="M71" s="50"/>
      <c r="N71" s="50"/>
      <c r="O71" s="50"/>
      <c r="P71" s="50"/>
      <c r="Q71" s="50"/>
      <c r="R71" s="50"/>
      <c r="S71" s="50"/>
      <c r="T71" s="50"/>
      <c r="U71" s="50"/>
      <c r="V71" s="50"/>
      <c r="W71" s="50"/>
      <c r="X71" s="50"/>
      <c r="Y71" s="50"/>
      <c r="Z71" s="50"/>
      <c r="AA71" s="50"/>
      <c r="AB71" s="50"/>
    </row>
    <row r="72" customFormat="false" ht="15.75" hidden="false" customHeight="false" outlineLevel="0" collapsed="false">
      <c r="A72" s="71"/>
      <c r="B72" s="54"/>
      <c r="C72" s="55" t="s">
        <v>18</v>
      </c>
      <c r="D72" s="56"/>
      <c r="E72" s="72" t="n">
        <f aca="false">IFERROR(__xludf.dummyfunction("COUNTA(SPLIT(D72,"" ""))/COUNTA(SPLIT($B$47,"" ""))"),0.00242718446601942)</f>
        <v>0.002427184466</v>
      </c>
      <c r="F72" s="55"/>
      <c r="G72" s="55"/>
      <c r="H72" s="55"/>
      <c r="I72" s="55"/>
      <c r="J72" s="55"/>
      <c r="K72" s="58"/>
      <c r="L72" s="58"/>
      <c r="M72" s="58"/>
      <c r="N72" s="58"/>
      <c r="O72" s="58"/>
      <c r="P72" s="58"/>
      <c r="Q72" s="58"/>
      <c r="R72" s="58"/>
      <c r="S72" s="58"/>
      <c r="T72" s="58"/>
      <c r="U72" s="58"/>
      <c r="V72" s="58"/>
      <c r="W72" s="58"/>
      <c r="X72" s="58"/>
      <c r="Y72" s="58"/>
      <c r="Z72" s="58"/>
      <c r="AA72" s="58"/>
      <c r="AB72" s="58"/>
    </row>
    <row r="73" customFormat="false" ht="15.75" hidden="false" customHeight="false" outlineLevel="0" collapsed="false">
      <c r="A73" s="71"/>
      <c r="B73" s="71"/>
      <c r="C73" s="5" t="s">
        <v>19</v>
      </c>
      <c r="D73" s="48"/>
      <c r="E73" s="73" t="n">
        <f aca="false">IFERROR(__xludf.dummyfunction("COUNTA(SPLIT(D73,"" ""))/COUNTA(SPLIT($B$47,"" ""))"),0.00242718446601942)</f>
        <v>0.002427184466</v>
      </c>
      <c r="F73" s="5"/>
      <c r="G73" s="5"/>
      <c r="H73" s="5"/>
      <c r="I73" s="5"/>
      <c r="J73" s="5"/>
      <c r="K73" s="50"/>
      <c r="L73" s="50"/>
      <c r="M73" s="50"/>
      <c r="N73" s="50"/>
      <c r="O73" s="50"/>
      <c r="P73" s="50"/>
      <c r="Q73" s="50"/>
      <c r="R73" s="50"/>
      <c r="S73" s="50"/>
      <c r="T73" s="50"/>
      <c r="U73" s="50"/>
      <c r="V73" s="50"/>
      <c r="W73" s="50"/>
      <c r="X73" s="50"/>
      <c r="Y73" s="50"/>
      <c r="Z73" s="50"/>
      <c r="AA73" s="50"/>
      <c r="AB73" s="50"/>
    </row>
    <row r="74" customFormat="false" ht="15.75" hidden="false" customHeight="false" outlineLevel="0" collapsed="false">
      <c r="A74" s="71"/>
      <c r="B74" s="71"/>
      <c r="C74" s="5" t="s">
        <v>8</v>
      </c>
      <c r="D74" s="48"/>
      <c r="E74" s="74" t="n">
        <f aca="false">IFERROR(__xludf.dummyfunction("COUNTA(SPLIT(D74,"" ""))/COUNTA(SPLIT($B$47,"" ""))"),0.00242718446601942)</f>
        <v>0.002427184466</v>
      </c>
      <c r="F74" s="5"/>
      <c r="G74" s="5"/>
      <c r="H74" s="5"/>
      <c r="I74" s="5"/>
      <c r="J74" s="5"/>
      <c r="K74" s="50"/>
      <c r="L74" s="50"/>
      <c r="M74" s="50"/>
      <c r="N74" s="50"/>
      <c r="O74" s="50"/>
      <c r="P74" s="50"/>
      <c r="Q74" s="50"/>
      <c r="R74" s="50"/>
      <c r="S74" s="50"/>
      <c r="T74" s="50"/>
      <c r="U74" s="50"/>
      <c r="V74" s="50"/>
      <c r="W74" s="50"/>
      <c r="X74" s="50"/>
      <c r="Y74" s="50"/>
      <c r="Z74" s="50"/>
      <c r="AA74" s="50"/>
      <c r="AB74" s="50"/>
    </row>
    <row r="75" customFormat="false" ht="15.75" hidden="false" customHeight="false" outlineLevel="0" collapsed="false">
      <c r="A75" s="71"/>
      <c r="B75" s="71"/>
      <c r="C75" s="5" t="s">
        <v>20</v>
      </c>
      <c r="D75" s="48"/>
      <c r="E75" s="75" t="n">
        <f aca="false">IFERROR(__xludf.dummyfunction("COUNTA(SPLIT(D75,"" ""))/COUNTA(SPLIT($B$47,"" ""))"),0.00242718446601942)</f>
        <v>0.002427184466</v>
      </c>
      <c r="F75" s="5"/>
      <c r="G75" s="5"/>
      <c r="H75" s="5"/>
      <c r="I75" s="5"/>
      <c r="J75" s="5"/>
      <c r="K75" s="50"/>
      <c r="L75" s="50"/>
      <c r="M75" s="50"/>
      <c r="N75" s="50"/>
      <c r="O75" s="50"/>
      <c r="P75" s="50"/>
      <c r="Q75" s="50"/>
      <c r="R75" s="50"/>
      <c r="S75" s="50"/>
      <c r="T75" s="50"/>
      <c r="U75" s="50"/>
      <c r="V75" s="50"/>
      <c r="W75" s="50"/>
      <c r="X75" s="50"/>
      <c r="Y75" s="50"/>
      <c r="Z75" s="50"/>
      <c r="AA75" s="50"/>
      <c r="AB75" s="50"/>
    </row>
    <row r="76" customFormat="false" ht="15.75" hidden="false" customHeight="false" outlineLevel="0" collapsed="false">
      <c r="A76" s="50"/>
      <c r="B76" s="50"/>
      <c r="C76" s="5"/>
      <c r="D76" s="48"/>
      <c r="E76" s="50"/>
      <c r="F76" s="5"/>
      <c r="G76" s="5"/>
      <c r="H76" s="5"/>
      <c r="I76" s="5"/>
      <c r="J76" s="5"/>
      <c r="K76" s="50"/>
      <c r="L76" s="50"/>
      <c r="M76" s="50"/>
      <c r="N76" s="50"/>
      <c r="O76" s="50"/>
      <c r="P76" s="50"/>
      <c r="Q76" s="50"/>
      <c r="R76" s="50"/>
      <c r="S76" s="50"/>
      <c r="T76" s="50"/>
      <c r="U76" s="50"/>
      <c r="V76" s="50"/>
      <c r="W76" s="50"/>
      <c r="X76" s="50"/>
      <c r="Y76" s="50"/>
      <c r="Z76" s="50"/>
      <c r="AA76" s="50"/>
      <c r="AB76" s="50"/>
    </row>
    <row r="77" customFormat="false" ht="15.75" hidden="false" customHeight="false" outlineLevel="0" collapsed="false">
      <c r="A77" s="71"/>
      <c r="B77" s="54"/>
      <c r="C77" s="55" t="s">
        <v>18</v>
      </c>
      <c r="D77" s="56"/>
      <c r="E77" s="72" t="n">
        <f aca="false">IFERROR(__xludf.dummyfunction("COUNTA(SPLIT(D77,"" ""))/COUNTA(SPLIT($B$47,"" ""))"),0.00242718446601942)</f>
        <v>0.002427184466</v>
      </c>
      <c r="F77" s="55"/>
      <c r="G77" s="55"/>
      <c r="H77" s="55"/>
      <c r="I77" s="55"/>
      <c r="J77" s="55"/>
      <c r="K77" s="58"/>
      <c r="L77" s="58"/>
      <c r="M77" s="58"/>
      <c r="N77" s="58"/>
      <c r="O77" s="58"/>
      <c r="P77" s="58"/>
      <c r="Q77" s="58"/>
      <c r="R77" s="58"/>
      <c r="S77" s="58"/>
      <c r="T77" s="58"/>
      <c r="U77" s="58"/>
      <c r="V77" s="58"/>
      <c r="W77" s="58"/>
      <c r="X77" s="58"/>
      <c r="Y77" s="58"/>
      <c r="Z77" s="58"/>
      <c r="AA77" s="58"/>
      <c r="AB77" s="58"/>
    </row>
    <row r="78" customFormat="false" ht="15.75" hidden="false" customHeight="false" outlineLevel="0" collapsed="false">
      <c r="A78" s="71"/>
      <c r="B78" s="71"/>
      <c r="C78" s="5" t="s">
        <v>19</v>
      </c>
      <c r="D78" s="48"/>
      <c r="E78" s="73" t="n">
        <f aca="false">IFERROR(__xludf.dummyfunction("COUNTA(SPLIT(D78,"" ""))/COUNTA(SPLIT($B$47,"" ""))"),0.00242718446601942)</f>
        <v>0.002427184466</v>
      </c>
      <c r="F78" s="5"/>
      <c r="G78" s="5"/>
      <c r="H78" s="5"/>
      <c r="I78" s="5"/>
      <c r="J78" s="5"/>
      <c r="K78" s="50"/>
      <c r="L78" s="50"/>
      <c r="M78" s="50"/>
      <c r="N78" s="50"/>
      <c r="O78" s="50"/>
      <c r="P78" s="50"/>
      <c r="Q78" s="50"/>
      <c r="R78" s="50"/>
      <c r="S78" s="50"/>
      <c r="T78" s="50"/>
      <c r="U78" s="50"/>
      <c r="V78" s="50"/>
      <c r="W78" s="50"/>
      <c r="X78" s="50"/>
      <c r="Y78" s="50"/>
      <c r="Z78" s="50"/>
      <c r="AA78" s="50"/>
      <c r="AB78" s="50"/>
    </row>
    <row r="79" customFormat="false" ht="15.75" hidden="false" customHeight="false" outlineLevel="0" collapsed="false">
      <c r="A79" s="71"/>
      <c r="B79" s="71"/>
      <c r="C79" s="5" t="s">
        <v>8</v>
      </c>
      <c r="D79" s="48"/>
      <c r="E79" s="74" t="n">
        <f aca="false">IFERROR(__xludf.dummyfunction("COUNTA(SPLIT(D79,"" ""))/COUNTA(SPLIT($B$47,"" ""))"),0.00242718446601942)</f>
        <v>0.002427184466</v>
      </c>
      <c r="F79" s="5"/>
      <c r="G79" s="5"/>
      <c r="H79" s="5"/>
      <c r="I79" s="5"/>
      <c r="J79" s="5"/>
      <c r="K79" s="50"/>
      <c r="L79" s="50"/>
      <c r="M79" s="50"/>
      <c r="N79" s="50"/>
      <c r="O79" s="50"/>
      <c r="P79" s="50"/>
      <c r="Q79" s="50"/>
      <c r="R79" s="50"/>
      <c r="S79" s="50"/>
      <c r="T79" s="50"/>
      <c r="U79" s="50"/>
      <c r="V79" s="50"/>
      <c r="W79" s="50"/>
      <c r="X79" s="50"/>
      <c r="Y79" s="50"/>
      <c r="Z79" s="50"/>
      <c r="AA79" s="50"/>
      <c r="AB79" s="50"/>
    </row>
    <row r="80" customFormat="false" ht="15.75" hidden="false" customHeight="false" outlineLevel="0" collapsed="false">
      <c r="A80" s="71"/>
      <c r="B80" s="71"/>
      <c r="C80" s="5" t="s">
        <v>20</v>
      </c>
      <c r="D80" s="48"/>
      <c r="E80" s="75" t="n">
        <f aca="false">IFERROR(__xludf.dummyfunction("COUNTA(SPLIT(D80,"" ""))/COUNTA(SPLIT($B$47,"" ""))"),0.00242718446601942)</f>
        <v>0.002427184466</v>
      </c>
      <c r="F80" s="5"/>
      <c r="G80" s="5"/>
      <c r="H80" s="5"/>
      <c r="I80" s="5"/>
      <c r="J80" s="5"/>
      <c r="K80" s="50"/>
      <c r="L80" s="50"/>
      <c r="M80" s="50"/>
      <c r="N80" s="50"/>
      <c r="O80" s="50"/>
      <c r="P80" s="50"/>
      <c r="Q80" s="50"/>
      <c r="R80" s="50"/>
      <c r="S80" s="50"/>
      <c r="T80" s="50"/>
      <c r="U80" s="50"/>
      <c r="V80" s="50"/>
      <c r="W80" s="50"/>
      <c r="X80" s="50"/>
      <c r="Y80" s="50"/>
      <c r="Z80" s="50"/>
      <c r="AA80" s="50"/>
      <c r="AB80" s="50"/>
    </row>
    <row r="81" customFormat="false" ht="15.75" hidden="false" customHeight="false" outlineLevel="0" collapsed="false">
      <c r="A81" s="50"/>
      <c r="B81" s="50"/>
      <c r="C81" s="5"/>
      <c r="D81" s="48"/>
      <c r="E81" s="50"/>
      <c r="F81" s="5"/>
      <c r="G81" s="5"/>
      <c r="H81" s="5"/>
      <c r="I81" s="5"/>
      <c r="J81" s="5"/>
      <c r="K81" s="50"/>
      <c r="L81" s="50"/>
      <c r="M81" s="50"/>
      <c r="N81" s="50"/>
      <c r="O81" s="50"/>
      <c r="P81" s="50"/>
      <c r="Q81" s="50"/>
      <c r="R81" s="50"/>
      <c r="S81" s="50"/>
      <c r="T81" s="50"/>
      <c r="U81" s="50"/>
      <c r="V81" s="50"/>
      <c r="W81" s="50"/>
      <c r="X81" s="50"/>
      <c r="Y81" s="50"/>
      <c r="Z81" s="50"/>
      <c r="AA81" s="50"/>
      <c r="AB81" s="50"/>
    </row>
    <row r="82" customFormat="false" ht="15.75" hidden="false" customHeight="false" outlineLevel="0" collapsed="false">
      <c r="A82" s="71"/>
      <c r="B82" s="54"/>
      <c r="C82" s="55" t="s">
        <v>18</v>
      </c>
      <c r="D82" s="56"/>
      <c r="E82" s="72" t="n">
        <f aca="false">IFERROR(__xludf.dummyfunction("COUNTA(SPLIT(D82,"" ""))/COUNTA(SPLIT($B$47,"" ""))"),0.00242718446601942)</f>
        <v>0.002427184466</v>
      </c>
      <c r="F82" s="55"/>
      <c r="G82" s="55"/>
      <c r="H82" s="55"/>
      <c r="I82" s="55"/>
      <c r="J82" s="55"/>
      <c r="K82" s="58"/>
      <c r="L82" s="58"/>
      <c r="M82" s="58"/>
      <c r="N82" s="58"/>
      <c r="O82" s="58"/>
      <c r="P82" s="58"/>
      <c r="Q82" s="58"/>
      <c r="R82" s="58"/>
      <c r="S82" s="58"/>
      <c r="T82" s="58"/>
      <c r="U82" s="58"/>
      <c r="V82" s="58"/>
      <c r="W82" s="58"/>
      <c r="X82" s="58"/>
      <c r="Y82" s="58"/>
      <c r="Z82" s="58"/>
      <c r="AA82" s="58"/>
      <c r="AB82" s="58"/>
    </row>
    <row r="83" customFormat="false" ht="15.75" hidden="false" customHeight="false" outlineLevel="0" collapsed="false">
      <c r="A83" s="71"/>
      <c r="B83" s="71"/>
      <c r="C83" s="5" t="s">
        <v>19</v>
      </c>
      <c r="D83" s="48"/>
      <c r="E83" s="73" t="n">
        <f aca="false">IFERROR(__xludf.dummyfunction("COUNTA(SPLIT(D83,"" ""))/COUNTA(SPLIT($B$47,"" ""))"),0.00242718446601942)</f>
        <v>0.002427184466</v>
      </c>
      <c r="F83" s="5"/>
      <c r="G83" s="5"/>
      <c r="H83" s="5"/>
      <c r="I83" s="5"/>
      <c r="J83" s="5"/>
      <c r="K83" s="50"/>
      <c r="L83" s="50"/>
      <c r="M83" s="50"/>
      <c r="N83" s="50"/>
      <c r="O83" s="50"/>
      <c r="P83" s="50"/>
      <c r="Q83" s="50"/>
      <c r="R83" s="50"/>
      <c r="S83" s="50"/>
      <c r="T83" s="50"/>
      <c r="U83" s="50"/>
      <c r="V83" s="50"/>
      <c r="W83" s="50"/>
      <c r="X83" s="50"/>
      <c r="Y83" s="50"/>
      <c r="Z83" s="50"/>
      <c r="AA83" s="50"/>
      <c r="AB83" s="50"/>
    </row>
    <row r="84" customFormat="false" ht="15.75" hidden="false" customHeight="false" outlineLevel="0" collapsed="false">
      <c r="A84" s="71"/>
      <c r="B84" s="71"/>
      <c r="C84" s="5" t="s">
        <v>8</v>
      </c>
      <c r="D84" s="48"/>
      <c r="E84" s="74" t="n">
        <f aca="false">IFERROR(__xludf.dummyfunction("COUNTA(SPLIT(D84,"" ""))/COUNTA(SPLIT($B$47,"" ""))"),0.00242718446601942)</f>
        <v>0.002427184466</v>
      </c>
      <c r="F84" s="5"/>
      <c r="G84" s="5"/>
      <c r="H84" s="5"/>
      <c r="I84" s="5"/>
      <c r="J84" s="5"/>
      <c r="K84" s="50"/>
      <c r="L84" s="50"/>
      <c r="M84" s="50"/>
      <c r="N84" s="50"/>
      <c r="O84" s="50"/>
      <c r="P84" s="50"/>
      <c r="Q84" s="50"/>
      <c r="R84" s="50"/>
      <c r="S84" s="50"/>
      <c r="T84" s="50"/>
      <c r="U84" s="50"/>
      <c r="V84" s="50"/>
      <c r="W84" s="50"/>
      <c r="X84" s="50"/>
      <c r="Y84" s="50"/>
      <c r="Z84" s="50"/>
      <c r="AA84" s="50"/>
      <c r="AB84" s="50"/>
    </row>
    <row r="85" customFormat="false" ht="15.75" hidden="false" customHeight="false" outlineLevel="0" collapsed="false">
      <c r="A85" s="71"/>
      <c r="B85" s="71"/>
      <c r="C85" s="5" t="s">
        <v>20</v>
      </c>
      <c r="D85" s="48"/>
      <c r="E85" s="75" t="n">
        <f aca="false">IFERROR(__xludf.dummyfunction("COUNTA(SPLIT(D85,"" ""))/COUNTA(SPLIT($B$47,"" ""))"),0.00242718446601942)</f>
        <v>0.002427184466</v>
      </c>
      <c r="F85" s="5"/>
      <c r="G85" s="5"/>
      <c r="H85" s="5"/>
      <c r="I85" s="5"/>
      <c r="J85" s="5"/>
      <c r="K85" s="50"/>
      <c r="L85" s="50"/>
      <c r="M85" s="50"/>
      <c r="N85" s="50"/>
      <c r="O85" s="50"/>
      <c r="P85" s="50"/>
      <c r="Q85" s="50"/>
      <c r="R85" s="50"/>
      <c r="S85" s="50"/>
      <c r="T85" s="50"/>
      <c r="U85" s="50"/>
      <c r="V85" s="50"/>
      <c r="W85" s="50"/>
      <c r="X85" s="50"/>
      <c r="Y85" s="50"/>
      <c r="Z85" s="50"/>
      <c r="AA85" s="50"/>
      <c r="AB85" s="50"/>
    </row>
    <row r="86" customFormat="false" ht="15.75" hidden="false" customHeight="false" outlineLevel="0" collapsed="false">
      <c r="A86" s="50"/>
      <c r="B86" s="50"/>
      <c r="C86" s="5"/>
      <c r="D86" s="48"/>
      <c r="E86" s="50"/>
      <c r="F86" s="5"/>
      <c r="G86" s="5"/>
      <c r="H86" s="5"/>
      <c r="I86" s="5"/>
      <c r="J86" s="5"/>
      <c r="K86" s="50"/>
      <c r="L86" s="50"/>
      <c r="M86" s="50"/>
      <c r="N86" s="50"/>
      <c r="O86" s="50"/>
      <c r="P86" s="50"/>
      <c r="Q86" s="50"/>
      <c r="R86" s="50"/>
      <c r="S86" s="50"/>
      <c r="T86" s="50"/>
      <c r="U86" s="50"/>
      <c r="V86" s="50"/>
      <c r="W86" s="50"/>
      <c r="X86" s="50"/>
      <c r="Y86" s="50"/>
      <c r="Z86" s="50"/>
      <c r="AA86" s="50"/>
      <c r="AB86" s="50"/>
    </row>
    <row r="87" customFormat="false" ht="15.75" hidden="false" customHeight="false" outlineLevel="0" collapsed="false">
      <c r="A87" s="71"/>
      <c r="B87" s="54"/>
      <c r="C87" s="55" t="s">
        <v>18</v>
      </c>
      <c r="D87" s="56"/>
      <c r="E87" s="72" t="n">
        <f aca="false">IFERROR(__xludf.dummyfunction("COUNTA(SPLIT(D87,"" ""))/COUNTA(SPLIT($B$47,"" ""))"),0.00242718446601942)</f>
        <v>0.002427184466</v>
      </c>
      <c r="F87" s="55"/>
      <c r="G87" s="55"/>
      <c r="H87" s="55"/>
      <c r="I87" s="55"/>
      <c r="J87" s="55"/>
      <c r="K87" s="58"/>
      <c r="L87" s="58"/>
      <c r="M87" s="58"/>
      <c r="N87" s="58"/>
      <c r="O87" s="58"/>
      <c r="P87" s="58"/>
      <c r="Q87" s="58"/>
      <c r="R87" s="58"/>
      <c r="S87" s="58"/>
      <c r="T87" s="58"/>
      <c r="U87" s="58"/>
      <c r="V87" s="58"/>
      <c r="W87" s="58"/>
      <c r="X87" s="58"/>
      <c r="Y87" s="58"/>
      <c r="Z87" s="58"/>
      <c r="AA87" s="58"/>
      <c r="AB87" s="58"/>
    </row>
    <row r="88" customFormat="false" ht="15.75" hidden="false" customHeight="false" outlineLevel="0" collapsed="false">
      <c r="A88" s="71"/>
      <c r="B88" s="71"/>
      <c r="C88" s="5" t="s">
        <v>19</v>
      </c>
      <c r="D88" s="48"/>
      <c r="E88" s="73" t="n">
        <f aca="false">IFERROR(__xludf.dummyfunction("COUNTA(SPLIT(D88,"" ""))/COUNTA(SPLIT($B$47,"" ""))"),0.00242718446601942)</f>
        <v>0.002427184466</v>
      </c>
      <c r="F88" s="5"/>
      <c r="G88" s="5"/>
      <c r="H88" s="5"/>
      <c r="I88" s="5"/>
      <c r="J88" s="5"/>
      <c r="K88" s="50"/>
      <c r="L88" s="50"/>
      <c r="M88" s="50"/>
      <c r="N88" s="50"/>
      <c r="O88" s="50"/>
      <c r="P88" s="50"/>
      <c r="Q88" s="50"/>
      <c r="R88" s="50"/>
      <c r="S88" s="50"/>
      <c r="T88" s="50"/>
      <c r="U88" s="50"/>
      <c r="V88" s="50"/>
      <c r="W88" s="50"/>
      <c r="X88" s="50"/>
      <c r="Y88" s="50"/>
      <c r="Z88" s="50"/>
      <c r="AA88" s="50"/>
      <c r="AB88" s="50"/>
    </row>
    <row r="89" customFormat="false" ht="15.75" hidden="false" customHeight="false" outlineLevel="0" collapsed="false">
      <c r="A89" s="71"/>
      <c r="B89" s="71"/>
      <c r="C89" s="5" t="s">
        <v>8</v>
      </c>
      <c r="D89" s="48"/>
      <c r="E89" s="74" t="n">
        <f aca="false">IFERROR(__xludf.dummyfunction("COUNTA(SPLIT(D89,"" ""))/COUNTA(SPLIT($B$47,"" ""))"),0.00242718446601942)</f>
        <v>0.002427184466</v>
      </c>
      <c r="F89" s="5"/>
      <c r="G89" s="5"/>
      <c r="H89" s="5"/>
      <c r="I89" s="5"/>
      <c r="J89" s="5"/>
      <c r="K89" s="50"/>
      <c r="L89" s="50"/>
      <c r="M89" s="50"/>
      <c r="N89" s="50"/>
      <c r="O89" s="50"/>
      <c r="P89" s="50"/>
      <c r="Q89" s="50"/>
      <c r="R89" s="50"/>
      <c r="S89" s="50"/>
      <c r="T89" s="50"/>
      <c r="U89" s="50"/>
      <c r="V89" s="50"/>
      <c r="W89" s="50"/>
      <c r="X89" s="50"/>
      <c r="Y89" s="50"/>
      <c r="Z89" s="50"/>
      <c r="AA89" s="50"/>
      <c r="AB89" s="50"/>
    </row>
    <row r="90" customFormat="false" ht="15.75" hidden="false" customHeight="false" outlineLevel="0" collapsed="false">
      <c r="A90" s="71"/>
      <c r="B90" s="71"/>
      <c r="C90" s="5" t="s">
        <v>20</v>
      </c>
      <c r="D90" s="48"/>
      <c r="E90" s="75" t="n">
        <f aca="false">IFERROR(__xludf.dummyfunction("COUNTA(SPLIT(D90,"" ""))/COUNTA(SPLIT($B$47,"" ""))"),0.00242718446601942)</f>
        <v>0.002427184466</v>
      </c>
      <c r="F90" s="5"/>
      <c r="G90" s="5"/>
      <c r="H90" s="5"/>
      <c r="I90" s="5"/>
      <c r="J90" s="5"/>
      <c r="K90" s="50"/>
      <c r="L90" s="50"/>
      <c r="M90" s="50"/>
      <c r="N90" s="50"/>
      <c r="O90" s="50"/>
      <c r="P90" s="50"/>
      <c r="Q90" s="50"/>
      <c r="R90" s="50"/>
      <c r="S90" s="50"/>
      <c r="T90" s="50"/>
      <c r="U90" s="50"/>
      <c r="V90" s="50"/>
      <c r="W90" s="50"/>
      <c r="X90" s="50"/>
      <c r="Y90" s="50"/>
      <c r="Z90" s="50"/>
      <c r="AA90" s="50"/>
      <c r="AB90" s="50"/>
    </row>
    <row r="91" customFormat="false" ht="15.75" hidden="false" customHeight="false" outlineLevel="0" collapsed="false">
      <c r="A91" s="50"/>
      <c r="B91" s="50"/>
      <c r="C91" s="5"/>
      <c r="D91" s="48"/>
      <c r="E91" s="50"/>
      <c r="F91" s="5"/>
      <c r="G91" s="5"/>
      <c r="H91" s="5"/>
      <c r="I91" s="5"/>
      <c r="J91" s="5"/>
      <c r="K91" s="50"/>
      <c r="L91" s="50"/>
      <c r="M91" s="50"/>
      <c r="N91" s="50"/>
      <c r="O91" s="50"/>
      <c r="P91" s="50"/>
      <c r="Q91" s="50"/>
      <c r="R91" s="50"/>
      <c r="S91" s="50"/>
      <c r="T91" s="50"/>
      <c r="U91" s="50"/>
      <c r="V91" s="50"/>
      <c r="W91" s="50"/>
      <c r="X91" s="50"/>
      <c r="Y91" s="50"/>
      <c r="Z91" s="50"/>
      <c r="AA91" s="50"/>
      <c r="AB91" s="50"/>
    </row>
    <row r="92" customFormat="false" ht="15.75" hidden="false" customHeight="false" outlineLevel="0" collapsed="false">
      <c r="A92" s="71"/>
      <c r="B92" s="54"/>
      <c r="C92" s="55" t="s">
        <v>18</v>
      </c>
      <c r="D92" s="56"/>
      <c r="E92" s="72" t="n">
        <f aca="false">IFERROR(__xludf.dummyfunction("COUNTA(SPLIT(D92,"" ""))/COUNTA(SPLIT($B$47,"" ""))"),0.00242718446601942)</f>
        <v>0.002427184466</v>
      </c>
      <c r="F92" s="55"/>
      <c r="G92" s="55"/>
      <c r="H92" s="55"/>
      <c r="I92" s="55"/>
      <c r="J92" s="55"/>
      <c r="K92" s="58"/>
      <c r="L92" s="58"/>
      <c r="M92" s="58"/>
      <c r="N92" s="58"/>
      <c r="O92" s="58"/>
      <c r="P92" s="58"/>
      <c r="Q92" s="58"/>
      <c r="R92" s="58"/>
      <c r="S92" s="58"/>
      <c r="T92" s="58"/>
      <c r="U92" s="58"/>
      <c r="V92" s="58"/>
      <c r="W92" s="58"/>
      <c r="X92" s="58"/>
      <c r="Y92" s="58"/>
      <c r="Z92" s="58"/>
      <c r="AA92" s="58"/>
      <c r="AB92" s="58"/>
    </row>
    <row r="93" customFormat="false" ht="15.75" hidden="false" customHeight="false" outlineLevel="0" collapsed="false">
      <c r="A93" s="71"/>
      <c r="B93" s="71"/>
      <c r="C93" s="5" t="s">
        <v>19</v>
      </c>
      <c r="D93" s="48"/>
      <c r="E93" s="73" t="n">
        <f aca="false">IFERROR(__xludf.dummyfunction("COUNTA(SPLIT(D93,"" ""))/COUNTA(SPLIT($B$47,"" ""))"),0.00242718446601942)</f>
        <v>0.002427184466</v>
      </c>
      <c r="F93" s="5"/>
      <c r="G93" s="5"/>
      <c r="H93" s="5"/>
      <c r="I93" s="5"/>
      <c r="J93" s="5"/>
      <c r="K93" s="50"/>
      <c r="L93" s="50"/>
      <c r="M93" s="50"/>
      <c r="N93" s="50"/>
      <c r="O93" s="50"/>
      <c r="P93" s="50"/>
      <c r="Q93" s="50"/>
      <c r="R93" s="50"/>
      <c r="S93" s="50"/>
      <c r="T93" s="50"/>
      <c r="U93" s="50"/>
      <c r="V93" s="50"/>
      <c r="W93" s="50"/>
      <c r="X93" s="50"/>
      <c r="Y93" s="50"/>
      <c r="Z93" s="50"/>
      <c r="AA93" s="50"/>
      <c r="AB93" s="50"/>
    </row>
    <row r="94" customFormat="false" ht="15.75" hidden="false" customHeight="false" outlineLevel="0" collapsed="false">
      <c r="A94" s="71"/>
      <c r="B94" s="71"/>
      <c r="C94" s="5" t="s">
        <v>8</v>
      </c>
      <c r="D94" s="48"/>
      <c r="E94" s="74" t="n">
        <f aca="false">IFERROR(__xludf.dummyfunction("COUNTA(SPLIT(D94,"" ""))/COUNTA(SPLIT($B$47,"" ""))"),0.00242718446601942)</f>
        <v>0.002427184466</v>
      </c>
      <c r="F94" s="5"/>
      <c r="G94" s="5"/>
      <c r="H94" s="5"/>
      <c r="I94" s="5"/>
      <c r="J94" s="5"/>
      <c r="K94" s="50"/>
      <c r="L94" s="50"/>
      <c r="M94" s="50"/>
      <c r="N94" s="50"/>
      <c r="O94" s="50"/>
      <c r="P94" s="50"/>
      <c r="Q94" s="50"/>
      <c r="R94" s="50"/>
      <c r="S94" s="50"/>
      <c r="T94" s="50"/>
      <c r="U94" s="50"/>
      <c r="V94" s="50"/>
      <c r="W94" s="50"/>
      <c r="X94" s="50"/>
      <c r="Y94" s="50"/>
      <c r="Z94" s="50"/>
      <c r="AA94" s="50"/>
      <c r="AB94" s="50"/>
    </row>
    <row r="95" customFormat="false" ht="15.75" hidden="false" customHeight="false" outlineLevel="0" collapsed="false">
      <c r="A95" s="71"/>
      <c r="B95" s="71"/>
      <c r="C95" s="5" t="s">
        <v>20</v>
      </c>
      <c r="D95" s="48"/>
      <c r="E95" s="75" t="n">
        <f aca="false">IFERROR(__xludf.dummyfunction("COUNTA(SPLIT(D95,"" ""))/COUNTA(SPLIT($B$47,"" ""))"),0.00242718446601942)</f>
        <v>0.002427184466</v>
      </c>
      <c r="F95" s="5"/>
      <c r="G95" s="5"/>
      <c r="H95" s="5"/>
      <c r="I95" s="5"/>
      <c r="J95" s="5"/>
      <c r="K95" s="50"/>
      <c r="L95" s="50"/>
      <c r="M95" s="50"/>
      <c r="N95" s="50"/>
      <c r="O95" s="50"/>
      <c r="P95" s="50"/>
      <c r="Q95" s="50"/>
      <c r="R95" s="50"/>
      <c r="S95" s="50"/>
      <c r="T95" s="50"/>
      <c r="U95" s="50"/>
      <c r="V95" s="50"/>
      <c r="W95" s="50"/>
      <c r="X95" s="50"/>
      <c r="Y95" s="50"/>
      <c r="Z95" s="50"/>
      <c r="AA95" s="50"/>
      <c r="AB95" s="50"/>
    </row>
    <row r="96" customFormat="false" ht="15.75" hidden="false" customHeight="false" outlineLevel="0" collapsed="false">
      <c r="A96" s="50"/>
      <c r="B96" s="50"/>
      <c r="C96" s="5"/>
      <c r="D96" s="48"/>
      <c r="E96" s="50"/>
      <c r="F96" s="5"/>
      <c r="G96" s="5"/>
      <c r="H96" s="5"/>
      <c r="I96" s="5"/>
      <c r="J96" s="5"/>
      <c r="K96" s="50"/>
      <c r="L96" s="50"/>
      <c r="M96" s="50"/>
      <c r="N96" s="50"/>
      <c r="O96" s="50"/>
      <c r="P96" s="50"/>
      <c r="Q96" s="50"/>
      <c r="R96" s="50"/>
      <c r="S96" s="50"/>
      <c r="T96" s="50"/>
      <c r="U96" s="50"/>
      <c r="V96" s="50"/>
      <c r="W96" s="50"/>
      <c r="X96" s="50"/>
      <c r="Y96" s="50"/>
      <c r="Z96" s="50"/>
      <c r="AA96" s="50"/>
      <c r="AB96" s="50"/>
    </row>
    <row r="97" customFormat="false" ht="15.75" hidden="false" customHeight="false" outlineLevel="0" collapsed="false">
      <c r="A97" s="71"/>
      <c r="B97" s="54"/>
      <c r="C97" s="55" t="s">
        <v>18</v>
      </c>
      <c r="D97" s="56"/>
      <c r="E97" s="72" t="n">
        <f aca="false">IFERROR(__xludf.dummyfunction("COUNTA(SPLIT(D97,"" ""))/COUNTA(SPLIT($B$47,"" ""))"),0.00242718446601942)</f>
        <v>0.002427184466</v>
      </c>
      <c r="F97" s="55"/>
      <c r="G97" s="55"/>
      <c r="H97" s="55"/>
      <c r="I97" s="55"/>
      <c r="J97" s="55"/>
      <c r="K97" s="58"/>
      <c r="L97" s="58"/>
      <c r="M97" s="58"/>
      <c r="N97" s="58"/>
      <c r="O97" s="58"/>
      <c r="P97" s="58"/>
      <c r="Q97" s="58"/>
      <c r="R97" s="58"/>
      <c r="S97" s="58"/>
      <c r="T97" s="58"/>
      <c r="U97" s="58"/>
      <c r="V97" s="58"/>
      <c r="W97" s="58"/>
      <c r="X97" s="58"/>
      <c r="Y97" s="58"/>
      <c r="Z97" s="58"/>
      <c r="AA97" s="58"/>
      <c r="AB97" s="58"/>
    </row>
    <row r="98" customFormat="false" ht="15.75" hidden="false" customHeight="false" outlineLevel="0" collapsed="false">
      <c r="A98" s="71"/>
      <c r="B98" s="71"/>
      <c r="C98" s="5" t="s">
        <v>19</v>
      </c>
      <c r="D98" s="48"/>
      <c r="E98" s="73" t="n">
        <f aca="false">IFERROR(__xludf.dummyfunction("COUNTA(SPLIT(D98,"" ""))/COUNTA(SPLIT($B$47,"" ""))"),0.00242718446601942)</f>
        <v>0.002427184466</v>
      </c>
      <c r="F98" s="5"/>
      <c r="G98" s="5"/>
      <c r="H98" s="5"/>
      <c r="I98" s="5"/>
      <c r="J98" s="5"/>
      <c r="K98" s="50"/>
      <c r="L98" s="50"/>
      <c r="M98" s="50"/>
      <c r="N98" s="50"/>
      <c r="O98" s="50"/>
      <c r="P98" s="50"/>
      <c r="Q98" s="50"/>
      <c r="R98" s="50"/>
      <c r="S98" s="50"/>
      <c r="T98" s="50"/>
      <c r="U98" s="50"/>
      <c r="V98" s="50"/>
      <c r="W98" s="50"/>
      <c r="X98" s="50"/>
      <c r="Y98" s="50"/>
      <c r="Z98" s="50"/>
      <c r="AA98" s="50"/>
      <c r="AB98" s="50"/>
    </row>
    <row r="99" customFormat="false" ht="15.75" hidden="false" customHeight="false" outlineLevel="0" collapsed="false">
      <c r="A99" s="71"/>
      <c r="B99" s="71"/>
      <c r="C99" s="5" t="s">
        <v>8</v>
      </c>
      <c r="D99" s="48"/>
      <c r="E99" s="74" t="n">
        <f aca="false">IFERROR(__xludf.dummyfunction("COUNTA(SPLIT(D99,"" ""))/COUNTA(SPLIT($B$47,"" ""))"),0.00242718446601942)</f>
        <v>0.002427184466</v>
      </c>
      <c r="F99" s="5"/>
      <c r="G99" s="5"/>
      <c r="H99" s="5"/>
      <c r="I99" s="5"/>
      <c r="J99" s="5"/>
      <c r="K99" s="50"/>
      <c r="L99" s="50"/>
      <c r="M99" s="50"/>
      <c r="N99" s="50"/>
      <c r="O99" s="50"/>
      <c r="P99" s="50"/>
      <c r="Q99" s="50"/>
      <c r="R99" s="50"/>
      <c r="S99" s="50"/>
      <c r="T99" s="50"/>
      <c r="U99" s="50"/>
      <c r="V99" s="50"/>
      <c r="W99" s="50"/>
      <c r="X99" s="50"/>
      <c r="Y99" s="50"/>
      <c r="Z99" s="50"/>
      <c r="AA99" s="50"/>
      <c r="AB99" s="50"/>
    </row>
    <row r="100" customFormat="false" ht="15.75" hidden="false" customHeight="false" outlineLevel="0" collapsed="false">
      <c r="A100" s="71"/>
      <c r="B100" s="71"/>
      <c r="C100" s="5" t="s">
        <v>20</v>
      </c>
      <c r="D100" s="48"/>
      <c r="E100" s="75" t="n">
        <f aca="false">IFERROR(__xludf.dummyfunction("COUNTA(SPLIT(D100,"" ""))/COUNTA(SPLIT($B$47,"" ""))"),0.00242718446601942)</f>
        <v>0.002427184466</v>
      </c>
      <c r="F100" s="5"/>
      <c r="G100" s="5"/>
      <c r="H100" s="5"/>
      <c r="I100" s="5"/>
      <c r="J100" s="5"/>
      <c r="K100" s="50"/>
      <c r="L100" s="50"/>
      <c r="M100" s="50"/>
      <c r="N100" s="50"/>
      <c r="O100" s="50"/>
      <c r="P100" s="50"/>
      <c r="Q100" s="50"/>
      <c r="R100" s="50"/>
      <c r="S100" s="50"/>
      <c r="T100" s="50"/>
      <c r="U100" s="50"/>
      <c r="V100" s="50"/>
      <c r="W100" s="50"/>
      <c r="X100" s="50"/>
      <c r="Y100" s="50"/>
      <c r="Z100" s="50"/>
      <c r="AA100" s="50"/>
      <c r="AB100" s="50"/>
    </row>
    <row r="101" customFormat="false" ht="15.75" hidden="false" customHeight="false" outlineLevel="0" collapsed="false">
      <c r="A101" s="50"/>
      <c r="B101" s="50"/>
      <c r="C101" s="5"/>
      <c r="D101" s="48"/>
      <c r="E101" s="50"/>
      <c r="F101" s="5"/>
      <c r="G101" s="5"/>
      <c r="H101" s="5"/>
      <c r="I101" s="5"/>
      <c r="J101" s="5"/>
      <c r="K101" s="50"/>
      <c r="L101" s="50"/>
      <c r="M101" s="50"/>
      <c r="N101" s="50"/>
      <c r="O101" s="50"/>
      <c r="P101" s="50"/>
      <c r="Q101" s="50"/>
      <c r="R101" s="50"/>
      <c r="S101" s="50"/>
      <c r="T101" s="50"/>
      <c r="U101" s="50"/>
      <c r="V101" s="50"/>
      <c r="W101" s="50"/>
      <c r="X101" s="50"/>
      <c r="Y101" s="50"/>
      <c r="Z101" s="50"/>
      <c r="AA101" s="50"/>
      <c r="AB101" s="50"/>
    </row>
    <row r="102" customFormat="false" ht="15.75" hidden="false" customHeight="false" outlineLevel="0" collapsed="false">
      <c r="A102" s="71"/>
      <c r="B102" s="54"/>
      <c r="C102" s="55" t="s">
        <v>18</v>
      </c>
      <c r="D102" s="56"/>
      <c r="E102" s="72" t="n">
        <f aca="false">IFERROR(__xludf.dummyfunction("COUNTA(SPLIT(D102,"" ""))/COUNTA(SPLIT($B$47,"" ""))"),0.00242718446601942)</f>
        <v>0.002427184466</v>
      </c>
      <c r="F102" s="55"/>
      <c r="G102" s="55"/>
      <c r="H102" s="55"/>
      <c r="I102" s="55"/>
      <c r="J102" s="55"/>
      <c r="K102" s="58"/>
      <c r="L102" s="58"/>
      <c r="M102" s="58"/>
      <c r="N102" s="58"/>
      <c r="O102" s="58"/>
      <c r="P102" s="58"/>
      <c r="Q102" s="58"/>
      <c r="R102" s="58"/>
      <c r="S102" s="58"/>
      <c r="T102" s="58"/>
      <c r="U102" s="58"/>
      <c r="V102" s="58"/>
      <c r="W102" s="58"/>
      <c r="X102" s="58"/>
      <c r="Y102" s="58"/>
      <c r="Z102" s="58"/>
      <c r="AA102" s="58"/>
      <c r="AB102" s="58"/>
    </row>
    <row r="103" customFormat="false" ht="15.75" hidden="false" customHeight="false" outlineLevel="0" collapsed="false">
      <c r="A103" s="71"/>
      <c r="B103" s="71"/>
      <c r="C103" s="5" t="s">
        <v>19</v>
      </c>
      <c r="D103" s="48"/>
      <c r="E103" s="73" t="n">
        <f aca="false">IFERROR(__xludf.dummyfunction("COUNTA(SPLIT(D103,"" ""))/COUNTA(SPLIT($B$47,"" ""))"),0.00242718446601942)</f>
        <v>0.002427184466</v>
      </c>
      <c r="F103" s="5"/>
      <c r="G103" s="5"/>
      <c r="H103" s="5"/>
      <c r="I103" s="5"/>
      <c r="J103" s="5"/>
      <c r="K103" s="50"/>
      <c r="L103" s="50"/>
      <c r="M103" s="50"/>
      <c r="N103" s="50"/>
      <c r="O103" s="50"/>
      <c r="P103" s="50"/>
      <c r="Q103" s="50"/>
      <c r="R103" s="50"/>
      <c r="S103" s="50"/>
      <c r="T103" s="50"/>
      <c r="U103" s="50"/>
      <c r="V103" s="50"/>
      <c r="W103" s="50"/>
      <c r="X103" s="50"/>
      <c r="Y103" s="50"/>
      <c r="Z103" s="50"/>
      <c r="AA103" s="50"/>
      <c r="AB103" s="50"/>
    </row>
    <row r="104" customFormat="false" ht="15.75" hidden="false" customHeight="false" outlineLevel="0" collapsed="false">
      <c r="A104" s="71"/>
      <c r="B104" s="71"/>
      <c r="C104" s="5" t="s">
        <v>8</v>
      </c>
      <c r="D104" s="48"/>
      <c r="E104" s="74" t="n">
        <f aca="false">IFERROR(__xludf.dummyfunction("COUNTA(SPLIT(D104,"" ""))/COUNTA(SPLIT($B$47,"" ""))"),0.00242718446601942)</f>
        <v>0.002427184466</v>
      </c>
      <c r="F104" s="5"/>
      <c r="G104" s="5"/>
      <c r="H104" s="5"/>
      <c r="I104" s="5"/>
      <c r="J104" s="5"/>
      <c r="K104" s="50"/>
      <c r="L104" s="50"/>
      <c r="M104" s="50"/>
      <c r="N104" s="50"/>
      <c r="O104" s="50"/>
      <c r="P104" s="50"/>
      <c r="Q104" s="50"/>
      <c r="R104" s="50"/>
      <c r="S104" s="50"/>
      <c r="T104" s="50"/>
      <c r="U104" s="50"/>
      <c r="V104" s="50"/>
      <c r="W104" s="50"/>
      <c r="X104" s="50"/>
      <c r="Y104" s="50"/>
      <c r="Z104" s="50"/>
      <c r="AA104" s="50"/>
      <c r="AB104" s="50"/>
    </row>
    <row r="105" customFormat="false" ht="15.75" hidden="false" customHeight="false" outlineLevel="0" collapsed="false">
      <c r="A105" s="71"/>
      <c r="B105" s="71"/>
      <c r="C105" s="5" t="s">
        <v>20</v>
      </c>
      <c r="D105" s="48"/>
      <c r="E105" s="75" t="n">
        <f aca="false">IFERROR(__xludf.dummyfunction("COUNTA(SPLIT(D105,"" ""))/COUNTA(SPLIT($B$47,"" ""))"),0.00242718446601942)</f>
        <v>0.002427184466</v>
      </c>
      <c r="F105" s="5"/>
      <c r="G105" s="5"/>
      <c r="H105" s="5"/>
      <c r="I105" s="5"/>
      <c r="J105" s="5"/>
      <c r="K105" s="50"/>
      <c r="L105" s="50"/>
      <c r="M105" s="50"/>
      <c r="N105" s="50"/>
      <c r="O105" s="50"/>
      <c r="P105" s="50"/>
      <c r="Q105" s="50"/>
      <c r="R105" s="50"/>
      <c r="S105" s="50"/>
      <c r="T105" s="50"/>
      <c r="U105" s="50"/>
      <c r="V105" s="50"/>
      <c r="W105" s="50"/>
      <c r="X105" s="50"/>
      <c r="Y105" s="50"/>
      <c r="Z105" s="50"/>
      <c r="AA105" s="50"/>
      <c r="AB105" s="50"/>
    </row>
    <row r="106" customFormat="false" ht="15.75" hidden="false" customHeight="false" outlineLevel="0" collapsed="false">
      <c r="A106" s="50"/>
      <c r="B106" s="50"/>
      <c r="C106" s="5"/>
      <c r="D106" s="48"/>
      <c r="E106" s="50"/>
      <c r="F106" s="5"/>
      <c r="G106" s="5"/>
      <c r="H106" s="5"/>
      <c r="I106" s="5"/>
      <c r="J106" s="5"/>
      <c r="K106" s="50"/>
      <c r="L106" s="50"/>
      <c r="M106" s="50"/>
      <c r="N106" s="50"/>
      <c r="O106" s="50"/>
      <c r="P106" s="50"/>
      <c r="Q106" s="50"/>
      <c r="R106" s="50"/>
      <c r="S106" s="50"/>
      <c r="T106" s="50"/>
      <c r="U106" s="50"/>
      <c r="V106" s="50"/>
      <c r="W106" s="50"/>
      <c r="X106" s="50"/>
      <c r="Y106" s="50"/>
      <c r="Z106" s="50"/>
      <c r="AA106" s="50"/>
      <c r="AB106" s="50"/>
    </row>
    <row r="107" customFormat="false" ht="15.75" hidden="false" customHeight="false" outlineLevel="0" collapsed="false">
      <c r="A107" s="71"/>
      <c r="B107" s="54"/>
      <c r="C107" s="55" t="s">
        <v>18</v>
      </c>
      <c r="D107" s="56"/>
      <c r="E107" s="72" t="n">
        <f aca="false">IFERROR(__xludf.dummyfunction("COUNTA(SPLIT(D107,"" ""))/COUNTA(SPLIT($B$47,"" ""))"),0.00242718446601942)</f>
        <v>0.002427184466</v>
      </c>
      <c r="F107" s="55"/>
      <c r="G107" s="55"/>
      <c r="H107" s="55"/>
      <c r="I107" s="55"/>
      <c r="J107" s="55"/>
      <c r="K107" s="58"/>
      <c r="L107" s="58"/>
      <c r="M107" s="58"/>
      <c r="N107" s="58"/>
      <c r="O107" s="58"/>
      <c r="P107" s="58"/>
      <c r="Q107" s="58"/>
      <c r="R107" s="58"/>
      <c r="S107" s="58"/>
      <c r="T107" s="58"/>
      <c r="U107" s="58"/>
      <c r="V107" s="58"/>
      <c r="W107" s="58"/>
      <c r="X107" s="58"/>
      <c r="Y107" s="58"/>
      <c r="Z107" s="58"/>
      <c r="AA107" s="58"/>
      <c r="AB107" s="58"/>
    </row>
    <row r="108" customFormat="false" ht="15.75" hidden="false" customHeight="false" outlineLevel="0" collapsed="false">
      <c r="A108" s="71"/>
      <c r="B108" s="71"/>
      <c r="C108" s="5" t="s">
        <v>19</v>
      </c>
      <c r="D108" s="48"/>
      <c r="E108" s="73" t="n">
        <f aca="false">IFERROR(__xludf.dummyfunction("COUNTA(SPLIT(D108,"" ""))/COUNTA(SPLIT($B$47,"" ""))"),0.00242718446601942)</f>
        <v>0.002427184466</v>
      </c>
      <c r="F108" s="5"/>
      <c r="G108" s="5"/>
      <c r="H108" s="5"/>
      <c r="I108" s="5"/>
      <c r="J108" s="5"/>
      <c r="K108" s="50"/>
      <c r="L108" s="50"/>
      <c r="M108" s="50"/>
      <c r="N108" s="50"/>
      <c r="O108" s="50"/>
      <c r="P108" s="50"/>
      <c r="Q108" s="50"/>
      <c r="R108" s="50"/>
      <c r="S108" s="50"/>
      <c r="T108" s="50"/>
      <c r="U108" s="50"/>
      <c r="V108" s="50"/>
      <c r="W108" s="50"/>
      <c r="X108" s="50"/>
      <c r="Y108" s="50"/>
      <c r="Z108" s="50"/>
      <c r="AA108" s="50"/>
      <c r="AB108" s="50"/>
    </row>
    <row r="109" customFormat="false" ht="15.75" hidden="false" customHeight="false" outlineLevel="0" collapsed="false">
      <c r="A109" s="71"/>
      <c r="B109" s="71"/>
      <c r="C109" s="5" t="s">
        <v>8</v>
      </c>
      <c r="D109" s="48"/>
      <c r="E109" s="74" t="n">
        <f aca="false">IFERROR(__xludf.dummyfunction("COUNTA(SPLIT(D109,"" ""))/COUNTA(SPLIT($B$47,"" ""))"),0.00242718446601942)</f>
        <v>0.002427184466</v>
      </c>
      <c r="F109" s="5"/>
      <c r="G109" s="5"/>
      <c r="H109" s="5"/>
      <c r="I109" s="5"/>
      <c r="J109" s="5"/>
      <c r="K109" s="50"/>
      <c r="L109" s="50"/>
      <c r="M109" s="50"/>
      <c r="N109" s="50"/>
      <c r="O109" s="50"/>
      <c r="P109" s="50"/>
      <c r="Q109" s="50"/>
      <c r="R109" s="50"/>
      <c r="S109" s="50"/>
      <c r="T109" s="50"/>
      <c r="U109" s="50"/>
      <c r="V109" s="50"/>
      <c r="W109" s="50"/>
      <c r="X109" s="50"/>
      <c r="Y109" s="50"/>
      <c r="Z109" s="50"/>
      <c r="AA109" s="50"/>
      <c r="AB109" s="50"/>
    </row>
    <row r="110" customFormat="false" ht="15.75" hidden="false" customHeight="false" outlineLevel="0" collapsed="false">
      <c r="A110" s="71"/>
      <c r="B110" s="71"/>
      <c r="C110" s="5" t="s">
        <v>20</v>
      </c>
      <c r="D110" s="48"/>
      <c r="E110" s="75" t="n">
        <f aca="false">IFERROR(__xludf.dummyfunction("COUNTA(SPLIT(D110,"" ""))/COUNTA(SPLIT($B$47,"" ""))"),0.00242718446601942)</f>
        <v>0.002427184466</v>
      </c>
      <c r="F110" s="5"/>
      <c r="G110" s="5"/>
      <c r="H110" s="5"/>
      <c r="I110" s="5"/>
      <c r="J110" s="5"/>
      <c r="K110" s="50"/>
      <c r="L110" s="50"/>
      <c r="M110" s="50"/>
      <c r="N110" s="50"/>
      <c r="O110" s="50"/>
      <c r="P110" s="50"/>
      <c r="Q110" s="50"/>
      <c r="R110" s="50"/>
      <c r="S110" s="50"/>
      <c r="T110" s="50"/>
      <c r="U110" s="50"/>
      <c r="V110" s="50"/>
      <c r="W110" s="50"/>
      <c r="X110" s="50"/>
      <c r="Y110" s="50"/>
      <c r="Z110" s="50"/>
      <c r="AA110" s="50"/>
      <c r="AB110" s="50"/>
    </row>
    <row r="111" customFormat="false" ht="15.75" hidden="false" customHeight="false" outlineLevel="0" collapsed="false">
      <c r="A111" s="50"/>
      <c r="B111" s="50"/>
      <c r="C111" s="5"/>
      <c r="D111" s="48"/>
      <c r="E111" s="50"/>
      <c r="F111" s="5"/>
      <c r="G111" s="5"/>
      <c r="H111" s="5"/>
      <c r="I111" s="5"/>
      <c r="J111" s="5"/>
      <c r="K111" s="50"/>
      <c r="L111" s="50"/>
      <c r="M111" s="50"/>
      <c r="N111" s="50"/>
      <c r="O111" s="50"/>
      <c r="P111" s="50"/>
      <c r="Q111" s="50"/>
      <c r="R111" s="50"/>
      <c r="S111" s="50"/>
      <c r="T111" s="50"/>
      <c r="U111" s="50"/>
      <c r="V111" s="50"/>
      <c r="W111" s="50"/>
      <c r="X111" s="50"/>
      <c r="Y111" s="50"/>
      <c r="Z111" s="50"/>
      <c r="AA111" s="50"/>
      <c r="AB111" s="50"/>
    </row>
    <row r="112" customFormat="false" ht="15.75" hidden="false" customHeight="false" outlineLevel="0" collapsed="false">
      <c r="A112" s="71"/>
      <c r="B112" s="54"/>
      <c r="C112" s="55" t="s">
        <v>18</v>
      </c>
      <c r="D112" s="56"/>
      <c r="E112" s="72" t="n">
        <f aca="false">IFERROR(__xludf.dummyfunction("COUNTA(SPLIT(D112,"" ""))/COUNTA(SPLIT($B$47,"" ""))"),0.00242718446601942)</f>
        <v>0.002427184466</v>
      </c>
      <c r="F112" s="55"/>
      <c r="G112" s="55"/>
      <c r="H112" s="55"/>
      <c r="I112" s="55"/>
      <c r="J112" s="55"/>
      <c r="K112" s="58"/>
      <c r="L112" s="58"/>
      <c r="M112" s="58"/>
      <c r="N112" s="58"/>
      <c r="O112" s="58"/>
      <c r="P112" s="58"/>
      <c r="Q112" s="58"/>
      <c r="R112" s="58"/>
      <c r="S112" s="58"/>
      <c r="T112" s="58"/>
      <c r="U112" s="58"/>
      <c r="V112" s="58"/>
      <c r="W112" s="58"/>
      <c r="X112" s="58"/>
      <c r="Y112" s="58"/>
      <c r="Z112" s="58"/>
      <c r="AA112" s="58"/>
      <c r="AB112" s="58"/>
    </row>
    <row r="113" customFormat="false" ht="15.75" hidden="false" customHeight="false" outlineLevel="0" collapsed="false">
      <c r="A113" s="71"/>
      <c r="B113" s="71"/>
      <c r="C113" s="5" t="s">
        <v>19</v>
      </c>
      <c r="D113" s="48"/>
      <c r="E113" s="73" t="n">
        <f aca="false">IFERROR(__xludf.dummyfunction("COUNTA(SPLIT(D113,"" ""))/COUNTA(SPLIT($B$47,"" ""))"),0.00242718446601942)</f>
        <v>0.002427184466</v>
      </c>
      <c r="F113" s="5"/>
      <c r="G113" s="5"/>
      <c r="H113" s="5"/>
      <c r="I113" s="5"/>
      <c r="J113" s="5"/>
      <c r="K113" s="50"/>
      <c r="L113" s="50"/>
      <c r="M113" s="50"/>
      <c r="N113" s="50"/>
      <c r="O113" s="50"/>
      <c r="P113" s="50"/>
      <c r="Q113" s="50"/>
      <c r="R113" s="50"/>
      <c r="S113" s="50"/>
      <c r="T113" s="50"/>
      <c r="U113" s="50"/>
      <c r="V113" s="50"/>
      <c r="W113" s="50"/>
      <c r="X113" s="50"/>
      <c r="Y113" s="50"/>
      <c r="Z113" s="50"/>
      <c r="AA113" s="50"/>
      <c r="AB113" s="50"/>
    </row>
    <row r="114" customFormat="false" ht="15.75" hidden="false" customHeight="false" outlineLevel="0" collapsed="false">
      <c r="A114" s="71"/>
      <c r="B114" s="71"/>
      <c r="C114" s="5" t="s">
        <v>8</v>
      </c>
      <c r="D114" s="48"/>
      <c r="E114" s="74" t="n">
        <f aca="false">IFERROR(__xludf.dummyfunction("COUNTA(SPLIT(D114,"" ""))/COUNTA(SPLIT($B$47,"" ""))"),0.00242718446601942)</f>
        <v>0.002427184466</v>
      </c>
      <c r="F114" s="5"/>
      <c r="G114" s="5"/>
      <c r="H114" s="5"/>
      <c r="I114" s="5"/>
      <c r="J114" s="5"/>
      <c r="K114" s="50"/>
      <c r="L114" s="50"/>
      <c r="M114" s="50"/>
      <c r="N114" s="50"/>
      <c r="O114" s="50"/>
      <c r="P114" s="50"/>
      <c r="Q114" s="50"/>
      <c r="R114" s="50"/>
      <c r="S114" s="50"/>
      <c r="T114" s="50"/>
      <c r="U114" s="50"/>
      <c r="V114" s="50"/>
      <c r="W114" s="50"/>
      <c r="X114" s="50"/>
      <c r="Y114" s="50"/>
      <c r="Z114" s="50"/>
      <c r="AA114" s="50"/>
      <c r="AB114" s="50"/>
    </row>
    <row r="115" customFormat="false" ht="15.75" hidden="false" customHeight="false" outlineLevel="0" collapsed="false">
      <c r="A115" s="71"/>
      <c r="B115" s="71"/>
      <c r="C115" s="5" t="s">
        <v>20</v>
      </c>
      <c r="D115" s="48"/>
      <c r="E115" s="75" t="n">
        <f aca="false">IFERROR(__xludf.dummyfunction("COUNTA(SPLIT(D115,"" ""))/COUNTA(SPLIT($B$47,"" ""))"),0.00242718446601942)</f>
        <v>0.002427184466</v>
      </c>
      <c r="F115" s="5"/>
      <c r="G115" s="5"/>
      <c r="H115" s="5"/>
      <c r="I115" s="5"/>
      <c r="J115" s="5"/>
      <c r="K115" s="50"/>
      <c r="L115" s="50"/>
      <c r="M115" s="50"/>
      <c r="N115" s="50"/>
      <c r="O115" s="50"/>
      <c r="P115" s="50"/>
      <c r="Q115" s="50"/>
      <c r="R115" s="50"/>
      <c r="S115" s="50"/>
      <c r="T115" s="50"/>
      <c r="U115" s="50"/>
      <c r="V115" s="50"/>
      <c r="W115" s="50"/>
      <c r="X115" s="50"/>
      <c r="Y115" s="50"/>
      <c r="Z115" s="50"/>
      <c r="AA115" s="50"/>
      <c r="AB115" s="50"/>
    </row>
    <row r="116" customFormat="false" ht="15.75" hidden="false" customHeight="false" outlineLevel="0" collapsed="false">
      <c r="A116" s="50"/>
      <c r="B116" s="50"/>
      <c r="C116" s="5"/>
      <c r="D116" s="48"/>
      <c r="E116" s="50"/>
      <c r="F116" s="5"/>
      <c r="G116" s="5"/>
      <c r="H116" s="5"/>
      <c r="I116" s="5"/>
      <c r="J116" s="5"/>
      <c r="K116" s="50"/>
      <c r="L116" s="50"/>
      <c r="M116" s="50"/>
      <c r="N116" s="50"/>
      <c r="O116" s="50"/>
      <c r="P116" s="50"/>
      <c r="Q116" s="50"/>
      <c r="R116" s="50"/>
      <c r="S116" s="50"/>
      <c r="T116" s="50"/>
      <c r="U116" s="50"/>
      <c r="V116" s="50"/>
      <c r="W116" s="50"/>
      <c r="X116" s="50"/>
      <c r="Y116" s="50"/>
      <c r="Z116" s="50"/>
      <c r="AA116" s="50"/>
      <c r="AB116" s="50"/>
    </row>
    <row r="117" customFormat="false" ht="15.75" hidden="false" customHeight="false" outlineLevel="0" collapsed="false">
      <c r="A117" s="71"/>
      <c r="B117" s="54"/>
      <c r="C117" s="55" t="s">
        <v>18</v>
      </c>
      <c r="D117" s="56"/>
      <c r="E117" s="72" t="n">
        <f aca="false">IFERROR(__xludf.dummyfunction("COUNTA(SPLIT(D117,"" ""))/COUNTA(SPLIT($B$47,"" ""))"),0.00242718446601942)</f>
        <v>0.002427184466</v>
      </c>
      <c r="F117" s="55"/>
      <c r="G117" s="55"/>
      <c r="H117" s="55"/>
      <c r="I117" s="55"/>
      <c r="J117" s="55"/>
      <c r="K117" s="58"/>
      <c r="L117" s="58"/>
      <c r="M117" s="58"/>
      <c r="N117" s="58"/>
      <c r="O117" s="58"/>
      <c r="P117" s="58"/>
      <c r="Q117" s="58"/>
      <c r="R117" s="58"/>
      <c r="S117" s="58"/>
      <c r="T117" s="58"/>
      <c r="U117" s="58"/>
      <c r="V117" s="58"/>
      <c r="W117" s="58"/>
      <c r="X117" s="58"/>
      <c r="Y117" s="58"/>
      <c r="Z117" s="58"/>
      <c r="AA117" s="58"/>
      <c r="AB117" s="58"/>
    </row>
    <row r="118" customFormat="false" ht="15.75" hidden="false" customHeight="false" outlineLevel="0" collapsed="false">
      <c r="A118" s="71"/>
      <c r="B118" s="71"/>
      <c r="C118" s="5" t="s">
        <v>19</v>
      </c>
      <c r="D118" s="48"/>
      <c r="E118" s="73" t="n">
        <f aca="false">IFERROR(__xludf.dummyfunction("COUNTA(SPLIT(D118,"" ""))/COUNTA(SPLIT($B$47,"" ""))"),0.00242718446601942)</f>
        <v>0.002427184466</v>
      </c>
      <c r="F118" s="5"/>
      <c r="G118" s="5"/>
      <c r="H118" s="5"/>
      <c r="I118" s="5"/>
      <c r="J118" s="5"/>
      <c r="K118" s="50"/>
      <c r="L118" s="50"/>
      <c r="M118" s="50"/>
      <c r="N118" s="50"/>
      <c r="O118" s="50"/>
      <c r="P118" s="50"/>
      <c r="Q118" s="50"/>
      <c r="R118" s="50"/>
      <c r="S118" s="50"/>
      <c r="T118" s="50"/>
      <c r="U118" s="50"/>
      <c r="V118" s="50"/>
      <c r="W118" s="50"/>
      <c r="X118" s="50"/>
      <c r="Y118" s="50"/>
      <c r="Z118" s="50"/>
      <c r="AA118" s="50"/>
      <c r="AB118" s="50"/>
    </row>
    <row r="119" customFormat="false" ht="15.75" hidden="false" customHeight="false" outlineLevel="0" collapsed="false">
      <c r="A119" s="71"/>
      <c r="B119" s="71"/>
      <c r="C119" s="5" t="s">
        <v>8</v>
      </c>
      <c r="D119" s="48"/>
      <c r="E119" s="74" t="n">
        <f aca="false">IFERROR(__xludf.dummyfunction("COUNTA(SPLIT(D119,"" ""))/COUNTA(SPLIT($B$47,"" ""))"),0.00242718446601942)</f>
        <v>0.002427184466</v>
      </c>
      <c r="F119" s="5"/>
      <c r="G119" s="5"/>
      <c r="H119" s="5"/>
      <c r="I119" s="5"/>
      <c r="J119" s="5"/>
      <c r="K119" s="50"/>
      <c r="L119" s="50"/>
      <c r="M119" s="50"/>
      <c r="N119" s="50"/>
      <c r="O119" s="50"/>
      <c r="P119" s="50"/>
      <c r="Q119" s="50"/>
      <c r="R119" s="50"/>
      <c r="S119" s="50"/>
      <c r="T119" s="50"/>
      <c r="U119" s="50"/>
      <c r="V119" s="50"/>
      <c r="W119" s="50"/>
      <c r="X119" s="50"/>
      <c r="Y119" s="50"/>
      <c r="Z119" s="50"/>
      <c r="AA119" s="50"/>
      <c r="AB119" s="50"/>
    </row>
    <row r="120" customFormat="false" ht="15.75" hidden="false" customHeight="false" outlineLevel="0" collapsed="false">
      <c r="A120" s="71"/>
      <c r="B120" s="71"/>
      <c r="C120" s="5" t="s">
        <v>20</v>
      </c>
      <c r="D120" s="48"/>
      <c r="E120" s="75" t="n">
        <f aca="false">IFERROR(__xludf.dummyfunction("COUNTA(SPLIT(D120,"" ""))/COUNTA(SPLIT($B$47,"" ""))"),0.00242718446601942)</f>
        <v>0.002427184466</v>
      </c>
      <c r="F120" s="5"/>
      <c r="G120" s="5"/>
      <c r="H120" s="5"/>
      <c r="I120" s="5"/>
      <c r="J120" s="5"/>
      <c r="K120" s="50"/>
      <c r="L120" s="50"/>
      <c r="M120" s="50"/>
      <c r="N120" s="50"/>
      <c r="O120" s="50"/>
      <c r="P120" s="50"/>
      <c r="Q120" s="50"/>
      <c r="R120" s="50"/>
      <c r="S120" s="50"/>
      <c r="T120" s="50"/>
      <c r="U120" s="50"/>
      <c r="V120" s="50"/>
      <c r="W120" s="50"/>
      <c r="X120" s="50"/>
      <c r="Y120" s="50"/>
      <c r="Z120" s="50"/>
      <c r="AA120" s="50"/>
      <c r="AB120" s="50"/>
    </row>
    <row r="121" customFormat="false" ht="15.75" hidden="false" customHeight="false" outlineLevel="0" collapsed="false">
      <c r="A121" s="50"/>
      <c r="B121" s="50"/>
      <c r="C121" s="5"/>
      <c r="D121" s="48"/>
      <c r="E121" s="50"/>
      <c r="F121" s="5"/>
      <c r="G121" s="5"/>
      <c r="H121" s="5"/>
      <c r="I121" s="5"/>
      <c r="J121" s="5"/>
      <c r="K121" s="50"/>
      <c r="L121" s="50"/>
      <c r="M121" s="50"/>
      <c r="N121" s="50"/>
      <c r="O121" s="50"/>
      <c r="P121" s="50"/>
      <c r="Q121" s="50"/>
      <c r="R121" s="50"/>
      <c r="S121" s="50"/>
      <c r="T121" s="50"/>
      <c r="U121" s="50"/>
      <c r="V121" s="50"/>
      <c r="W121" s="50"/>
      <c r="X121" s="50"/>
      <c r="Y121" s="50"/>
      <c r="Z121" s="50"/>
      <c r="AA121" s="50"/>
      <c r="AB121" s="50"/>
    </row>
    <row r="122" customFormat="false" ht="15.75" hidden="false" customHeight="false" outlineLevel="0" collapsed="false">
      <c r="A122" s="71"/>
      <c r="B122" s="54"/>
      <c r="C122" s="55" t="s">
        <v>18</v>
      </c>
      <c r="D122" s="56"/>
      <c r="E122" s="72" t="n">
        <f aca="false">IFERROR(__xludf.dummyfunction("COUNTA(SPLIT(D122,"" ""))/COUNTA(SPLIT($B$47,"" ""))"),0.00242718446601942)</f>
        <v>0.002427184466</v>
      </c>
      <c r="F122" s="55"/>
      <c r="G122" s="55"/>
      <c r="H122" s="55"/>
      <c r="I122" s="55"/>
      <c r="J122" s="55"/>
      <c r="K122" s="58"/>
      <c r="L122" s="58"/>
      <c r="M122" s="58"/>
      <c r="N122" s="58"/>
      <c r="O122" s="58"/>
      <c r="P122" s="58"/>
      <c r="Q122" s="58"/>
      <c r="R122" s="58"/>
      <c r="S122" s="58"/>
      <c r="T122" s="58"/>
      <c r="U122" s="58"/>
      <c r="V122" s="58"/>
      <c r="W122" s="58"/>
      <c r="X122" s="58"/>
      <c r="Y122" s="58"/>
      <c r="Z122" s="58"/>
      <c r="AA122" s="58"/>
      <c r="AB122" s="58"/>
    </row>
    <row r="123" customFormat="false" ht="15.75" hidden="false" customHeight="false" outlineLevel="0" collapsed="false">
      <c r="A123" s="71"/>
      <c r="B123" s="71"/>
      <c r="C123" s="5" t="s">
        <v>19</v>
      </c>
      <c r="D123" s="48"/>
      <c r="E123" s="73" t="n">
        <f aca="false">IFERROR(__xludf.dummyfunction("COUNTA(SPLIT(D123,"" ""))/COUNTA(SPLIT($B$47,"" ""))"),0.00242718446601942)</f>
        <v>0.002427184466</v>
      </c>
      <c r="F123" s="5"/>
      <c r="G123" s="5"/>
      <c r="H123" s="5"/>
      <c r="I123" s="5"/>
      <c r="J123" s="5"/>
      <c r="K123" s="50"/>
      <c r="L123" s="50"/>
      <c r="M123" s="50"/>
      <c r="N123" s="50"/>
      <c r="O123" s="50"/>
      <c r="P123" s="50"/>
      <c r="Q123" s="50"/>
      <c r="R123" s="50"/>
      <c r="S123" s="50"/>
      <c r="T123" s="50"/>
      <c r="U123" s="50"/>
      <c r="V123" s="50"/>
      <c r="W123" s="50"/>
      <c r="X123" s="50"/>
      <c r="Y123" s="50"/>
      <c r="Z123" s="50"/>
      <c r="AA123" s="50"/>
      <c r="AB123" s="50"/>
    </row>
    <row r="124" customFormat="false" ht="15.75" hidden="false" customHeight="false" outlineLevel="0" collapsed="false">
      <c r="A124" s="71"/>
      <c r="B124" s="71"/>
      <c r="C124" s="5" t="s">
        <v>8</v>
      </c>
      <c r="D124" s="48"/>
      <c r="E124" s="74" t="n">
        <f aca="false">IFERROR(__xludf.dummyfunction("COUNTA(SPLIT(D124,"" ""))/COUNTA(SPLIT($B$47,"" ""))"),0.00242718446601942)</f>
        <v>0.002427184466</v>
      </c>
      <c r="F124" s="5"/>
      <c r="G124" s="5"/>
      <c r="H124" s="5"/>
      <c r="I124" s="5"/>
      <c r="J124" s="5"/>
      <c r="K124" s="50"/>
      <c r="L124" s="50"/>
      <c r="M124" s="50"/>
      <c r="N124" s="50"/>
      <c r="O124" s="50"/>
      <c r="P124" s="50"/>
      <c r="Q124" s="50"/>
      <c r="R124" s="50"/>
      <c r="S124" s="50"/>
      <c r="T124" s="50"/>
      <c r="U124" s="50"/>
      <c r="V124" s="50"/>
      <c r="W124" s="50"/>
      <c r="X124" s="50"/>
      <c r="Y124" s="50"/>
      <c r="Z124" s="50"/>
      <c r="AA124" s="50"/>
      <c r="AB124" s="50"/>
    </row>
    <row r="125" customFormat="false" ht="15.75" hidden="false" customHeight="false" outlineLevel="0" collapsed="false">
      <c r="A125" s="71"/>
      <c r="B125" s="71"/>
      <c r="C125" s="5" t="s">
        <v>20</v>
      </c>
      <c r="D125" s="48"/>
      <c r="E125" s="75" t="n">
        <f aca="false">IFERROR(__xludf.dummyfunction("COUNTA(SPLIT(D125,"" ""))/COUNTA(SPLIT($B$47,"" ""))"),0.00242718446601942)</f>
        <v>0.002427184466</v>
      </c>
      <c r="F125" s="5"/>
      <c r="G125" s="5"/>
      <c r="H125" s="5"/>
      <c r="I125" s="5"/>
      <c r="J125" s="5"/>
      <c r="K125" s="50"/>
      <c r="L125" s="50"/>
      <c r="M125" s="50"/>
      <c r="N125" s="50"/>
      <c r="O125" s="50"/>
      <c r="P125" s="50"/>
      <c r="Q125" s="50"/>
      <c r="R125" s="50"/>
      <c r="S125" s="50"/>
      <c r="T125" s="50"/>
      <c r="U125" s="50"/>
      <c r="V125" s="50"/>
      <c r="W125" s="50"/>
      <c r="X125" s="50"/>
      <c r="Y125" s="50"/>
      <c r="Z125" s="50"/>
      <c r="AA125" s="50"/>
      <c r="AB125" s="50"/>
    </row>
    <row r="126" customFormat="false" ht="15.75" hidden="false" customHeight="false" outlineLevel="0" collapsed="false">
      <c r="A126" s="50"/>
      <c r="B126" s="50"/>
      <c r="C126" s="5"/>
      <c r="D126" s="48"/>
      <c r="E126" s="50"/>
      <c r="F126" s="5"/>
      <c r="G126" s="5"/>
      <c r="H126" s="5"/>
      <c r="I126" s="5"/>
      <c r="J126" s="5"/>
      <c r="K126" s="50"/>
      <c r="L126" s="50"/>
      <c r="M126" s="50"/>
      <c r="N126" s="50"/>
      <c r="O126" s="50"/>
      <c r="P126" s="50"/>
      <c r="Q126" s="50"/>
      <c r="R126" s="50"/>
      <c r="S126" s="50"/>
      <c r="T126" s="50"/>
      <c r="U126" s="50"/>
      <c r="V126" s="50"/>
      <c r="W126" s="50"/>
      <c r="X126" s="50"/>
      <c r="Y126" s="50"/>
      <c r="Z126" s="50"/>
      <c r="AA126" s="50"/>
      <c r="AB126" s="50"/>
    </row>
    <row r="127" customFormat="false" ht="15.75" hidden="false" customHeight="false" outlineLevel="0" collapsed="false">
      <c r="A127" s="71"/>
      <c r="B127" s="54"/>
      <c r="C127" s="55" t="s">
        <v>18</v>
      </c>
      <c r="D127" s="56"/>
      <c r="E127" s="72" t="n">
        <f aca="false">IFERROR(__xludf.dummyfunction("COUNTA(SPLIT(D127,"" ""))/COUNTA(SPLIT($B$47,"" ""))"),0.00242718446601942)</f>
        <v>0.002427184466</v>
      </c>
      <c r="F127" s="55"/>
      <c r="G127" s="55"/>
      <c r="H127" s="55"/>
      <c r="I127" s="55"/>
      <c r="J127" s="55"/>
      <c r="K127" s="58"/>
      <c r="L127" s="58"/>
      <c r="M127" s="58"/>
      <c r="N127" s="58"/>
      <c r="O127" s="58"/>
      <c r="P127" s="58"/>
      <c r="Q127" s="58"/>
      <c r="R127" s="58"/>
      <c r="S127" s="58"/>
      <c r="T127" s="58"/>
      <c r="U127" s="58"/>
      <c r="V127" s="58"/>
      <c r="W127" s="58"/>
      <c r="X127" s="58"/>
      <c r="Y127" s="58"/>
      <c r="Z127" s="58"/>
      <c r="AA127" s="58"/>
      <c r="AB127" s="58"/>
    </row>
    <row r="128" customFormat="false" ht="15.75" hidden="false" customHeight="false" outlineLevel="0" collapsed="false">
      <c r="A128" s="71"/>
      <c r="B128" s="71"/>
      <c r="C128" s="5" t="s">
        <v>19</v>
      </c>
      <c r="D128" s="48"/>
      <c r="E128" s="73" t="n">
        <f aca="false">IFERROR(__xludf.dummyfunction("COUNTA(SPLIT(D128,"" ""))/COUNTA(SPLIT($B$47,"" ""))"),0.00242718446601942)</f>
        <v>0.002427184466</v>
      </c>
      <c r="F128" s="5"/>
      <c r="G128" s="5"/>
      <c r="H128" s="5"/>
      <c r="I128" s="5"/>
      <c r="J128" s="5"/>
      <c r="K128" s="50"/>
      <c r="L128" s="50"/>
      <c r="M128" s="50"/>
      <c r="N128" s="50"/>
      <c r="O128" s="50"/>
      <c r="P128" s="50"/>
      <c r="Q128" s="50"/>
      <c r="R128" s="50"/>
      <c r="S128" s="50"/>
      <c r="T128" s="50"/>
      <c r="U128" s="50"/>
      <c r="V128" s="50"/>
      <c r="W128" s="50"/>
      <c r="X128" s="50"/>
      <c r="Y128" s="50"/>
      <c r="Z128" s="50"/>
      <c r="AA128" s="50"/>
      <c r="AB128" s="50"/>
    </row>
    <row r="129" customFormat="false" ht="15.75" hidden="false" customHeight="false" outlineLevel="0" collapsed="false">
      <c r="A129" s="71"/>
      <c r="B129" s="71"/>
      <c r="C129" s="5" t="s">
        <v>8</v>
      </c>
      <c r="D129" s="48"/>
      <c r="E129" s="74" t="n">
        <f aca="false">IFERROR(__xludf.dummyfunction("COUNTA(SPLIT(D129,"" ""))/COUNTA(SPLIT($B$47,"" ""))"),0.00242718446601942)</f>
        <v>0.002427184466</v>
      </c>
      <c r="F129" s="5"/>
      <c r="G129" s="5"/>
      <c r="H129" s="5"/>
      <c r="I129" s="5"/>
      <c r="J129" s="5"/>
      <c r="K129" s="50"/>
      <c r="L129" s="50"/>
      <c r="M129" s="50"/>
      <c r="N129" s="50"/>
      <c r="O129" s="50"/>
      <c r="P129" s="50"/>
      <c r="Q129" s="50"/>
      <c r="R129" s="50"/>
      <c r="S129" s="50"/>
      <c r="T129" s="50"/>
      <c r="U129" s="50"/>
      <c r="V129" s="50"/>
      <c r="W129" s="50"/>
      <c r="X129" s="50"/>
      <c r="Y129" s="50"/>
      <c r="Z129" s="50"/>
      <c r="AA129" s="50"/>
      <c r="AB129" s="50"/>
    </row>
    <row r="130" customFormat="false" ht="15.75" hidden="false" customHeight="false" outlineLevel="0" collapsed="false">
      <c r="A130" s="71"/>
      <c r="B130" s="71"/>
      <c r="C130" s="5" t="s">
        <v>20</v>
      </c>
      <c r="D130" s="48"/>
      <c r="E130" s="75" t="n">
        <f aca="false">IFERROR(__xludf.dummyfunction("COUNTA(SPLIT(D130,"" ""))/COUNTA(SPLIT($B$47,"" ""))"),0.00242718446601942)</f>
        <v>0.002427184466</v>
      </c>
      <c r="F130" s="5"/>
      <c r="G130" s="5"/>
      <c r="H130" s="5"/>
      <c r="I130" s="5"/>
      <c r="J130" s="5"/>
      <c r="K130" s="50"/>
      <c r="L130" s="50"/>
      <c r="M130" s="50"/>
      <c r="N130" s="50"/>
      <c r="O130" s="50"/>
      <c r="P130" s="50"/>
      <c r="Q130" s="50"/>
      <c r="R130" s="50"/>
      <c r="S130" s="50"/>
      <c r="T130" s="50"/>
      <c r="U130" s="50"/>
      <c r="V130" s="50"/>
      <c r="W130" s="50"/>
      <c r="X130" s="50"/>
      <c r="Y130" s="50"/>
      <c r="Z130" s="50"/>
      <c r="AA130" s="50"/>
      <c r="AB130" s="50"/>
    </row>
    <row r="131" customFormat="false" ht="15.75" hidden="false" customHeight="false" outlineLevel="0" collapsed="false">
      <c r="A131" s="50"/>
      <c r="B131" s="50"/>
      <c r="C131" s="5"/>
      <c r="D131" s="48"/>
      <c r="E131" s="50"/>
      <c r="F131" s="5"/>
      <c r="G131" s="5"/>
      <c r="H131" s="5"/>
      <c r="I131" s="5"/>
      <c r="J131" s="5"/>
      <c r="K131" s="50"/>
      <c r="L131" s="50"/>
      <c r="M131" s="50"/>
      <c r="N131" s="50"/>
      <c r="O131" s="50"/>
      <c r="P131" s="50"/>
      <c r="Q131" s="50"/>
      <c r="R131" s="50"/>
      <c r="S131" s="50"/>
      <c r="T131" s="50"/>
      <c r="U131" s="50"/>
      <c r="V131" s="50"/>
      <c r="W131" s="50"/>
      <c r="X131" s="50"/>
      <c r="Y131" s="50"/>
      <c r="Z131" s="50"/>
      <c r="AA131" s="50"/>
      <c r="AB131" s="50"/>
    </row>
    <row r="132" customFormat="false" ht="15.75" hidden="false" customHeight="false" outlineLevel="0" collapsed="false">
      <c r="A132" s="71"/>
      <c r="B132" s="54"/>
      <c r="C132" s="55" t="s">
        <v>18</v>
      </c>
      <c r="D132" s="56"/>
      <c r="E132" s="72" t="n">
        <f aca="false">IFERROR(__xludf.dummyfunction("COUNTA(SPLIT(D132,"" ""))/COUNTA(SPLIT($B$47,"" ""))"),0.00242718446601942)</f>
        <v>0.002427184466</v>
      </c>
      <c r="F132" s="55"/>
      <c r="G132" s="55"/>
      <c r="H132" s="55"/>
      <c r="I132" s="55"/>
      <c r="J132" s="55"/>
      <c r="K132" s="58"/>
      <c r="L132" s="58"/>
      <c r="M132" s="58"/>
      <c r="N132" s="58"/>
      <c r="O132" s="58"/>
      <c r="P132" s="58"/>
      <c r="Q132" s="58"/>
      <c r="R132" s="58"/>
      <c r="S132" s="58"/>
      <c r="T132" s="58"/>
      <c r="U132" s="58"/>
      <c r="V132" s="58"/>
      <c r="W132" s="58"/>
      <c r="X132" s="58"/>
      <c r="Y132" s="58"/>
      <c r="Z132" s="58"/>
      <c r="AA132" s="58"/>
      <c r="AB132" s="58"/>
    </row>
    <row r="133" customFormat="false" ht="15.75" hidden="false" customHeight="false" outlineLevel="0" collapsed="false">
      <c r="A133" s="71"/>
      <c r="B133" s="71"/>
      <c r="C133" s="5" t="s">
        <v>19</v>
      </c>
      <c r="D133" s="48"/>
      <c r="E133" s="73" t="n">
        <f aca="false">IFERROR(__xludf.dummyfunction("COUNTA(SPLIT(D133,"" ""))/COUNTA(SPLIT($B$47,"" ""))"),0.00242718446601942)</f>
        <v>0.002427184466</v>
      </c>
      <c r="F133" s="5"/>
      <c r="G133" s="5"/>
      <c r="H133" s="5"/>
      <c r="I133" s="5"/>
      <c r="J133" s="5"/>
      <c r="K133" s="50"/>
      <c r="L133" s="50"/>
      <c r="M133" s="50"/>
      <c r="N133" s="50"/>
      <c r="O133" s="50"/>
      <c r="P133" s="50"/>
      <c r="Q133" s="50"/>
      <c r="R133" s="50"/>
      <c r="S133" s="50"/>
      <c r="T133" s="50"/>
      <c r="U133" s="50"/>
      <c r="V133" s="50"/>
      <c r="W133" s="50"/>
      <c r="X133" s="50"/>
      <c r="Y133" s="50"/>
      <c r="Z133" s="50"/>
      <c r="AA133" s="50"/>
      <c r="AB133" s="50"/>
    </row>
    <row r="134" customFormat="false" ht="15.75" hidden="false" customHeight="false" outlineLevel="0" collapsed="false">
      <c r="A134" s="71"/>
      <c r="B134" s="71"/>
      <c r="C134" s="5" t="s">
        <v>8</v>
      </c>
      <c r="D134" s="48"/>
      <c r="E134" s="74" t="n">
        <f aca="false">IFERROR(__xludf.dummyfunction("COUNTA(SPLIT(D134,"" ""))/COUNTA(SPLIT($B$47,"" ""))"),0.00242718446601942)</f>
        <v>0.002427184466</v>
      </c>
      <c r="F134" s="5"/>
      <c r="G134" s="5"/>
      <c r="H134" s="5"/>
      <c r="I134" s="5"/>
      <c r="J134" s="5"/>
      <c r="K134" s="50"/>
      <c r="L134" s="50"/>
      <c r="M134" s="50"/>
      <c r="N134" s="50"/>
      <c r="O134" s="50"/>
      <c r="P134" s="50"/>
      <c r="Q134" s="50"/>
      <c r="R134" s="50"/>
      <c r="S134" s="50"/>
      <c r="T134" s="50"/>
      <c r="U134" s="50"/>
      <c r="V134" s="50"/>
      <c r="W134" s="50"/>
      <c r="X134" s="50"/>
      <c r="Y134" s="50"/>
      <c r="Z134" s="50"/>
      <c r="AA134" s="50"/>
      <c r="AB134" s="50"/>
    </row>
    <row r="135" customFormat="false" ht="15.75" hidden="false" customHeight="false" outlineLevel="0" collapsed="false">
      <c r="A135" s="71"/>
      <c r="B135" s="71"/>
      <c r="C135" s="5" t="s">
        <v>20</v>
      </c>
      <c r="D135" s="48"/>
      <c r="E135" s="75" t="n">
        <f aca="false">IFERROR(__xludf.dummyfunction("COUNTA(SPLIT(D135,"" ""))/COUNTA(SPLIT($B$47,"" ""))"),0.00242718446601942)</f>
        <v>0.002427184466</v>
      </c>
      <c r="F135" s="5"/>
      <c r="G135" s="5"/>
      <c r="H135" s="5"/>
      <c r="I135" s="5"/>
      <c r="J135" s="5"/>
      <c r="K135" s="50"/>
      <c r="L135" s="50"/>
      <c r="M135" s="50"/>
      <c r="N135" s="50"/>
      <c r="O135" s="50"/>
      <c r="P135" s="50"/>
      <c r="Q135" s="50"/>
      <c r="R135" s="50"/>
      <c r="S135" s="50"/>
      <c r="T135" s="50"/>
      <c r="U135" s="50"/>
      <c r="V135" s="50"/>
      <c r="W135" s="50"/>
      <c r="X135" s="50"/>
      <c r="Y135" s="50"/>
      <c r="Z135" s="50"/>
      <c r="AA135" s="50"/>
      <c r="AB135" s="50"/>
    </row>
    <row r="136" customFormat="false" ht="15.75" hidden="false" customHeight="false" outlineLevel="0" collapsed="false">
      <c r="A136" s="50"/>
      <c r="B136" s="50"/>
      <c r="C136" s="5"/>
      <c r="D136" s="48"/>
      <c r="E136" s="50"/>
      <c r="F136" s="5"/>
      <c r="G136" s="5"/>
      <c r="H136" s="5"/>
      <c r="I136" s="5"/>
      <c r="J136" s="5"/>
      <c r="K136" s="50"/>
      <c r="L136" s="50"/>
      <c r="M136" s="50"/>
      <c r="N136" s="50"/>
      <c r="O136" s="50"/>
      <c r="P136" s="50"/>
      <c r="Q136" s="50"/>
      <c r="R136" s="50"/>
      <c r="S136" s="50"/>
      <c r="T136" s="50"/>
      <c r="U136" s="50"/>
      <c r="V136" s="50"/>
      <c r="W136" s="50"/>
      <c r="X136" s="50"/>
      <c r="Y136" s="50"/>
      <c r="Z136" s="50"/>
      <c r="AA136" s="50"/>
      <c r="AB136" s="50"/>
    </row>
    <row r="137" customFormat="false" ht="15.75" hidden="false" customHeight="false" outlineLevel="0" collapsed="false">
      <c r="A137" s="71"/>
      <c r="B137" s="54"/>
      <c r="C137" s="55" t="s">
        <v>18</v>
      </c>
      <c r="D137" s="56"/>
      <c r="E137" s="72" t="n">
        <f aca="false">IFERROR(__xludf.dummyfunction("COUNTA(SPLIT(D137,"" ""))/COUNTA(SPLIT($B$47,"" ""))"),0.00242718446601942)</f>
        <v>0.002427184466</v>
      </c>
      <c r="F137" s="55"/>
      <c r="G137" s="55"/>
      <c r="H137" s="55"/>
      <c r="I137" s="55"/>
      <c r="J137" s="55"/>
      <c r="K137" s="58"/>
      <c r="L137" s="58"/>
      <c r="M137" s="58"/>
      <c r="N137" s="58"/>
      <c r="O137" s="58"/>
      <c r="P137" s="58"/>
      <c r="Q137" s="58"/>
      <c r="R137" s="58"/>
      <c r="S137" s="58"/>
      <c r="T137" s="58"/>
      <c r="U137" s="58"/>
      <c r="V137" s="58"/>
      <c r="W137" s="58"/>
      <c r="X137" s="58"/>
      <c r="Y137" s="58"/>
      <c r="Z137" s="58"/>
      <c r="AA137" s="58"/>
      <c r="AB137" s="58"/>
    </row>
    <row r="138" customFormat="false" ht="15.75" hidden="false" customHeight="false" outlineLevel="0" collapsed="false">
      <c r="A138" s="71"/>
      <c r="B138" s="71"/>
      <c r="C138" s="5" t="s">
        <v>19</v>
      </c>
      <c r="D138" s="48"/>
      <c r="E138" s="73" t="n">
        <f aca="false">IFERROR(__xludf.dummyfunction("COUNTA(SPLIT(D138,"" ""))/COUNTA(SPLIT($B$47,"" ""))"),0.00242718446601942)</f>
        <v>0.002427184466</v>
      </c>
      <c r="F138" s="5"/>
      <c r="G138" s="5"/>
      <c r="H138" s="5"/>
      <c r="I138" s="5"/>
      <c r="J138" s="5"/>
      <c r="K138" s="50"/>
      <c r="L138" s="50"/>
      <c r="M138" s="50"/>
      <c r="N138" s="50"/>
      <c r="O138" s="50"/>
      <c r="P138" s="50"/>
      <c r="Q138" s="50"/>
      <c r="R138" s="50"/>
      <c r="S138" s="50"/>
      <c r="T138" s="50"/>
      <c r="U138" s="50"/>
      <c r="V138" s="50"/>
      <c r="W138" s="50"/>
      <c r="X138" s="50"/>
      <c r="Y138" s="50"/>
      <c r="Z138" s="50"/>
      <c r="AA138" s="50"/>
      <c r="AB138" s="50"/>
    </row>
    <row r="139" customFormat="false" ht="15.75" hidden="false" customHeight="false" outlineLevel="0" collapsed="false">
      <c r="A139" s="71"/>
      <c r="B139" s="71"/>
      <c r="C139" s="5" t="s">
        <v>8</v>
      </c>
      <c r="D139" s="48"/>
      <c r="E139" s="74" t="n">
        <f aca="false">IFERROR(__xludf.dummyfunction("COUNTA(SPLIT(D139,"" ""))/COUNTA(SPLIT($B$47,"" ""))"),0.00242718446601942)</f>
        <v>0.002427184466</v>
      </c>
      <c r="F139" s="5"/>
      <c r="G139" s="5"/>
      <c r="H139" s="5"/>
      <c r="I139" s="5"/>
      <c r="J139" s="5"/>
      <c r="K139" s="50"/>
      <c r="L139" s="50"/>
      <c r="M139" s="50"/>
      <c r="N139" s="50"/>
      <c r="O139" s="50"/>
      <c r="P139" s="50"/>
      <c r="Q139" s="50"/>
      <c r="R139" s="50"/>
      <c r="S139" s="50"/>
      <c r="T139" s="50"/>
      <c r="U139" s="50"/>
      <c r="V139" s="50"/>
      <c r="W139" s="50"/>
      <c r="X139" s="50"/>
      <c r="Y139" s="50"/>
      <c r="Z139" s="50"/>
      <c r="AA139" s="50"/>
      <c r="AB139" s="50"/>
    </row>
    <row r="140" customFormat="false" ht="15.75" hidden="false" customHeight="false" outlineLevel="0" collapsed="false">
      <c r="A140" s="71"/>
      <c r="B140" s="71"/>
      <c r="C140" s="5" t="s">
        <v>20</v>
      </c>
      <c r="D140" s="48"/>
      <c r="E140" s="75" t="n">
        <f aca="false">IFERROR(__xludf.dummyfunction("COUNTA(SPLIT(D140,"" ""))/COUNTA(SPLIT($B$47,"" ""))"),0.00242718446601942)</f>
        <v>0.002427184466</v>
      </c>
      <c r="F140" s="5"/>
      <c r="G140" s="5"/>
      <c r="H140" s="5"/>
      <c r="I140" s="5"/>
      <c r="J140" s="5"/>
      <c r="K140" s="50"/>
      <c r="L140" s="50"/>
      <c r="M140" s="50"/>
      <c r="N140" s="50"/>
      <c r="O140" s="50"/>
      <c r="P140" s="50"/>
      <c r="Q140" s="50"/>
      <c r="R140" s="50"/>
      <c r="S140" s="50"/>
      <c r="T140" s="50"/>
      <c r="U140" s="50"/>
      <c r="V140" s="50"/>
      <c r="W140" s="50"/>
      <c r="X140" s="50"/>
      <c r="Y140" s="50"/>
      <c r="Z140" s="50"/>
      <c r="AA140" s="50"/>
      <c r="AB140" s="50"/>
    </row>
    <row r="141" customFormat="false" ht="15.75" hidden="false" customHeight="false" outlineLevel="0" collapsed="false">
      <c r="A141" s="50"/>
      <c r="B141" s="50"/>
      <c r="C141" s="5"/>
      <c r="D141" s="48"/>
      <c r="E141" s="50"/>
      <c r="F141" s="5"/>
      <c r="G141" s="5"/>
      <c r="H141" s="5"/>
      <c r="I141" s="5"/>
      <c r="J141" s="5"/>
      <c r="K141" s="50"/>
      <c r="L141" s="50"/>
      <c r="M141" s="50"/>
      <c r="N141" s="50"/>
      <c r="O141" s="50"/>
      <c r="P141" s="50"/>
      <c r="Q141" s="50"/>
      <c r="R141" s="50"/>
      <c r="S141" s="50"/>
      <c r="T141" s="50"/>
      <c r="U141" s="50"/>
      <c r="V141" s="50"/>
      <c r="W141" s="50"/>
      <c r="X141" s="50"/>
      <c r="Y141" s="50"/>
      <c r="Z141" s="50"/>
      <c r="AA141" s="50"/>
      <c r="AB141" s="50"/>
    </row>
    <row r="142" customFormat="false" ht="15.75" hidden="false" customHeight="false" outlineLevel="0" collapsed="false">
      <c r="A142" s="71"/>
      <c r="B142" s="54"/>
      <c r="C142" s="55" t="s">
        <v>18</v>
      </c>
      <c r="D142" s="56"/>
      <c r="E142" s="72" t="n">
        <f aca="false">IFERROR(__xludf.dummyfunction("COUNTA(SPLIT(D142,"" ""))/COUNTA(SPLIT($B$47,"" ""))"),0.00242718446601942)</f>
        <v>0.002427184466</v>
      </c>
      <c r="F142" s="55"/>
      <c r="G142" s="55"/>
      <c r="H142" s="55"/>
      <c r="I142" s="55"/>
      <c r="J142" s="55"/>
      <c r="K142" s="58"/>
      <c r="L142" s="58"/>
      <c r="M142" s="58"/>
      <c r="N142" s="58"/>
      <c r="O142" s="58"/>
      <c r="P142" s="58"/>
      <c r="Q142" s="58"/>
      <c r="R142" s="58"/>
      <c r="S142" s="58"/>
      <c r="T142" s="58"/>
      <c r="U142" s="58"/>
      <c r="V142" s="58"/>
      <c r="W142" s="58"/>
      <c r="X142" s="58"/>
      <c r="Y142" s="58"/>
      <c r="Z142" s="58"/>
      <c r="AA142" s="58"/>
      <c r="AB142" s="58"/>
    </row>
    <row r="143" customFormat="false" ht="15.75" hidden="false" customHeight="false" outlineLevel="0" collapsed="false">
      <c r="A143" s="71"/>
      <c r="B143" s="71"/>
      <c r="C143" s="5" t="s">
        <v>19</v>
      </c>
      <c r="D143" s="48"/>
      <c r="E143" s="73" t="n">
        <f aca="false">IFERROR(__xludf.dummyfunction("COUNTA(SPLIT(D143,"" ""))/COUNTA(SPLIT($B$47,"" ""))"),0.00242718446601942)</f>
        <v>0.002427184466</v>
      </c>
      <c r="F143" s="5"/>
      <c r="G143" s="5"/>
      <c r="H143" s="5"/>
      <c r="I143" s="5"/>
      <c r="J143" s="5"/>
      <c r="K143" s="50"/>
      <c r="L143" s="50"/>
      <c r="M143" s="50"/>
      <c r="N143" s="50"/>
      <c r="O143" s="50"/>
      <c r="P143" s="50"/>
      <c r="Q143" s="50"/>
      <c r="R143" s="50"/>
      <c r="S143" s="50"/>
      <c r="T143" s="50"/>
      <c r="U143" s="50"/>
      <c r="V143" s="50"/>
      <c r="W143" s="50"/>
      <c r="X143" s="50"/>
      <c r="Y143" s="50"/>
      <c r="Z143" s="50"/>
      <c r="AA143" s="50"/>
      <c r="AB143" s="50"/>
    </row>
    <row r="144" customFormat="false" ht="15.75" hidden="false" customHeight="false" outlineLevel="0" collapsed="false">
      <c r="A144" s="71"/>
      <c r="B144" s="71"/>
      <c r="C144" s="5" t="s">
        <v>8</v>
      </c>
      <c r="D144" s="48"/>
      <c r="E144" s="74" t="n">
        <f aca="false">IFERROR(__xludf.dummyfunction("COUNTA(SPLIT(D144,"" ""))/COUNTA(SPLIT($B$47,"" ""))"),0.00242718446601942)</f>
        <v>0.002427184466</v>
      </c>
      <c r="F144" s="5"/>
      <c r="G144" s="5"/>
      <c r="H144" s="5"/>
      <c r="I144" s="5"/>
      <c r="J144" s="5"/>
      <c r="K144" s="50"/>
      <c r="L144" s="50"/>
      <c r="M144" s="50"/>
      <c r="N144" s="50"/>
      <c r="O144" s="50"/>
      <c r="P144" s="50"/>
      <c r="Q144" s="50"/>
      <c r="R144" s="50"/>
      <c r="S144" s="50"/>
      <c r="T144" s="50"/>
      <c r="U144" s="50"/>
      <c r="V144" s="50"/>
      <c r="W144" s="50"/>
      <c r="X144" s="50"/>
      <c r="Y144" s="50"/>
      <c r="Z144" s="50"/>
      <c r="AA144" s="50"/>
      <c r="AB144" s="50"/>
    </row>
    <row r="145" customFormat="false" ht="15.75" hidden="false" customHeight="false" outlineLevel="0" collapsed="false">
      <c r="A145" s="71"/>
      <c r="B145" s="71"/>
      <c r="C145" s="5" t="s">
        <v>20</v>
      </c>
      <c r="D145" s="48"/>
      <c r="E145" s="75" t="n">
        <f aca="false">IFERROR(__xludf.dummyfunction("COUNTA(SPLIT(D145,"" ""))/COUNTA(SPLIT($B$47,"" ""))"),0.00242718446601942)</f>
        <v>0.002427184466</v>
      </c>
      <c r="F145" s="5"/>
      <c r="G145" s="5"/>
      <c r="H145" s="5"/>
      <c r="I145" s="5"/>
      <c r="J145" s="5"/>
      <c r="K145" s="50"/>
      <c r="L145" s="50"/>
      <c r="M145" s="50"/>
      <c r="N145" s="50"/>
      <c r="O145" s="50"/>
      <c r="P145" s="50"/>
      <c r="Q145" s="50"/>
      <c r="R145" s="50"/>
      <c r="S145" s="50"/>
      <c r="T145" s="50"/>
      <c r="U145" s="50"/>
      <c r="V145" s="50"/>
      <c r="W145" s="50"/>
      <c r="X145" s="50"/>
      <c r="Y145" s="50"/>
      <c r="Z145" s="50"/>
      <c r="AA145" s="50"/>
      <c r="AB145" s="50"/>
    </row>
    <row r="146" customFormat="false" ht="15.75" hidden="false" customHeight="false" outlineLevel="0" collapsed="false">
      <c r="A146" s="50"/>
      <c r="B146" s="50"/>
      <c r="C146" s="5"/>
      <c r="D146" s="48"/>
      <c r="E146" s="50"/>
      <c r="F146" s="5"/>
      <c r="G146" s="5"/>
      <c r="H146" s="5"/>
      <c r="I146" s="5"/>
      <c r="J146" s="5"/>
      <c r="K146" s="50"/>
      <c r="L146" s="50"/>
      <c r="M146" s="50"/>
      <c r="N146" s="50"/>
      <c r="O146" s="50"/>
      <c r="P146" s="50"/>
      <c r="Q146" s="50"/>
      <c r="R146" s="50"/>
      <c r="S146" s="50"/>
      <c r="T146" s="50"/>
      <c r="U146" s="50"/>
      <c r="V146" s="50"/>
      <c r="W146" s="50"/>
      <c r="X146" s="50"/>
      <c r="Y146" s="50"/>
      <c r="Z146" s="50"/>
      <c r="AA146" s="50"/>
      <c r="AB146" s="50"/>
    </row>
    <row r="147" customFormat="false" ht="15.75" hidden="false" customHeight="false" outlineLevel="0" collapsed="false">
      <c r="A147" s="71"/>
      <c r="B147" s="54"/>
      <c r="C147" s="55" t="s">
        <v>18</v>
      </c>
      <c r="D147" s="56"/>
      <c r="E147" s="72" t="n">
        <f aca="false">IFERROR(__xludf.dummyfunction("COUNTA(SPLIT(D147,"" ""))/COUNTA(SPLIT($B$47,"" ""))"),0.00242718446601942)</f>
        <v>0.002427184466</v>
      </c>
      <c r="F147" s="55"/>
      <c r="G147" s="55"/>
      <c r="H147" s="55"/>
      <c r="I147" s="55"/>
      <c r="J147" s="55"/>
      <c r="K147" s="58"/>
      <c r="L147" s="58"/>
      <c r="M147" s="58"/>
      <c r="N147" s="58"/>
      <c r="O147" s="58"/>
      <c r="P147" s="58"/>
      <c r="Q147" s="58"/>
      <c r="R147" s="58"/>
      <c r="S147" s="58"/>
      <c r="T147" s="58"/>
      <c r="U147" s="58"/>
      <c r="V147" s="58"/>
      <c r="W147" s="58"/>
      <c r="X147" s="58"/>
      <c r="Y147" s="58"/>
      <c r="Z147" s="58"/>
      <c r="AA147" s="58"/>
      <c r="AB147" s="58"/>
    </row>
    <row r="148" customFormat="false" ht="15.75" hidden="false" customHeight="false" outlineLevel="0" collapsed="false">
      <c r="A148" s="71"/>
      <c r="B148" s="71"/>
      <c r="C148" s="5" t="s">
        <v>19</v>
      </c>
      <c r="D148" s="48"/>
      <c r="E148" s="73" t="n">
        <f aca="false">IFERROR(__xludf.dummyfunction("COUNTA(SPLIT(D148,"" ""))/COUNTA(SPLIT($B$47,"" ""))"),0.00242718446601942)</f>
        <v>0.002427184466</v>
      </c>
      <c r="F148" s="5"/>
      <c r="G148" s="5"/>
      <c r="H148" s="5"/>
      <c r="I148" s="5"/>
      <c r="J148" s="5"/>
      <c r="K148" s="50"/>
      <c r="L148" s="50"/>
      <c r="M148" s="50"/>
      <c r="N148" s="50"/>
      <c r="O148" s="50"/>
      <c r="P148" s="50"/>
      <c r="Q148" s="50"/>
      <c r="R148" s="50"/>
      <c r="S148" s="50"/>
      <c r="T148" s="50"/>
      <c r="U148" s="50"/>
      <c r="V148" s="50"/>
      <c r="W148" s="50"/>
      <c r="X148" s="50"/>
      <c r="Y148" s="50"/>
      <c r="Z148" s="50"/>
      <c r="AA148" s="50"/>
      <c r="AB148" s="50"/>
    </row>
    <row r="149" customFormat="false" ht="15.75" hidden="false" customHeight="false" outlineLevel="0" collapsed="false">
      <c r="A149" s="71"/>
      <c r="B149" s="71"/>
      <c r="C149" s="5" t="s">
        <v>8</v>
      </c>
      <c r="D149" s="48"/>
      <c r="E149" s="74" t="n">
        <f aca="false">IFERROR(__xludf.dummyfunction("COUNTA(SPLIT(D149,"" ""))/COUNTA(SPLIT($B$47,"" ""))"),0.00242718446601942)</f>
        <v>0.002427184466</v>
      </c>
      <c r="F149" s="5"/>
      <c r="G149" s="5"/>
      <c r="H149" s="5"/>
      <c r="I149" s="5"/>
      <c r="J149" s="5"/>
      <c r="K149" s="50"/>
      <c r="L149" s="50"/>
      <c r="M149" s="50"/>
      <c r="N149" s="50"/>
      <c r="O149" s="50"/>
      <c r="P149" s="50"/>
      <c r="Q149" s="50"/>
      <c r="R149" s="50"/>
      <c r="S149" s="50"/>
      <c r="T149" s="50"/>
      <c r="U149" s="50"/>
      <c r="V149" s="50"/>
      <c r="W149" s="50"/>
      <c r="X149" s="50"/>
      <c r="Y149" s="50"/>
      <c r="Z149" s="50"/>
      <c r="AA149" s="50"/>
      <c r="AB149" s="50"/>
    </row>
    <row r="150" customFormat="false" ht="15.75" hidden="false" customHeight="false" outlineLevel="0" collapsed="false">
      <c r="A150" s="71"/>
      <c r="B150" s="71"/>
      <c r="C150" s="5" t="s">
        <v>20</v>
      </c>
      <c r="D150" s="48"/>
      <c r="E150" s="75" t="n">
        <f aca="false">IFERROR(__xludf.dummyfunction("COUNTA(SPLIT(D150,"" ""))/COUNTA(SPLIT($B$47,"" ""))"),0.00242718446601942)</f>
        <v>0.002427184466</v>
      </c>
      <c r="F150" s="5"/>
      <c r="G150" s="5"/>
      <c r="H150" s="5"/>
      <c r="I150" s="5"/>
      <c r="J150" s="5"/>
      <c r="K150" s="50"/>
      <c r="L150" s="50"/>
      <c r="M150" s="50"/>
      <c r="N150" s="50"/>
      <c r="O150" s="50"/>
      <c r="P150" s="50"/>
      <c r="Q150" s="50"/>
      <c r="R150" s="50"/>
      <c r="S150" s="50"/>
      <c r="T150" s="50"/>
      <c r="U150" s="50"/>
      <c r="V150" s="50"/>
      <c r="W150" s="50"/>
      <c r="X150" s="50"/>
      <c r="Y150" s="50"/>
      <c r="Z150" s="50"/>
      <c r="AA150" s="50"/>
      <c r="AB150" s="50"/>
    </row>
    <row r="151" customFormat="false" ht="15.75" hidden="false" customHeight="false" outlineLevel="0" collapsed="false">
      <c r="A151" s="50"/>
      <c r="B151" s="50"/>
      <c r="C151" s="5"/>
      <c r="D151" s="48"/>
      <c r="E151" s="50"/>
      <c r="F151" s="5"/>
      <c r="G151" s="5"/>
      <c r="H151" s="5"/>
      <c r="I151" s="5"/>
      <c r="J151" s="5"/>
      <c r="K151" s="50"/>
      <c r="L151" s="50"/>
      <c r="M151" s="50"/>
      <c r="N151" s="50"/>
      <c r="O151" s="50"/>
      <c r="P151" s="50"/>
      <c r="Q151" s="50"/>
      <c r="R151" s="50"/>
      <c r="S151" s="50"/>
      <c r="T151" s="50"/>
      <c r="U151" s="50"/>
      <c r="V151" s="50"/>
      <c r="W151" s="50"/>
      <c r="X151" s="50"/>
      <c r="Y151" s="50"/>
      <c r="Z151" s="50"/>
      <c r="AA151" s="50"/>
      <c r="AB151" s="50"/>
    </row>
    <row r="152" customFormat="false" ht="15.75" hidden="false" customHeight="false" outlineLevel="0" collapsed="false">
      <c r="A152" s="71"/>
      <c r="B152" s="54"/>
      <c r="C152" s="55" t="s">
        <v>18</v>
      </c>
      <c r="D152" s="56"/>
      <c r="E152" s="72" t="n">
        <f aca="false">IFERROR(__xludf.dummyfunction("COUNTA(SPLIT(D152,"" ""))/COUNTA(SPLIT($B$47,"" ""))"),0.00242718446601942)</f>
        <v>0.002427184466</v>
      </c>
      <c r="F152" s="55"/>
      <c r="G152" s="55"/>
      <c r="H152" s="55"/>
      <c r="I152" s="55"/>
      <c r="J152" s="55"/>
      <c r="K152" s="58"/>
      <c r="L152" s="58"/>
      <c r="M152" s="58"/>
      <c r="N152" s="58"/>
      <c r="O152" s="58"/>
      <c r="P152" s="58"/>
      <c r="Q152" s="58"/>
      <c r="R152" s="58"/>
      <c r="S152" s="58"/>
      <c r="T152" s="58"/>
      <c r="U152" s="58"/>
      <c r="V152" s="58"/>
      <c r="W152" s="58"/>
      <c r="X152" s="58"/>
      <c r="Y152" s="58"/>
      <c r="Z152" s="58"/>
      <c r="AA152" s="58"/>
      <c r="AB152" s="58"/>
    </row>
    <row r="153" customFormat="false" ht="15.75" hidden="false" customHeight="false" outlineLevel="0" collapsed="false">
      <c r="A153" s="71"/>
      <c r="B153" s="71"/>
      <c r="C153" s="5" t="s">
        <v>19</v>
      </c>
      <c r="D153" s="48"/>
      <c r="E153" s="73" t="n">
        <f aca="false">IFERROR(__xludf.dummyfunction("COUNTA(SPLIT(D153,"" ""))/COUNTA(SPLIT($B$47,"" ""))"),0.00242718446601942)</f>
        <v>0.002427184466</v>
      </c>
      <c r="F153" s="5"/>
      <c r="G153" s="5"/>
      <c r="H153" s="5"/>
      <c r="I153" s="5"/>
      <c r="J153" s="5"/>
      <c r="K153" s="50"/>
      <c r="L153" s="50"/>
      <c r="M153" s="50"/>
      <c r="N153" s="50"/>
      <c r="O153" s="50"/>
      <c r="P153" s="50"/>
      <c r="Q153" s="50"/>
      <c r="R153" s="50"/>
      <c r="S153" s="50"/>
      <c r="T153" s="50"/>
      <c r="U153" s="50"/>
      <c r="V153" s="50"/>
      <c r="W153" s="50"/>
      <c r="X153" s="50"/>
      <c r="Y153" s="50"/>
      <c r="Z153" s="50"/>
      <c r="AA153" s="50"/>
      <c r="AB153" s="50"/>
    </row>
    <row r="154" customFormat="false" ht="15.75" hidden="false" customHeight="false" outlineLevel="0" collapsed="false">
      <c r="A154" s="71"/>
      <c r="B154" s="71"/>
      <c r="C154" s="5" t="s">
        <v>8</v>
      </c>
      <c r="D154" s="48"/>
      <c r="E154" s="74" t="n">
        <f aca="false">IFERROR(__xludf.dummyfunction("COUNTA(SPLIT(D154,"" ""))/COUNTA(SPLIT($B$47,"" ""))"),0.00242718446601942)</f>
        <v>0.002427184466</v>
      </c>
      <c r="F154" s="5"/>
      <c r="G154" s="5"/>
      <c r="H154" s="5"/>
      <c r="I154" s="5"/>
      <c r="J154" s="5"/>
      <c r="K154" s="50"/>
      <c r="L154" s="50"/>
      <c r="M154" s="50"/>
      <c r="N154" s="50"/>
      <c r="O154" s="50"/>
      <c r="P154" s="50"/>
      <c r="Q154" s="50"/>
      <c r="R154" s="50"/>
      <c r="S154" s="50"/>
      <c r="T154" s="50"/>
      <c r="U154" s="50"/>
      <c r="V154" s="50"/>
      <c r="W154" s="50"/>
      <c r="X154" s="50"/>
      <c r="Y154" s="50"/>
      <c r="Z154" s="50"/>
      <c r="AA154" s="50"/>
      <c r="AB154" s="50"/>
    </row>
    <row r="155" customFormat="false" ht="15.75" hidden="false" customHeight="false" outlineLevel="0" collapsed="false">
      <c r="A155" s="71"/>
      <c r="B155" s="71"/>
      <c r="C155" s="5" t="s">
        <v>20</v>
      </c>
      <c r="D155" s="48"/>
      <c r="E155" s="75" t="n">
        <f aca="false">IFERROR(__xludf.dummyfunction("COUNTA(SPLIT(D155,"" ""))/COUNTA(SPLIT($B$47,"" ""))"),0.00242718446601942)</f>
        <v>0.002427184466</v>
      </c>
      <c r="F155" s="5"/>
      <c r="G155" s="5"/>
      <c r="H155" s="5"/>
      <c r="I155" s="5"/>
      <c r="J155" s="5"/>
      <c r="K155" s="50"/>
      <c r="L155" s="50"/>
      <c r="M155" s="50"/>
      <c r="N155" s="50"/>
      <c r="O155" s="50"/>
      <c r="P155" s="50"/>
      <c r="Q155" s="50"/>
      <c r="R155" s="50"/>
      <c r="S155" s="50"/>
      <c r="T155" s="50"/>
      <c r="U155" s="50"/>
      <c r="V155" s="50"/>
      <c r="W155" s="50"/>
      <c r="X155" s="50"/>
      <c r="Y155" s="50"/>
      <c r="Z155" s="50"/>
      <c r="AA155" s="50"/>
      <c r="AB155" s="50"/>
    </row>
    <row r="156" customFormat="false" ht="15.75" hidden="false" customHeight="false" outlineLevel="0" collapsed="false">
      <c r="A156" s="50"/>
      <c r="B156" s="50"/>
      <c r="C156" s="5"/>
      <c r="D156" s="48"/>
      <c r="E156" s="50"/>
      <c r="F156" s="5"/>
      <c r="G156" s="5"/>
      <c r="H156" s="5"/>
      <c r="I156" s="5"/>
      <c r="J156" s="5"/>
      <c r="K156" s="50"/>
      <c r="L156" s="50"/>
      <c r="M156" s="50"/>
      <c r="N156" s="50"/>
      <c r="O156" s="50"/>
      <c r="P156" s="50"/>
      <c r="Q156" s="50"/>
      <c r="R156" s="50"/>
      <c r="S156" s="50"/>
      <c r="T156" s="50"/>
      <c r="U156" s="50"/>
      <c r="V156" s="50"/>
      <c r="W156" s="50"/>
      <c r="X156" s="50"/>
      <c r="Y156" s="50"/>
      <c r="Z156" s="50"/>
      <c r="AA156" s="50"/>
      <c r="AB156" s="50"/>
    </row>
    <row r="157" customFormat="false" ht="15.75" hidden="false" customHeight="false" outlineLevel="0" collapsed="false">
      <c r="A157" s="71"/>
      <c r="B157" s="54"/>
      <c r="C157" s="55" t="s">
        <v>18</v>
      </c>
      <c r="D157" s="56"/>
      <c r="E157" s="72" t="n">
        <f aca="false">IFERROR(__xludf.dummyfunction("COUNTA(SPLIT(D157,"" ""))/COUNTA(SPLIT($B$47,"" ""))"),0.00242718446601942)</f>
        <v>0.002427184466</v>
      </c>
      <c r="F157" s="55"/>
      <c r="G157" s="55"/>
      <c r="H157" s="55"/>
      <c r="I157" s="55"/>
      <c r="J157" s="55"/>
      <c r="K157" s="58"/>
      <c r="L157" s="58"/>
      <c r="M157" s="58"/>
      <c r="N157" s="58"/>
      <c r="O157" s="58"/>
      <c r="P157" s="58"/>
      <c r="Q157" s="58"/>
      <c r="R157" s="58"/>
      <c r="S157" s="58"/>
      <c r="T157" s="58"/>
      <c r="U157" s="58"/>
      <c r="V157" s="58"/>
      <c r="W157" s="58"/>
      <c r="X157" s="58"/>
      <c r="Y157" s="58"/>
      <c r="Z157" s="58"/>
      <c r="AA157" s="58"/>
      <c r="AB157" s="58"/>
    </row>
    <row r="158" customFormat="false" ht="15.75" hidden="false" customHeight="false" outlineLevel="0" collapsed="false">
      <c r="A158" s="71"/>
      <c r="B158" s="71"/>
      <c r="C158" s="5" t="s">
        <v>19</v>
      </c>
      <c r="D158" s="48"/>
      <c r="E158" s="73" t="n">
        <f aca="false">IFERROR(__xludf.dummyfunction("COUNTA(SPLIT(D158,"" ""))/COUNTA(SPLIT($B$47,"" ""))"),0.00242718446601942)</f>
        <v>0.002427184466</v>
      </c>
      <c r="F158" s="5"/>
      <c r="G158" s="5"/>
      <c r="H158" s="5"/>
      <c r="I158" s="5"/>
      <c r="J158" s="5"/>
      <c r="K158" s="50"/>
      <c r="L158" s="50"/>
      <c r="M158" s="50"/>
      <c r="N158" s="50"/>
      <c r="O158" s="50"/>
      <c r="P158" s="50"/>
      <c r="Q158" s="50"/>
      <c r="R158" s="50"/>
      <c r="S158" s="50"/>
      <c r="T158" s="50"/>
      <c r="U158" s="50"/>
      <c r="V158" s="50"/>
      <c r="W158" s="50"/>
      <c r="X158" s="50"/>
      <c r="Y158" s="50"/>
      <c r="Z158" s="50"/>
      <c r="AA158" s="50"/>
      <c r="AB158" s="50"/>
    </row>
    <row r="159" customFormat="false" ht="15.75" hidden="false" customHeight="false" outlineLevel="0" collapsed="false">
      <c r="A159" s="71"/>
      <c r="B159" s="71"/>
      <c r="C159" s="5" t="s">
        <v>8</v>
      </c>
      <c r="D159" s="48"/>
      <c r="E159" s="74" t="n">
        <f aca="false">IFERROR(__xludf.dummyfunction("COUNTA(SPLIT(D159,"" ""))/COUNTA(SPLIT($B$47,"" ""))"),0.00242718446601942)</f>
        <v>0.002427184466</v>
      </c>
      <c r="F159" s="5"/>
      <c r="G159" s="5"/>
      <c r="H159" s="5"/>
      <c r="I159" s="5"/>
      <c r="J159" s="5"/>
      <c r="K159" s="50"/>
      <c r="L159" s="50"/>
      <c r="M159" s="50"/>
      <c r="N159" s="50"/>
      <c r="O159" s="50"/>
      <c r="P159" s="50"/>
      <c r="Q159" s="50"/>
      <c r="R159" s="50"/>
      <c r="S159" s="50"/>
      <c r="T159" s="50"/>
      <c r="U159" s="50"/>
      <c r="V159" s="50"/>
      <c r="W159" s="50"/>
      <c r="X159" s="50"/>
      <c r="Y159" s="50"/>
      <c r="Z159" s="50"/>
      <c r="AA159" s="50"/>
      <c r="AB159" s="50"/>
    </row>
    <row r="160" customFormat="false" ht="15.75" hidden="false" customHeight="false" outlineLevel="0" collapsed="false">
      <c r="A160" s="71"/>
      <c r="B160" s="71"/>
      <c r="C160" s="5" t="s">
        <v>20</v>
      </c>
      <c r="D160" s="48"/>
      <c r="E160" s="75" t="n">
        <f aca="false">IFERROR(__xludf.dummyfunction("COUNTA(SPLIT(D160,"" ""))/COUNTA(SPLIT($B$47,"" ""))"),0.00242718446601942)</f>
        <v>0.002427184466</v>
      </c>
      <c r="F160" s="5"/>
      <c r="G160" s="5"/>
      <c r="H160" s="5"/>
      <c r="I160" s="5"/>
      <c r="J160" s="5"/>
      <c r="K160" s="50"/>
      <c r="L160" s="50"/>
      <c r="M160" s="50"/>
      <c r="N160" s="50"/>
      <c r="O160" s="50"/>
      <c r="P160" s="50"/>
      <c r="Q160" s="50"/>
      <c r="R160" s="50"/>
      <c r="S160" s="50"/>
      <c r="T160" s="50"/>
      <c r="U160" s="50"/>
      <c r="V160" s="50"/>
      <c r="W160" s="50"/>
      <c r="X160" s="50"/>
      <c r="Y160" s="50"/>
      <c r="Z160" s="50"/>
      <c r="AA160" s="50"/>
      <c r="AB160" s="50"/>
    </row>
    <row r="161" customFormat="false" ht="15.75" hidden="false" customHeight="false" outlineLevel="0" collapsed="false">
      <c r="A161" s="50"/>
      <c r="B161" s="50"/>
      <c r="C161" s="5"/>
      <c r="D161" s="48"/>
      <c r="E161" s="50"/>
      <c r="F161" s="5"/>
      <c r="G161" s="5"/>
      <c r="H161" s="5"/>
      <c r="I161" s="5"/>
      <c r="J161" s="5"/>
      <c r="K161" s="50"/>
      <c r="L161" s="50"/>
      <c r="M161" s="50"/>
      <c r="N161" s="50"/>
      <c r="O161" s="50"/>
      <c r="P161" s="50"/>
      <c r="Q161" s="50"/>
      <c r="R161" s="50"/>
      <c r="S161" s="50"/>
      <c r="T161" s="50"/>
      <c r="U161" s="50"/>
      <c r="V161" s="50"/>
      <c r="W161" s="50"/>
      <c r="X161" s="50"/>
      <c r="Y161" s="50"/>
      <c r="Z161" s="50"/>
      <c r="AA161" s="50"/>
      <c r="AB161" s="50"/>
    </row>
    <row r="162" customFormat="false" ht="15.75" hidden="false" customHeight="false" outlineLevel="0" collapsed="false">
      <c r="A162" s="71"/>
      <c r="B162" s="54"/>
      <c r="C162" s="55" t="s">
        <v>18</v>
      </c>
      <c r="D162" s="56"/>
      <c r="E162" s="72" t="n">
        <f aca="false">IFERROR(__xludf.dummyfunction("COUNTA(SPLIT(D162,"" ""))/COUNTA(SPLIT($B$47,"" ""))"),0.00242718446601942)</f>
        <v>0.002427184466</v>
      </c>
      <c r="F162" s="55"/>
      <c r="G162" s="55"/>
      <c r="H162" s="55"/>
      <c r="I162" s="55"/>
      <c r="J162" s="55"/>
      <c r="K162" s="58"/>
      <c r="L162" s="58"/>
      <c r="M162" s="58"/>
      <c r="N162" s="58"/>
      <c r="O162" s="58"/>
      <c r="P162" s="58"/>
      <c r="Q162" s="58"/>
      <c r="R162" s="58"/>
      <c r="S162" s="58"/>
      <c r="T162" s="58"/>
      <c r="U162" s="58"/>
      <c r="V162" s="58"/>
      <c r="W162" s="58"/>
      <c r="X162" s="58"/>
      <c r="Y162" s="58"/>
      <c r="Z162" s="58"/>
      <c r="AA162" s="58"/>
      <c r="AB162" s="58"/>
    </row>
    <row r="163" customFormat="false" ht="15.75" hidden="false" customHeight="false" outlineLevel="0" collapsed="false">
      <c r="A163" s="71"/>
      <c r="B163" s="71"/>
      <c r="C163" s="5" t="s">
        <v>19</v>
      </c>
      <c r="D163" s="48"/>
      <c r="E163" s="73" t="n">
        <f aca="false">IFERROR(__xludf.dummyfunction("COUNTA(SPLIT(D163,"" ""))/COUNTA(SPLIT($B$47,"" ""))"),0.00242718446601942)</f>
        <v>0.002427184466</v>
      </c>
      <c r="F163" s="5"/>
      <c r="G163" s="5"/>
      <c r="H163" s="5"/>
      <c r="I163" s="5"/>
      <c r="J163" s="5"/>
      <c r="K163" s="50"/>
      <c r="L163" s="50"/>
      <c r="M163" s="50"/>
      <c r="N163" s="50"/>
      <c r="O163" s="50"/>
      <c r="P163" s="50"/>
      <c r="Q163" s="50"/>
      <c r="R163" s="50"/>
      <c r="S163" s="50"/>
      <c r="T163" s="50"/>
      <c r="U163" s="50"/>
      <c r="V163" s="50"/>
      <c r="W163" s="50"/>
      <c r="X163" s="50"/>
      <c r="Y163" s="50"/>
      <c r="Z163" s="50"/>
      <c r="AA163" s="50"/>
      <c r="AB163" s="50"/>
    </row>
    <row r="164" customFormat="false" ht="15.75" hidden="false" customHeight="false" outlineLevel="0" collapsed="false">
      <c r="A164" s="71"/>
      <c r="B164" s="71"/>
      <c r="C164" s="5" t="s">
        <v>8</v>
      </c>
      <c r="D164" s="48"/>
      <c r="E164" s="74" t="n">
        <f aca="false">IFERROR(__xludf.dummyfunction("COUNTA(SPLIT(D164,"" ""))/COUNTA(SPLIT($B$47,"" ""))"),0.00242718446601942)</f>
        <v>0.002427184466</v>
      </c>
      <c r="F164" s="5"/>
      <c r="G164" s="5"/>
      <c r="H164" s="5"/>
      <c r="I164" s="5"/>
      <c r="J164" s="5"/>
      <c r="K164" s="50"/>
      <c r="L164" s="50"/>
      <c r="M164" s="50"/>
      <c r="N164" s="50"/>
      <c r="O164" s="50"/>
      <c r="P164" s="50"/>
      <c r="Q164" s="50"/>
      <c r="R164" s="50"/>
      <c r="S164" s="50"/>
      <c r="T164" s="50"/>
      <c r="U164" s="50"/>
      <c r="V164" s="50"/>
      <c r="W164" s="50"/>
      <c r="X164" s="50"/>
      <c r="Y164" s="50"/>
      <c r="Z164" s="50"/>
      <c r="AA164" s="50"/>
      <c r="AB164" s="50"/>
    </row>
    <row r="165" customFormat="false" ht="15.75" hidden="false" customHeight="false" outlineLevel="0" collapsed="false">
      <c r="A165" s="71"/>
      <c r="B165" s="71"/>
      <c r="C165" s="5" t="s">
        <v>20</v>
      </c>
      <c r="D165" s="48"/>
      <c r="E165" s="75" t="n">
        <f aca="false">IFERROR(__xludf.dummyfunction("COUNTA(SPLIT(D165,"" ""))/COUNTA(SPLIT($B$47,"" ""))"),0.00242718446601942)</f>
        <v>0.002427184466</v>
      </c>
      <c r="F165" s="5"/>
      <c r="G165" s="5"/>
      <c r="H165" s="5"/>
      <c r="I165" s="5"/>
      <c r="J165" s="5"/>
      <c r="K165" s="50"/>
      <c r="L165" s="50"/>
      <c r="M165" s="50"/>
      <c r="N165" s="50"/>
      <c r="O165" s="50"/>
      <c r="P165" s="50"/>
      <c r="Q165" s="50"/>
      <c r="R165" s="50"/>
      <c r="S165" s="50"/>
      <c r="T165" s="50"/>
      <c r="U165" s="50"/>
      <c r="V165" s="50"/>
      <c r="W165" s="50"/>
      <c r="X165" s="50"/>
      <c r="Y165" s="50"/>
      <c r="Z165" s="50"/>
      <c r="AA165" s="50"/>
      <c r="AB165" s="50"/>
    </row>
    <row r="166" customFormat="false" ht="15.75" hidden="false" customHeight="false" outlineLevel="0" collapsed="false">
      <c r="A166" s="50"/>
      <c r="B166" s="50"/>
      <c r="C166" s="5"/>
      <c r="D166" s="48"/>
      <c r="E166" s="50"/>
      <c r="F166" s="5"/>
      <c r="G166" s="5"/>
      <c r="H166" s="5"/>
      <c r="I166" s="5"/>
      <c r="J166" s="5"/>
      <c r="K166" s="50"/>
      <c r="L166" s="50"/>
      <c r="M166" s="50"/>
      <c r="N166" s="50"/>
      <c r="O166" s="50"/>
      <c r="P166" s="50"/>
      <c r="Q166" s="50"/>
      <c r="R166" s="50"/>
      <c r="S166" s="50"/>
      <c r="T166" s="50"/>
      <c r="U166" s="50"/>
      <c r="V166" s="50"/>
      <c r="W166" s="50"/>
      <c r="X166" s="50"/>
      <c r="Y166" s="50"/>
      <c r="Z166" s="50"/>
      <c r="AA166" s="50"/>
      <c r="AB166" s="50"/>
    </row>
    <row r="167" customFormat="false" ht="15.75" hidden="false" customHeight="false" outlineLevel="0" collapsed="false">
      <c r="A167" s="50"/>
      <c r="B167" s="50"/>
      <c r="C167" s="5"/>
      <c r="D167" s="48"/>
      <c r="E167" s="50"/>
      <c r="F167" s="5"/>
      <c r="G167" s="5"/>
      <c r="H167" s="5"/>
      <c r="I167" s="5"/>
      <c r="J167" s="5"/>
      <c r="K167" s="50"/>
      <c r="L167" s="50"/>
      <c r="M167" s="50"/>
      <c r="N167" s="50"/>
      <c r="O167" s="50"/>
      <c r="P167" s="50"/>
      <c r="Q167" s="50"/>
      <c r="R167" s="50"/>
      <c r="S167" s="50"/>
      <c r="T167" s="50"/>
      <c r="U167" s="50"/>
      <c r="V167" s="50"/>
      <c r="W167" s="50"/>
      <c r="X167" s="50"/>
      <c r="Y167" s="50"/>
      <c r="Z167" s="50"/>
      <c r="AA167" s="50"/>
      <c r="AB167" s="50"/>
    </row>
    <row r="168" customFormat="false" ht="15.75" hidden="false" customHeight="false" outlineLevel="0" collapsed="false">
      <c r="A168" s="50"/>
      <c r="B168" s="50"/>
      <c r="C168" s="5"/>
      <c r="D168" s="48"/>
      <c r="E168" s="50"/>
      <c r="F168" s="5"/>
      <c r="G168" s="5"/>
      <c r="H168" s="5"/>
      <c r="I168" s="5"/>
      <c r="J168" s="5"/>
      <c r="K168" s="50"/>
      <c r="L168" s="50"/>
      <c r="M168" s="50"/>
      <c r="N168" s="50"/>
      <c r="O168" s="50"/>
      <c r="P168" s="50"/>
      <c r="Q168" s="50"/>
      <c r="R168" s="50"/>
      <c r="S168" s="50"/>
      <c r="T168" s="50"/>
      <c r="U168" s="50"/>
      <c r="V168" s="50"/>
      <c r="W168" s="50"/>
      <c r="X168" s="50"/>
      <c r="Y168" s="50"/>
      <c r="Z168" s="50"/>
      <c r="AA168" s="50"/>
      <c r="AB168" s="50"/>
    </row>
    <row r="169" customFormat="false" ht="15.75" hidden="false" customHeight="false" outlineLevel="0" collapsed="false">
      <c r="A169" s="50"/>
      <c r="B169" s="50"/>
      <c r="C169" s="5"/>
      <c r="D169" s="48"/>
      <c r="E169" s="50"/>
      <c r="F169" s="5"/>
      <c r="G169" s="5"/>
      <c r="H169" s="5"/>
      <c r="I169" s="5"/>
      <c r="J169" s="5"/>
      <c r="K169" s="50"/>
      <c r="L169" s="50"/>
      <c r="M169" s="50"/>
      <c r="N169" s="50"/>
      <c r="O169" s="50"/>
      <c r="P169" s="50"/>
      <c r="Q169" s="50"/>
      <c r="R169" s="50"/>
      <c r="S169" s="50"/>
      <c r="T169" s="50"/>
      <c r="U169" s="50"/>
      <c r="V169" s="50"/>
      <c r="W169" s="50"/>
      <c r="X169" s="50"/>
      <c r="Y169" s="50"/>
      <c r="Z169" s="50"/>
      <c r="AA169" s="50"/>
      <c r="AB169" s="50"/>
    </row>
    <row r="170" customFormat="false" ht="15.75" hidden="false" customHeight="false" outlineLevel="0" collapsed="false">
      <c r="A170" s="50"/>
      <c r="B170" s="50"/>
      <c r="C170" s="5"/>
      <c r="D170" s="48"/>
      <c r="E170" s="50"/>
      <c r="F170" s="5"/>
      <c r="G170" s="5"/>
      <c r="H170" s="5"/>
      <c r="I170" s="5"/>
      <c r="J170" s="5"/>
      <c r="K170" s="50"/>
      <c r="L170" s="50"/>
      <c r="M170" s="50"/>
      <c r="N170" s="50"/>
      <c r="O170" s="50"/>
      <c r="P170" s="50"/>
      <c r="Q170" s="50"/>
      <c r="R170" s="50"/>
      <c r="S170" s="50"/>
      <c r="T170" s="50"/>
      <c r="U170" s="50"/>
      <c r="V170" s="50"/>
      <c r="W170" s="50"/>
      <c r="X170" s="50"/>
      <c r="Y170" s="50"/>
      <c r="Z170" s="50"/>
      <c r="AA170" s="50"/>
      <c r="AB170" s="50"/>
    </row>
    <row r="171" customFormat="false" ht="15.75" hidden="false" customHeight="false" outlineLevel="0" collapsed="false">
      <c r="A171" s="50"/>
      <c r="B171" s="50"/>
      <c r="C171" s="5"/>
      <c r="D171" s="48"/>
      <c r="E171" s="50"/>
      <c r="F171" s="5"/>
      <c r="G171" s="5"/>
      <c r="H171" s="5"/>
      <c r="I171" s="5"/>
      <c r="J171" s="5"/>
      <c r="K171" s="50"/>
      <c r="L171" s="50"/>
      <c r="M171" s="50"/>
      <c r="N171" s="50"/>
      <c r="O171" s="50"/>
      <c r="P171" s="50"/>
      <c r="Q171" s="50"/>
      <c r="R171" s="50"/>
      <c r="S171" s="50"/>
      <c r="T171" s="50"/>
      <c r="U171" s="50"/>
      <c r="V171" s="50"/>
      <c r="W171" s="50"/>
      <c r="X171" s="50"/>
      <c r="Y171" s="50"/>
      <c r="Z171" s="50"/>
      <c r="AA171" s="50"/>
      <c r="AB171" s="50"/>
    </row>
    <row r="172" customFormat="false" ht="15.75" hidden="false" customHeight="false" outlineLevel="0" collapsed="false">
      <c r="A172" s="50"/>
      <c r="B172" s="50"/>
      <c r="C172" s="5"/>
      <c r="D172" s="48"/>
      <c r="E172" s="50"/>
      <c r="F172" s="5"/>
      <c r="G172" s="5"/>
      <c r="H172" s="5"/>
      <c r="I172" s="5"/>
      <c r="J172" s="5"/>
      <c r="K172" s="50"/>
      <c r="L172" s="50"/>
      <c r="M172" s="50"/>
      <c r="N172" s="50"/>
      <c r="O172" s="50"/>
      <c r="P172" s="50"/>
      <c r="Q172" s="50"/>
      <c r="R172" s="50"/>
      <c r="S172" s="50"/>
      <c r="T172" s="50"/>
      <c r="U172" s="50"/>
      <c r="V172" s="50"/>
      <c r="W172" s="50"/>
      <c r="X172" s="50"/>
      <c r="Y172" s="50"/>
      <c r="Z172" s="50"/>
      <c r="AA172" s="50"/>
      <c r="AB172" s="50"/>
    </row>
    <row r="173" customFormat="false" ht="15.75" hidden="false" customHeight="false" outlineLevel="0" collapsed="false">
      <c r="A173" s="50"/>
      <c r="B173" s="50"/>
      <c r="C173" s="5"/>
      <c r="D173" s="48"/>
      <c r="E173" s="50"/>
      <c r="F173" s="5"/>
      <c r="G173" s="5"/>
      <c r="H173" s="5"/>
      <c r="I173" s="5"/>
      <c r="J173" s="5"/>
      <c r="K173" s="50"/>
      <c r="L173" s="50"/>
      <c r="M173" s="50"/>
      <c r="N173" s="50"/>
      <c r="O173" s="50"/>
      <c r="P173" s="50"/>
      <c r="Q173" s="50"/>
      <c r="R173" s="50"/>
      <c r="S173" s="50"/>
      <c r="T173" s="50"/>
      <c r="U173" s="50"/>
      <c r="V173" s="50"/>
      <c r="W173" s="50"/>
      <c r="X173" s="50"/>
      <c r="Y173" s="50"/>
      <c r="Z173" s="50"/>
      <c r="AA173" s="50"/>
      <c r="AB173" s="50"/>
    </row>
    <row r="174" customFormat="false" ht="15.75" hidden="false" customHeight="false" outlineLevel="0" collapsed="false">
      <c r="A174" s="50"/>
      <c r="B174" s="50"/>
      <c r="C174" s="5"/>
      <c r="D174" s="48"/>
      <c r="E174" s="50"/>
      <c r="F174" s="5"/>
      <c r="G174" s="5"/>
      <c r="H174" s="5"/>
      <c r="I174" s="5"/>
      <c r="J174" s="5"/>
      <c r="K174" s="50"/>
      <c r="L174" s="50"/>
      <c r="M174" s="50"/>
      <c r="N174" s="50"/>
      <c r="O174" s="50"/>
      <c r="P174" s="50"/>
      <c r="Q174" s="50"/>
      <c r="R174" s="50"/>
      <c r="S174" s="50"/>
      <c r="T174" s="50"/>
      <c r="U174" s="50"/>
      <c r="V174" s="50"/>
      <c r="W174" s="50"/>
      <c r="X174" s="50"/>
      <c r="Y174" s="50"/>
      <c r="Z174" s="50"/>
      <c r="AA174" s="50"/>
      <c r="AB174" s="50"/>
    </row>
    <row r="175" customFormat="false" ht="15.75" hidden="false" customHeight="false" outlineLevel="0" collapsed="false">
      <c r="A175" s="50"/>
      <c r="B175" s="50"/>
      <c r="C175" s="5"/>
      <c r="D175" s="48"/>
      <c r="E175" s="50"/>
      <c r="F175" s="5"/>
      <c r="G175" s="5"/>
      <c r="H175" s="5"/>
      <c r="I175" s="5"/>
      <c r="J175" s="5"/>
      <c r="K175" s="50"/>
      <c r="L175" s="50"/>
      <c r="M175" s="50"/>
      <c r="N175" s="50"/>
      <c r="O175" s="50"/>
      <c r="P175" s="50"/>
      <c r="Q175" s="50"/>
      <c r="R175" s="50"/>
      <c r="S175" s="50"/>
      <c r="T175" s="50"/>
      <c r="U175" s="50"/>
      <c r="V175" s="50"/>
      <c r="W175" s="50"/>
      <c r="X175" s="50"/>
      <c r="Y175" s="50"/>
      <c r="Z175" s="50"/>
      <c r="AA175" s="50"/>
      <c r="AB175" s="50"/>
    </row>
    <row r="176" customFormat="false" ht="15.75" hidden="false" customHeight="false" outlineLevel="0" collapsed="false">
      <c r="A176" s="50"/>
      <c r="B176" s="50"/>
      <c r="C176" s="5"/>
      <c r="D176" s="48"/>
      <c r="E176" s="50"/>
      <c r="F176" s="5"/>
      <c r="G176" s="5"/>
      <c r="H176" s="5"/>
      <c r="I176" s="5"/>
      <c r="J176" s="5"/>
      <c r="K176" s="50"/>
      <c r="L176" s="50"/>
      <c r="M176" s="50"/>
      <c r="N176" s="50"/>
      <c r="O176" s="50"/>
      <c r="P176" s="50"/>
      <c r="Q176" s="50"/>
      <c r="R176" s="50"/>
      <c r="S176" s="50"/>
      <c r="T176" s="50"/>
      <c r="U176" s="50"/>
      <c r="V176" s="50"/>
      <c r="W176" s="50"/>
      <c r="X176" s="50"/>
      <c r="Y176" s="50"/>
      <c r="Z176" s="50"/>
      <c r="AA176" s="50"/>
      <c r="AB176" s="50"/>
    </row>
    <row r="177" customFormat="false" ht="15.75" hidden="false" customHeight="false" outlineLevel="0" collapsed="false">
      <c r="A177" s="50"/>
      <c r="B177" s="50"/>
      <c r="C177" s="5"/>
      <c r="D177" s="48"/>
      <c r="E177" s="50"/>
      <c r="F177" s="5"/>
      <c r="G177" s="5"/>
      <c r="H177" s="5"/>
      <c r="I177" s="5"/>
      <c r="J177" s="5"/>
      <c r="K177" s="50"/>
      <c r="L177" s="50"/>
      <c r="M177" s="50"/>
      <c r="N177" s="50"/>
      <c r="O177" s="50"/>
      <c r="P177" s="50"/>
      <c r="Q177" s="50"/>
      <c r="R177" s="50"/>
      <c r="S177" s="50"/>
      <c r="T177" s="50"/>
      <c r="U177" s="50"/>
      <c r="V177" s="50"/>
      <c r="W177" s="50"/>
      <c r="X177" s="50"/>
      <c r="Y177" s="50"/>
      <c r="Z177" s="50"/>
      <c r="AA177" s="50"/>
      <c r="AB177" s="50"/>
    </row>
    <row r="178" customFormat="false" ht="15.75" hidden="false" customHeight="false" outlineLevel="0" collapsed="false">
      <c r="A178" s="50"/>
      <c r="B178" s="50"/>
      <c r="C178" s="5"/>
      <c r="D178" s="48"/>
      <c r="E178" s="50"/>
      <c r="F178" s="5"/>
      <c r="G178" s="5"/>
      <c r="H178" s="5"/>
      <c r="I178" s="5"/>
      <c r="J178" s="5"/>
      <c r="K178" s="50"/>
      <c r="L178" s="50"/>
      <c r="M178" s="50"/>
      <c r="N178" s="50"/>
      <c r="O178" s="50"/>
      <c r="P178" s="50"/>
      <c r="Q178" s="50"/>
      <c r="R178" s="50"/>
      <c r="S178" s="50"/>
      <c r="T178" s="50"/>
      <c r="U178" s="50"/>
      <c r="V178" s="50"/>
      <c r="W178" s="50"/>
      <c r="X178" s="50"/>
      <c r="Y178" s="50"/>
      <c r="Z178" s="50"/>
      <c r="AA178" s="50"/>
      <c r="AB178" s="50"/>
    </row>
    <row r="179" customFormat="false" ht="15.75" hidden="false" customHeight="false" outlineLevel="0" collapsed="false">
      <c r="A179" s="50"/>
      <c r="B179" s="50"/>
      <c r="C179" s="5"/>
      <c r="D179" s="48"/>
      <c r="E179" s="50"/>
      <c r="F179" s="5"/>
      <c r="G179" s="5"/>
      <c r="H179" s="5"/>
      <c r="I179" s="5"/>
      <c r="J179" s="5"/>
      <c r="K179" s="50"/>
      <c r="L179" s="50"/>
      <c r="M179" s="50"/>
      <c r="N179" s="50"/>
      <c r="O179" s="50"/>
      <c r="P179" s="50"/>
      <c r="Q179" s="50"/>
      <c r="R179" s="50"/>
      <c r="S179" s="50"/>
      <c r="T179" s="50"/>
      <c r="U179" s="50"/>
      <c r="V179" s="50"/>
      <c r="W179" s="50"/>
      <c r="X179" s="50"/>
      <c r="Y179" s="50"/>
      <c r="Z179" s="50"/>
      <c r="AA179" s="50"/>
      <c r="AB179" s="50"/>
    </row>
    <row r="180" customFormat="false" ht="15.75" hidden="false" customHeight="false" outlineLevel="0" collapsed="false">
      <c r="A180" s="50"/>
      <c r="B180" s="50"/>
      <c r="C180" s="5"/>
      <c r="D180" s="48"/>
      <c r="E180" s="50"/>
      <c r="F180" s="5"/>
      <c r="G180" s="5"/>
      <c r="H180" s="5"/>
      <c r="I180" s="5"/>
      <c r="J180" s="5"/>
      <c r="K180" s="50"/>
      <c r="L180" s="50"/>
      <c r="M180" s="50"/>
      <c r="N180" s="50"/>
      <c r="O180" s="50"/>
      <c r="P180" s="50"/>
      <c r="Q180" s="50"/>
      <c r="R180" s="50"/>
      <c r="S180" s="50"/>
      <c r="T180" s="50"/>
      <c r="U180" s="50"/>
      <c r="V180" s="50"/>
      <c r="W180" s="50"/>
      <c r="X180" s="50"/>
      <c r="Y180" s="50"/>
      <c r="Z180" s="50"/>
      <c r="AA180" s="50"/>
      <c r="AB180" s="50"/>
    </row>
    <row r="181" customFormat="false" ht="15.75" hidden="false" customHeight="false" outlineLevel="0" collapsed="false">
      <c r="A181" s="50"/>
      <c r="B181" s="50"/>
      <c r="C181" s="5"/>
      <c r="D181" s="48"/>
      <c r="E181" s="50"/>
      <c r="F181" s="5"/>
      <c r="G181" s="5"/>
      <c r="H181" s="5"/>
      <c r="I181" s="5"/>
      <c r="J181" s="5"/>
      <c r="K181" s="50"/>
      <c r="L181" s="50"/>
      <c r="M181" s="50"/>
      <c r="N181" s="50"/>
      <c r="O181" s="50"/>
      <c r="P181" s="50"/>
      <c r="Q181" s="50"/>
      <c r="R181" s="50"/>
      <c r="S181" s="50"/>
      <c r="T181" s="50"/>
      <c r="U181" s="50"/>
      <c r="V181" s="50"/>
      <c r="W181" s="50"/>
      <c r="X181" s="50"/>
      <c r="Y181" s="50"/>
      <c r="Z181" s="50"/>
      <c r="AA181" s="50"/>
      <c r="AB181" s="50"/>
    </row>
    <row r="182" customFormat="false" ht="15.75" hidden="false" customHeight="false" outlineLevel="0" collapsed="false">
      <c r="A182" s="50"/>
      <c r="B182" s="50"/>
      <c r="C182" s="5"/>
      <c r="D182" s="48"/>
      <c r="E182" s="50"/>
      <c r="F182" s="5"/>
      <c r="G182" s="5"/>
      <c r="H182" s="5"/>
      <c r="I182" s="5"/>
      <c r="J182" s="5"/>
      <c r="K182" s="50"/>
      <c r="L182" s="50"/>
      <c r="M182" s="50"/>
      <c r="N182" s="50"/>
      <c r="O182" s="50"/>
      <c r="P182" s="50"/>
      <c r="Q182" s="50"/>
      <c r="R182" s="50"/>
      <c r="S182" s="50"/>
      <c r="T182" s="50"/>
      <c r="U182" s="50"/>
      <c r="V182" s="50"/>
      <c r="W182" s="50"/>
      <c r="X182" s="50"/>
      <c r="Y182" s="50"/>
      <c r="Z182" s="50"/>
      <c r="AA182" s="50"/>
      <c r="AB182" s="50"/>
    </row>
    <row r="183" customFormat="false" ht="15.75" hidden="false" customHeight="false" outlineLevel="0" collapsed="false">
      <c r="A183" s="50"/>
      <c r="B183" s="50"/>
      <c r="C183" s="5"/>
      <c r="D183" s="48"/>
      <c r="E183" s="50"/>
      <c r="F183" s="5"/>
      <c r="G183" s="5"/>
      <c r="H183" s="5"/>
      <c r="I183" s="5"/>
      <c r="J183" s="5"/>
      <c r="K183" s="50"/>
      <c r="L183" s="50"/>
      <c r="M183" s="50"/>
      <c r="N183" s="50"/>
      <c r="O183" s="50"/>
      <c r="P183" s="50"/>
      <c r="Q183" s="50"/>
      <c r="R183" s="50"/>
      <c r="S183" s="50"/>
      <c r="T183" s="50"/>
      <c r="U183" s="50"/>
      <c r="V183" s="50"/>
      <c r="W183" s="50"/>
      <c r="X183" s="50"/>
      <c r="Y183" s="50"/>
      <c r="Z183" s="50"/>
      <c r="AA183" s="50"/>
      <c r="AB183" s="50"/>
    </row>
    <row r="184" customFormat="false" ht="15.75" hidden="false" customHeight="false" outlineLevel="0" collapsed="false">
      <c r="A184" s="50"/>
      <c r="B184" s="50"/>
      <c r="C184" s="5"/>
      <c r="D184" s="48"/>
      <c r="E184" s="50"/>
      <c r="F184" s="5"/>
      <c r="G184" s="5"/>
      <c r="H184" s="5"/>
      <c r="I184" s="5"/>
      <c r="J184" s="5"/>
      <c r="K184" s="50"/>
      <c r="L184" s="50"/>
      <c r="M184" s="50"/>
      <c r="N184" s="50"/>
      <c r="O184" s="50"/>
      <c r="P184" s="50"/>
      <c r="Q184" s="50"/>
      <c r="R184" s="50"/>
      <c r="S184" s="50"/>
      <c r="T184" s="50"/>
      <c r="U184" s="50"/>
      <c r="V184" s="50"/>
      <c r="W184" s="50"/>
      <c r="X184" s="50"/>
      <c r="Y184" s="50"/>
      <c r="Z184" s="50"/>
      <c r="AA184" s="50"/>
      <c r="AB184" s="50"/>
    </row>
    <row r="185" customFormat="false" ht="15.75" hidden="false" customHeight="false" outlineLevel="0" collapsed="false">
      <c r="A185" s="50"/>
      <c r="B185" s="50"/>
      <c r="C185" s="5"/>
      <c r="D185" s="48"/>
      <c r="E185" s="50"/>
      <c r="F185" s="5"/>
      <c r="G185" s="5"/>
      <c r="H185" s="5"/>
      <c r="I185" s="5"/>
      <c r="J185" s="5"/>
      <c r="K185" s="50"/>
      <c r="L185" s="50"/>
      <c r="M185" s="50"/>
      <c r="N185" s="50"/>
      <c r="O185" s="50"/>
      <c r="P185" s="50"/>
      <c r="Q185" s="50"/>
      <c r="R185" s="50"/>
      <c r="S185" s="50"/>
      <c r="T185" s="50"/>
      <c r="U185" s="50"/>
      <c r="V185" s="50"/>
      <c r="W185" s="50"/>
      <c r="X185" s="50"/>
      <c r="Y185" s="50"/>
      <c r="Z185" s="50"/>
      <c r="AA185" s="50"/>
      <c r="AB185" s="50"/>
    </row>
    <row r="186" customFormat="false" ht="15.75" hidden="false" customHeight="false" outlineLevel="0" collapsed="false">
      <c r="A186" s="50"/>
      <c r="B186" s="50"/>
      <c r="C186" s="5"/>
      <c r="D186" s="48"/>
      <c r="E186" s="50"/>
      <c r="F186" s="5"/>
      <c r="G186" s="5"/>
      <c r="H186" s="5"/>
      <c r="I186" s="5"/>
      <c r="J186" s="5"/>
      <c r="K186" s="50"/>
      <c r="L186" s="50"/>
      <c r="M186" s="50"/>
      <c r="N186" s="50"/>
      <c r="O186" s="50"/>
      <c r="P186" s="50"/>
      <c r="Q186" s="50"/>
      <c r="R186" s="50"/>
      <c r="S186" s="50"/>
      <c r="T186" s="50"/>
      <c r="U186" s="50"/>
      <c r="V186" s="50"/>
      <c r="W186" s="50"/>
      <c r="X186" s="50"/>
      <c r="Y186" s="50"/>
      <c r="Z186" s="50"/>
      <c r="AA186" s="50"/>
      <c r="AB186" s="50"/>
    </row>
    <row r="187" customFormat="false" ht="15.75" hidden="false" customHeight="false" outlineLevel="0" collapsed="false">
      <c r="A187" s="50"/>
      <c r="B187" s="50"/>
      <c r="C187" s="5"/>
      <c r="D187" s="48"/>
      <c r="E187" s="50"/>
      <c r="F187" s="5"/>
      <c r="G187" s="5"/>
      <c r="H187" s="5"/>
      <c r="I187" s="5"/>
      <c r="J187" s="5"/>
      <c r="K187" s="50"/>
      <c r="L187" s="50"/>
      <c r="M187" s="50"/>
      <c r="N187" s="50"/>
      <c r="O187" s="50"/>
      <c r="P187" s="50"/>
      <c r="Q187" s="50"/>
      <c r="R187" s="50"/>
      <c r="S187" s="50"/>
      <c r="T187" s="50"/>
      <c r="U187" s="50"/>
      <c r="V187" s="50"/>
      <c r="W187" s="50"/>
      <c r="X187" s="50"/>
      <c r="Y187" s="50"/>
      <c r="Z187" s="50"/>
      <c r="AA187" s="50"/>
      <c r="AB187" s="50"/>
    </row>
    <row r="188" customFormat="false" ht="15.75" hidden="false" customHeight="false" outlineLevel="0" collapsed="false">
      <c r="A188" s="50"/>
      <c r="B188" s="50"/>
      <c r="C188" s="5"/>
      <c r="D188" s="48"/>
      <c r="E188" s="50"/>
      <c r="F188" s="5"/>
      <c r="G188" s="5"/>
      <c r="H188" s="5"/>
      <c r="I188" s="5"/>
      <c r="J188" s="5"/>
      <c r="K188" s="50"/>
      <c r="L188" s="50"/>
      <c r="M188" s="50"/>
      <c r="N188" s="50"/>
      <c r="O188" s="50"/>
      <c r="P188" s="50"/>
      <c r="Q188" s="50"/>
      <c r="R188" s="50"/>
      <c r="S188" s="50"/>
      <c r="T188" s="50"/>
      <c r="U188" s="50"/>
      <c r="V188" s="50"/>
      <c r="W188" s="50"/>
      <c r="X188" s="50"/>
      <c r="Y188" s="50"/>
      <c r="Z188" s="50"/>
      <c r="AA188" s="50"/>
      <c r="AB188" s="50"/>
    </row>
    <row r="189" customFormat="false" ht="15.75" hidden="false" customHeight="false" outlineLevel="0" collapsed="false">
      <c r="A189" s="50"/>
      <c r="B189" s="50"/>
      <c r="C189" s="5"/>
      <c r="D189" s="48"/>
      <c r="E189" s="50"/>
      <c r="F189" s="5"/>
      <c r="G189" s="5"/>
      <c r="H189" s="5"/>
      <c r="I189" s="5"/>
      <c r="J189" s="5"/>
      <c r="K189" s="50"/>
      <c r="L189" s="50"/>
      <c r="M189" s="50"/>
      <c r="N189" s="50"/>
      <c r="O189" s="50"/>
      <c r="P189" s="50"/>
      <c r="Q189" s="50"/>
      <c r="R189" s="50"/>
      <c r="S189" s="50"/>
      <c r="T189" s="50"/>
      <c r="U189" s="50"/>
      <c r="V189" s="50"/>
      <c r="W189" s="50"/>
      <c r="X189" s="50"/>
      <c r="Y189" s="50"/>
      <c r="Z189" s="50"/>
      <c r="AA189" s="50"/>
      <c r="AB189" s="50"/>
    </row>
    <row r="190" customFormat="false" ht="15.75" hidden="false" customHeight="false" outlineLevel="0" collapsed="false">
      <c r="A190" s="50"/>
      <c r="B190" s="50"/>
      <c r="C190" s="5"/>
      <c r="D190" s="48"/>
      <c r="E190" s="50"/>
      <c r="F190" s="5"/>
      <c r="G190" s="5"/>
      <c r="H190" s="5"/>
      <c r="I190" s="5"/>
      <c r="J190" s="5"/>
      <c r="K190" s="50"/>
      <c r="L190" s="50"/>
      <c r="M190" s="50"/>
      <c r="N190" s="50"/>
      <c r="O190" s="50"/>
      <c r="P190" s="50"/>
      <c r="Q190" s="50"/>
      <c r="R190" s="50"/>
      <c r="S190" s="50"/>
      <c r="T190" s="50"/>
      <c r="U190" s="50"/>
      <c r="V190" s="50"/>
      <c r="W190" s="50"/>
      <c r="X190" s="50"/>
      <c r="Y190" s="50"/>
      <c r="Z190" s="50"/>
      <c r="AA190" s="50"/>
      <c r="AB190" s="50"/>
    </row>
    <row r="191" customFormat="false" ht="15.75" hidden="false" customHeight="false" outlineLevel="0" collapsed="false">
      <c r="A191" s="50"/>
      <c r="B191" s="50"/>
      <c r="C191" s="5"/>
      <c r="D191" s="48"/>
      <c r="E191" s="50"/>
      <c r="F191" s="5"/>
      <c r="G191" s="5"/>
      <c r="H191" s="5"/>
      <c r="I191" s="5"/>
      <c r="J191" s="5"/>
      <c r="K191" s="50"/>
      <c r="L191" s="50"/>
      <c r="M191" s="50"/>
      <c r="N191" s="50"/>
      <c r="O191" s="50"/>
      <c r="P191" s="50"/>
      <c r="Q191" s="50"/>
      <c r="R191" s="50"/>
      <c r="S191" s="50"/>
      <c r="T191" s="50"/>
      <c r="U191" s="50"/>
      <c r="V191" s="50"/>
      <c r="W191" s="50"/>
      <c r="X191" s="50"/>
      <c r="Y191" s="50"/>
      <c r="Z191" s="50"/>
      <c r="AA191" s="50"/>
      <c r="AB191" s="50"/>
    </row>
    <row r="192" customFormat="false" ht="15.75" hidden="false" customHeight="false" outlineLevel="0" collapsed="false">
      <c r="A192" s="50"/>
      <c r="B192" s="50"/>
      <c r="C192" s="5"/>
      <c r="D192" s="48"/>
      <c r="E192" s="50"/>
      <c r="F192" s="5"/>
      <c r="G192" s="5"/>
      <c r="H192" s="5"/>
      <c r="I192" s="5"/>
      <c r="J192" s="5"/>
      <c r="K192" s="50"/>
      <c r="L192" s="50"/>
      <c r="M192" s="50"/>
      <c r="N192" s="50"/>
      <c r="O192" s="50"/>
      <c r="P192" s="50"/>
      <c r="Q192" s="50"/>
      <c r="R192" s="50"/>
      <c r="S192" s="50"/>
      <c r="T192" s="50"/>
      <c r="U192" s="50"/>
      <c r="V192" s="50"/>
      <c r="W192" s="50"/>
      <c r="X192" s="50"/>
      <c r="Y192" s="50"/>
      <c r="Z192" s="50"/>
      <c r="AA192" s="50"/>
      <c r="AB192" s="50"/>
    </row>
    <row r="193" customFormat="false" ht="15.75" hidden="false" customHeight="false" outlineLevel="0" collapsed="false">
      <c r="A193" s="50"/>
      <c r="B193" s="50"/>
      <c r="C193" s="5"/>
      <c r="D193" s="48"/>
      <c r="E193" s="50"/>
      <c r="F193" s="5"/>
      <c r="G193" s="5"/>
      <c r="H193" s="5"/>
      <c r="I193" s="5"/>
      <c r="J193" s="5"/>
      <c r="K193" s="50"/>
      <c r="L193" s="50"/>
      <c r="M193" s="50"/>
      <c r="N193" s="50"/>
      <c r="O193" s="50"/>
      <c r="P193" s="50"/>
      <c r="Q193" s="50"/>
      <c r="R193" s="50"/>
      <c r="S193" s="50"/>
      <c r="T193" s="50"/>
      <c r="U193" s="50"/>
      <c r="V193" s="50"/>
      <c r="W193" s="50"/>
      <c r="X193" s="50"/>
      <c r="Y193" s="50"/>
      <c r="Z193" s="50"/>
      <c r="AA193" s="50"/>
      <c r="AB193" s="50"/>
    </row>
    <row r="194" customFormat="false" ht="15.75" hidden="false" customHeight="false" outlineLevel="0" collapsed="false">
      <c r="A194" s="50"/>
      <c r="B194" s="50"/>
      <c r="C194" s="5"/>
      <c r="D194" s="48"/>
      <c r="E194" s="50"/>
      <c r="F194" s="5"/>
      <c r="G194" s="5"/>
      <c r="H194" s="5"/>
      <c r="I194" s="5"/>
      <c r="J194" s="5"/>
      <c r="K194" s="50"/>
      <c r="L194" s="50"/>
      <c r="M194" s="50"/>
      <c r="N194" s="50"/>
      <c r="O194" s="50"/>
      <c r="P194" s="50"/>
      <c r="Q194" s="50"/>
      <c r="R194" s="50"/>
      <c r="S194" s="50"/>
      <c r="T194" s="50"/>
      <c r="U194" s="50"/>
      <c r="V194" s="50"/>
      <c r="W194" s="50"/>
      <c r="X194" s="50"/>
      <c r="Y194" s="50"/>
      <c r="Z194" s="50"/>
      <c r="AA194" s="50"/>
      <c r="AB194" s="50"/>
    </row>
    <row r="195" customFormat="false" ht="15.75" hidden="false" customHeight="false" outlineLevel="0" collapsed="false">
      <c r="A195" s="50"/>
      <c r="B195" s="50"/>
      <c r="C195" s="5"/>
      <c r="D195" s="48"/>
      <c r="E195" s="50"/>
      <c r="F195" s="5"/>
      <c r="G195" s="5"/>
      <c r="H195" s="5"/>
      <c r="I195" s="5"/>
      <c r="J195" s="5"/>
      <c r="K195" s="50"/>
      <c r="L195" s="50"/>
      <c r="M195" s="50"/>
      <c r="N195" s="50"/>
      <c r="O195" s="50"/>
      <c r="P195" s="50"/>
      <c r="Q195" s="50"/>
      <c r="R195" s="50"/>
      <c r="S195" s="50"/>
      <c r="T195" s="50"/>
      <c r="U195" s="50"/>
      <c r="V195" s="50"/>
      <c r="W195" s="50"/>
      <c r="X195" s="50"/>
      <c r="Y195" s="50"/>
      <c r="Z195" s="50"/>
      <c r="AA195" s="50"/>
      <c r="AB195" s="50"/>
    </row>
    <row r="196" customFormat="false" ht="15.75" hidden="false" customHeight="false" outlineLevel="0" collapsed="false">
      <c r="A196" s="50"/>
      <c r="B196" s="50"/>
      <c r="C196" s="5"/>
      <c r="D196" s="48"/>
      <c r="E196" s="50"/>
      <c r="F196" s="5"/>
      <c r="G196" s="5"/>
      <c r="H196" s="5"/>
      <c r="I196" s="5"/>
      <c r="J196" s="5"/>
      <c r="K196" s="50"/>
      <c r="L196" s="50"/>
      <c r="M196" s="50"/>
      <c r="N196" s="50"/>
      <c r="O196" s="50"/>
      <c r="P196" s="50"/>
      <c r="Q196" s="50"/>
      <c r="R196" s="50"/>
      <c r="S196" s="50"/>
      <c r="T196" s="50"/>
      <c r="U196" s="50"/>
      <c r="V196" s="50"/>
      <c r="W196" s="50"/>
      <c r="X196" s="50"/>
      <c r="Y196" s="50"/>
      <c r="Z196" s="50"/>
      <c r="AA196" s="50"/>
      <c r="AB196" s="50"/>
    </row>
    <row r="197" customFormat="false" ht="15.75" hidden="false" customHeight="false" outlineLevel="0" collapsed="false">
      <c r="A197" s="50"/>
      <c r="B197" s="50"/>
      <c r="C197" s="5"/>
      <c r="D197" s="48"/>
      <c r="E197" s="50"/>
      <c r="F197" s="5"/>
      <c r="G197" s="5"/>
      <c r="H197" s="5"/>
      <c r="I197" s="5"/>
      <c r="J197" s="5"/>
      <c r="K197" s="50"/>
      <c r="L197" s="50"/>
      <c r="M197" s="50"/>
      <c r="N197" s="50"/>
      <c r="O197" s="50"/>
      <c r="P197" s="50"/>
      <c r="Q197" s="50"/>
      <c r="R197" s="50"/>
      <c r="S197" s="50"/>
      <c r="T197" s="50"/>
      <c r="U197" s="50"/>
      <c r="V197" s="50"/>
      <c r="W197" s="50"/>
      <c r="X197" s="50"/>
      <c r="Y197" s="50"/>
      <c r="Z197" s="50"/>
      <c r="AA197" s="50"/>
      <c r="AB197" s="50"/>
    </row>
    <row r="198" customFormat="false" ht="15.75" hidden="false" customHeight="false" outlineLevel="0" collapsed="false">
      <c r="A198" s="50"/>
      <c r="B198" s="50"/>
      <c r="C198" s="5"/>
      <c r="D198" s="48"/>
      <c r="E198" s="50"/>
      <c r="F198" s="5"/>
      <c r="G198" s="5"/>
      <c r="H198" s="5"/>
      <c r="I198" s="5"/>
      <c r="J198" s="5"/>
      <c r="K198" s="50"/>
      <c r="L198" s="50"/>
      <c r="M198" s="50"/>
      <c r="N198" s="50"/>
      <c r="O198" s="50"/>
      <c r="P198" s="50"/>
      <c r="Q198" s="50"/>
      <c r="R198" s="50"/>
      <c r="S198" s="50"/>
      <c r="T198" s="50"/>
      <c r="U198" s="50"/>
      <c r="V198" s="50"/>
      <c r="W198" s="50"/>
      <c r="X198" s="50"/>
      <c r="Y198" s="50"/>
      <c r="Z198" s="50"/>
      <c r="AA198" s="50"/>
      <c r="AB198" s="50"/>
    </row>
    <row r="199" customFormat="false" ht="15.75" hidden="false" customHeight="false" outlineLevel="0" collapsed="false">
      <c r="A199" s="50"/>
      <c r="B199" s="50"/>
      <c r="C199" s="5"/>
      <c r="D199" s="48"/>
      <c r="E199" s="50"/>
      <c r="F199" s="5"/>
      <c r="G199" s="5"/>
      <c r="H199" s="5"/>
      <c r="I199" s="5"/>
      <c r="J199" s="5"/>
      <c r="K199" s="50"/>
      <c r="L199" s="50"/>
      <c r="M199" s="50"/>
      <c r="N199" s="50"/>
      <c r="O199" s="50"/>
      <c r="P199" s="50"/>
      <c r="Q199" s="50"/>
      <c r="R199" s="50"/>
      <c r="S199" s="50"/>
      <c r="T199" s="50"/>
      <c r="U199" s="50"/>
      <c r="V199" s="50"/>
      <c r="W199" s="50"/>
      <c r="X199" s="50"/>
      <c r="Y199" s="50"/>
      <c r="Z199" s="50"/>
      <c r="AA199" s="50"/>
      <c r="AB199" s="50"/>
    </row>
    <row r="200" customFormat="false" ht="15.75" hidden="false" customHeight="false" outlineLevel="0" collapsed="false">
      <c r="A200" s="50"/>
      <c r="B200" s="50"/>
      <c r="C200" s="5"/>
      <c r="D200" s="48"/>
      <c r="E200" s="50"/>
      <c r="F200" s="5"/>
      <c r="G200" s="5"/>
      <c r="H200" s="5"/>
      <c r="I200" s="5"/>
      <c r="J200" s="5"/>
      <c r="K200" s="50"/>
      <c r="L200" s="50"/>
      <c r="M200" s="50"/>
      <c r="N200" s="50"/>
      <c r="O200" s="50"/>
      <c r="P200" s="50"/>
      <c r="Q200" s="50"/>
      <c r="R200" s="50"/>
      <c r="S200" s="50"/>
      <c r="T200" s="50"/>
      <c r="U200" s="50"/>
      <c r="V200" s="50"/>
      <c r="W200" s="50"/>
      <c r="X200" s="50"/>
      <c r="Y200" s="50"/>
      <c r="Z200" s="50"/>
      <c r="AA200" s="50"/>
      <c r="AB200" s="50"/>
    </row>
    <row r="201" customFormat="false" ht="15.75" hidden="false" customHeight="false" outlineLevel="0" collapsed="false">
      <c r="A201" s="50"/>
      <c r="B201" s="50"/>
      <c r="C201" s="5"/>
      <c r="D201" s="48"/>
      <c r="E201" s="50"/>
      <c r="F201" s="5"/>
      <c r="G201" s="5"/>
      <c r="H201" s="5"/>
      <c r="I201" s="5"/>
      <c r="J201" s="5"/>
      <c r="K201" s="50"/>
      <c r="L201" s="50"/>
      <c r="M201" s="50"/>
      <c r="N201" s="50"/>
      <c r="O201" s="50"/>
      <c r="P201" s="50"/>
      <c r="Q201" s="50"/>
      <c r="R201" s="50"/>
      <c r="S201" s="50"/>
      <c r="T201" s="50"/>
      <c r="U201" s="50"/>
      <c r="V201" s="50"/>
      <c r="W201" s="50"/>
      <c r="X201" s="50"/>
      <c r="Y201" s="50"/>
      <c r="Z201" s="50"/>
      <c r="AA201" s="50"/>
      <c r="AB201" s="50"/>
    </row>
    <row r="202" customFormat="false" ht="15.75" hidden="false" customHeight="false" outlineLevel="0" collapsed="false">
      <c r="A202" s="50"/>
      <c r="B202" s="50"/>
      <c r="C202" s="5"/>
      <c r="D202" s="48"/>
      <c r="E202" s="50"/>
      <c r="F202" s="5"/>
      <c r="G202" s="5"/>
      <c r="H202" s="5"/>
      <c r="I202" s="5"/>
      <c r="J202" s="5"/>
      <c r="K202" s="50"/>
      <c r="L202" s="50"/>
      <c r="M202" s="50"/>
      <c r="N202" s="50"/>
      <c r="O202" s="50"/>
      <c r="P202" s="50"/>
      <c r="Q202" s="50"/>
      <c r="R202" s="50"/>
      <c r="S202" s="50"/>
      <c r="T202" s="50"/>
      <c r="U202" s="50"/>
      <c r="V202" s="50"/>
      <c r="W202" s="50"/>
      <c r="X202" s="50"/>
      <c r="Y202" s="50"/>
      <c r="Z202" s="50"/>
      <c r="AA202" s="50"/>
      <c r="AB202" s="50"/>
    </row>
    <row r="203" customFormat="false" ht="15.75" hidden="false" customHeight="false" outlineLevel="0" collapsed="false">
      <c r="A203" s="50"/>
      <c r="B203" s="50"/>
      <c r="C203" s="5"/>
      <c r="D203" s="48"/>
      <c r="E203" s="50"/>
      <c r="F203" s="5"/>
      <c r="G203" s="5"/>
      <c r="H203" s="5"/>
      <c r="I203" s="5"/>
      <c r="J203" s="5"/>
      <c r="K203" s="50"/>
      <c r="L203" s="50"/>
      <c r="M203" s="50"/>
      <c r="N203" s="50"/>
      <c r="O203" s="50"/>
      <c r="P203" s="50"/>
      <c r="Q203" s="50"/>
      <c r="R203" s="50"/>
      <c r="S203" s="50"/>
      <c r="T203" s="50"/>
      <c r="U203" s="50"/>
      <c r="V203" s="50"/>
      <c r="W203" s="50"/>
      <c r="X203" s="50"/>
      <c r="Y203" s="50"/>
      <c r="Z203" s="50"/>
      <c r="AA203" s="50"/>
      <c r="AB203" s="50"/>
    </row>
    <row r="204" customFormat="false" ht="15.75" hidden="false" customHeight="false" outlineLevel="0" collapsed="false">
      <c r="A204" s="50"/>
      <c r="B204" s="50"/>
      <c r="C204" s="5"/>
      <c r="D204" s="48"/>
      <c r="E204" s="50"/>
      <c r="F204" s="5"/>
      <c r="G204" s="5"/>
      <c r="H204" s="5"/>
      <c r="I204" s="5"/>
      <c r="J204" s="5"/>
      <c r="K204" s="50"/>
      <c r="L204" s="50"/>
      <c r="M204" s="50"/>
      <c r="N204" s="50"/>
      <c r="O204" s="50"/>
      <c r="P204" s="50"/>
      <c r="Q204" s="50"/>
      <c r="R204" s="50"/>
      <c r="S204" s="50"/>
      <c r="T204" s="50"/>
      <c r="U204" s="50"/>
      <c r="V204" s="50"/>
      <c r="W204" s="50"/>
      <c r="X204" s="50"/>
      <c r="Y204" s="50"/>
      <c r="Z204" s="50"/>
      <c r="AA204" s="50"/>
      <c r="AB204" s="50"/>
    </row>
    <row r="205" customFormat="false" ht="15.75" hidden="false" customHeight="false" outlineLevel="0" collapsed="false">
      <c r="A205" s="50"/>
      <c r="B205" s="50"/>
      <c r="C205" s="5"/>
      <c r="D205" s="48"/>
      <c r="E205" s="50"/>
      <c r="F205" s="5"/>
      <c r="G205" s="5"/>
      <c r="H205" s="5"/>
      <c r="I205" s="5"/>
      <c r="J205" s="5"/>
      <c r="K205" s="50"/>
      <c r="L205" s="50"/>
      <c r="M205" s="50"/>
      <c r="N205" s="50"/>
      <c r="O205" s="50"/>
      <c r="P205" s="50"/>
      <c r="Q205" s="50"/>
      <c r="R205" s="50"/>
      <c r="S205" s="50"/>
      <c r="T205" s="50"/>
      <c r="U205" s="50"/>
      <c r="V205" s="50"/>
      <c r="W205" s="50"/>
      <c r="X205" s="50"/>
      <c r="Y205" s="50"/>
      <c r="Z205" s="50"/>
      <c r="AA205" s="50"/>
      <c r="AB205" s="50"/>
    </row>
    <row r="206" customFormat="false" ht="15.75" hidden="false" customHeight="false" outlineLevel="0" collapsed="false">
      <c r="A206" s="50"/>
      <c r="B206" s="50"/>
      <c r="C206" s="5"/>
      <c r="D206" s="48"/>
      <c r="E206" s="50"/>
      <c r="F206" s="5"/>
      <c r="G206" s="5"/>
      <c r="H206" s="5"/>
      <c r="I206" s="5"/>
      <c r="J206" s="5"/>
      <c r="K206" s="50"/>
      <c r="L206" s="50"/>
      <c r="M206" s="50"/>
      <c r="N206" s="50"/>
      <c r="O206" s="50"/>
      <c r="P206" s="50"/>
      <c r="Q206" s="50"/>
      <c r="R206" s="50"/>
      <c r="S206" s="50"/>
      <c r="T206" s="50"/>
      <c r="U206" s="50"/>
      <c r="V206" s="50"/>
      <c r="W206" s="50"/>
      <c r="X206" s="50"/>
      <c r="Y206" s="50"/>
      <c r="Z206" s="50"/>
      <c r="AA206" s="50"/>
      <c r="AB206" s="50"/>
    </row>
    <row r="207" customFormat="false" ht="15.75" hidden="false" customHeight="false" outlineLevel="0" collapsed="false">
      <c r="A207" s="50"/>
      <c r="B207" s="50"/>
      <c r="C207" s="5"/>
      <c r="D207" s="48"/>
      <c r="E207" s="50"/>
      <c r="F207" s="5"/>
      <c r="G207" s="5"/>
      <c r="H207" s="5"/>
      <c r="I207" s="5"/>
      <c r="J207" s="5"/>
      <c r="K207" s="50"/>
      <c r="L207" s="50"/>
      <c r="M207" s="50"/>
      <c r="N207" s="50"/>
      <c r="O207" s="50"/>
      <c r="P207" s="50"/>
      <c r="Q207" s="50"/>
      <c r="R207" s="50"/>
      <c r="S207" s="50"/>
      <c r="T207" s="50"/>
      <c r="U207" s="50"/>
      <c r="V207" s="50"/>
      <c r="W207" s="50"/>
      <c r="X207" s="50"/>
      <c r="Y207" s="50"/>
      <c r="Z207" s="50"/>
      <c r="AA207" s="50"/>
      <c r="AB207" s="50"/>
    </row>
    <row r="208" customFormat="false" ht="15.75" hidden="false" customHeight="false" outlineLevel="0" collapsed="false">
      <c r="A208" s="50"/>
      <c r="B208" s="50"/>
      <c r="C208" s="5"/>
      <c r="D208" s="48"/>
      <c r="E208" s="50"/>
      <c r="F208" s="5"/>
      <c r="G208" s="5"/>
      <c r="H208" s="5"/>
      <c r="I208" s="5"/>
      <c r="J208" s="5"/>
      <c r="K208" s="50"/>
      <c r="L208" s="50"/>
      <c r="M208" s="50"/>
      <c r="N208" s="50"/>
      <c r="O208" s="50"/>
      <c r="P208" s="50"/>
      <c r="Q208" s="50"/>
      <c r="R208" s="50"/>
      <c r="S208" s="50"/>
      <c r="T208" s="50"/>
      <c r="U208" s="50"/>
      <c r="V208" s="50"/>
      <c r="W208" s="50"/>
      <c r="X208" s="50"/>
      <c r="Y208" s="50"/>
      <c r="Z208" s="50"/>
      <c r="AA208" s="50"/>
      <c r="AB208" s="50"/>
    </row>
    <row r="209" customFormat="false" ht="15.75" hidden="false" customHeight="false" outlineLevel="0" collapsed="false">
      <c r="A209" s="50"/>
      <c r="B209" s="50"/>
      <c r="C209" s="5"/>
      <c r="D209" s="48"/>
      <c r="E209" s="50"/>
      <c r="F209" s="5"/>
      <c r="G209" s="5"/>
      <c r="H209" s="5"/>
      <c r="I209" s="5"/>
      <c r="J209" s="5"/>
      <c r="K209" s="50"/>
      <c r="L209" s="50"/>
      <c r="M209" s="50"/>
      <c r="N209" s="50"/>
      <c r="O209" s="50"/>
      <c r="P209" s="50"/>
      <c r="Q209" s="50"/>
      <c r="R209" s="50"/>
      <c r="S209" s="50"/>
      <c r="T209" s="50"/>
      <c r="U209" s="50"/>
      <c r="V209" s="50"/>
      <c r="W209" s="50"/>
      <c r="X209" s="50"/>
      <c r="Y209" s="50"/>
      <c r="Z209" s="50"/>
      <c r="AA209" s="50"/>
      <c r="AB209" s="50"/>
    </row>
    <row r="210" customFormat="false" ht="15.75" hidden="false" customHeight="false" outlineLevel="0" collapsed="false">
      <c r="A210" s="50"/>
      <c r="B210" s="50"/>
      <c r="C210" s="5"/>
      <c r="D210" s="48"/>
      <c r="E210" s="50"/>
      <c r="F210" s="5"/>
      <c r="G210" s="5"/>
      <c r="H210" s="5"/>
      <c r="I210" s="5"/>
      <c r="J210" s="5"/>
      <c r="K210" s="50"/>
      <c r="L210" s="50"/>
      <c r="M210" s="50"/>
      <c r="N210" s="50"/>
      <c r="O210" s="50"/>
      <c r="P210" s="50"/>
      <c r="Q210" s="50"/>
      <c r="R210" s="50"/>
      <c r="S210" s="50"/>
      <c r="T210" s="50"/>
      <c r="U210" s="50"/>
      <c r="V210" s="50"/>
      <c r="W210" s="50"/>
      <c r="X210" s="50"/>
      <c r="Y210" s="50"/>
      <c r="Z210" s="50"/>
      <c r="AA210" s="50"/>
      <c r="AB210" s="50"/>
    </row>
    <row r="211" customFormat="false" ht="15.75" hidden="false" customHeight="false" outlineLevel="0" collapsed="false">
      <c r="A211" s="50"/>
      <c r="B211" s="50"/>
      <c r="C211" s="5"/>
      <c r="D211" s="48"/>
      <c r="E211" s="50"/>
      <c r="F211" s="5"/>
      <c r="G211" s="5"/>
      <c r="H211" s="5"/>
      <c r="I211" s="5"/>
      <c r="J211" s="5"/>
      <c r="K211" s="50"/>
      <c r="L211" s="50"/>
      <c r="M211" s="50"/>
      <c r="N211" s="50"/>
      <c r="O211" s="50"/>
      <c r="P211" s="50"/>
      <c r="Q211" s="50"/>
      <c r="R211" s="50"/>
      <c r="S211" s="50"/>
      <c r="T211" s="50"/>
      <c r="U211" s="50"/>
      <c r="V211" s="50"/>
      <c r="W211" s="50"/>
      <c r="X211" s="50"/>
      <c r="Y211" s="50"/>
      <c r="Z211" s="50"/>
      <c r="AA211" s="50"/>
      <c r="AB211" s="50"/>
    </row>
    <row r="212" customFormat="false" ht="15.75" hidden="false" customHeight="false" outlineLevel="0" collapsed="false">
      <c r="A212" s="50"/>
      <c r="B212" s="50"/>
      <c r="C212" s="5"/>
      <c r="D212" s="48"/>
      <c r="E212" s="50"/>
      <c r="F212" s="5"/>
      <c r="G212" s="5"/>
      <c r="H212" s="5"/>
      <c r="I212" s="5"/>
      <c r="J212" s="5"/>
      <c r="K212" s="50"/>
      <c r="L212" s="50"/>
      <c r="M212" s="50"/>
      <c r="N212" s="50"/>
      <c r="O212" s="50"/>
      <c r="P212" s="50"/>
      <c r="Q212" s="50"/>
      <c r="R212" s="50"/>
      <c r="S212" s="50"/>
      <c r="T212" s="50"/>
      <c r="U212" s="50"/>
      <c r="V212" s="50"/>
      <c r="W212" s="50"/>
      <c r="X212" s="50"/>
      <c r="Y212" s="50"/>
      <c r="Z212" s="50"/>
      <c r="AA212" s="50"/>
      <c r="AB212" s="50"/>
    </row>
    <row r="213" customFormat="false" ht="15.75" hidden="false" customHeight="false" outlineLevel="0" collapsed="false">
      <c r="A213" s="50"/>
      <c r="B213" s="50"/>
      <c r="C213" s="5"/>
      <c r="D213" s="48"/>
      <c r="E213" s="50"/>
      <c r="F213" s="5"/>
      <c r="G213" s="5"/>
      <c r="H213" s="5"/>
      <c r="I213" s="5"/>
      <c r="J213" s="5"/>
      <c r="K213" s="50"/>
      <c r="L213" s="50"/>
      <c r="M213" s="50"/>
      <c r="N213" s="50"/>
      <c r="O213" s="50"/>
      <c r="P213" s="50"/>
      <c r="Q213" s="50"/>
      <c r="R213" s="50"/>
      <c r="S213" s="50"/>
      <c r="T213" s="50"/>
      <c r="U213" s="50"/>
      <c r="V213" s="50"/>
      <c r="W213" s="50"/>
      <c r="X213" s="50"/>
      <c r="Y213" s="50"/>
      <c r="Z213" s="50"/>
      <c r="AA213" s="50"/>
      <c r="AB213" s="50"/>
    </row>
    <row r="214" customFormat="false" ht="15.75" hidden="false" customHeight="false" outlineLevel="0" collapsed="false">
      <c r="A214" s="50"/>
      <c r="B214" s="50"/>
      <c r="C214" s="5"/>
      <c r="D214" s="48"/>
      <c r="E214" s="50"/>
      <c r="F214" s="5"/>
      <c r="G214" s="5"/>
      <c r="H214" s="5"/>
      <c r="I214" s="5"/>
      <c r="J214" s="5"/>
      <c r="K214" s="50"/>
      <c r="L214" s="50"/>
      <c r="M214" s="50"/>
      <c r="N214" s="50"/>
      <c r="O214" s="50"/>
      <c r="P214" s="50"/>
      <c r="Q214" s="50"/>
      <c r="R214" s="50"/>
      <c r="S214" s="50"/>
      <c r="T214" s="50"/>
      <c r="U214" s="50"/>
      <c r="V214" s="50"/>
      <c r="W214" s="50"/>
      <c r="X214" s="50"/>
      <c r="Y214" s="50"/>
      <c r="Z214" s="50"/>
      <c r="AA214" s="50"/>
      <c r="AB214" s="50"/>
    </row>
    <row r="215" customFormat="false" ht="15.75" hidden="false" customHeight="false" outlineLevel="0" collapsed="false">
      <c r="A215" s="50"/>
      <c r="B215" s="50"/>
      <c r="C215" s="5"/>
      <c r="D215" s="48"/>
      <c r="E215" s="50"/>
      <c r="F215" s="5"/>
      <c r="G215" s="5"/>
      <c r="H215" s="5"/>
      <c r="I215" s="5"/>
      <c r="J215" s="5"/>
      <c r="K215" s="50"/>
      <c r="L215" s="50"/>
      <c r="M215" s="50"/>
      <c r="N215" s="50"/>
      <c r="O215" s="50"/>
      <c r="P215" s="50"/>
      <c r="Q215" s="50"/>
      <c r="R215" s="50"/>
      <c r="S215" s="50"/>
      <c r="T215" s="50"/>
      <c r="U215" s="50"/>
      <c r="V215" s="50"/>
      <c r="W215" s="50"/>
      <c r="X215" s="50"/>
      <c r="Y215" s="50"/>
      <c r="Z215" s="50"/>
      <c r="AA215" s="50"/>
      <c r="AB215" s="50"/>
    </row>
    <row r="216" customFormat="false" ht="15.75" hidden="false" customHeight="false" outlineLevel="0" collapsed="false">
      <c r="A216" s="50"/>
      <c r="B216" s="50"/>
      <c r="C216" s="5"/>
      <c r="D216" s="48"/>
      <c r="E216" s="50"/>
      <c r="F216" s="5"/>
      <c r="G216" s="5"/>
      <c r="H216" s="5"/>
      <c r="I216" s="5"/>
      <c r="J216" s="5"/>
      <c r="K216" s="50"/>
      <c r="L216" s="50"/>
      <c r="M216" s="50"/>
      <c r="N216" s="50"/>
      <c r="O216" s="50"/>
      <c r="P216" s="50"/>
      <c r="Q216" s="50"/>
      <c r="R216" s="50"/>
      <c r="S216" s="50"/>
      <c r="T216" s="50"/>
      <c r="U216" s="50"/>
      <c r="V216" s="50"/>
      <c r="W216" s="50"/>
      <c r="X216" s="50"/>
      <c r="Y216" s="50"/>
      <c r="Z216" s="50"/>
      <c r="AA216" s="50"/>
      <c r="AB216" s="50"/>
    </row>
    <row r="217" customFormat="false" ht="15.75" hidden="false" customHeight="false" outlineLevel="0" collapsed="false">
      <c r="A217" s="50"/>
      <c r="B217" s="50"/>
      <c r="C217" s="5"/>
      <c r="D217" s="48"/>
      <c r="E217" s="50"/>
      <c r="F217" s="5"/>
      <c r="G217" s="5"/>
      <c r="H217" s="5"/>
      <c r="I217" s="5"/>
      <c r="J217" s="5"/>
      <c r="K217" s="50"/>
      <c r="L217" s="50"/>
      <c r="M217" s="50"/>
      <c r="N217" s="50"/>
      <c r="O217" s="50"/>
      <c r="P217" s="50"/>
      <c r="Q217" s="50"/>
      <c r="R217" s="50"/>
      <c r="S217" s="50"/>
      <c r="T217" s="50"/>
      <c r="U217" s="50"/>
      <c r="V217" s="50"/>
      <c r="W217" s="50"/>
      <c r="X217" s="50"/>
      <c r="Y217" s="50"/>
      <c r="Z217" s="50"/>
      <c r="AA217" s="50"/>
      <c r="AB217" s="50"/>
    </row>
    <row r="218" customFormat="false" ht="15.75" hidden="false" customHeight="false" outlineLevel="0" collapsed="false">
      <c r="A218" s="50"/>
      <c r="B218" s="50"/>
      <c r="C218" s="5"/>
      <c r="D218" s="48"/>
      <c r="E218" s="50"/>
      <c r="F218" s="5"/>
      <c r="G218" s="5"/>
      <c r="H218" s="5"/>
      <c r="I218" s="5"/>
      <c r="J218" s="5"/>
      <c r="K218" s="50"/>
      <c r="L218" s="50"/>
      <c r="M218" s="50"/>
      <c r="N218" s="50"/>
      <c r="O218" s="50"/>
      <c r="P218" s="50"/>
      <c r="Q218" s="50"/>
      <c r="R218" s="50"/>
      <c r="S218" s="50"/>
      <c r="T218" s="50"/>
      <c r="U218" s="50"/>
      <c r="V218" s="50"/>
      <c r="W218" s="50"/>
      <c r="X218" s="50"/>
      <c r="Y218" s="50"/>
      <c r="Z218" s="50"/>
      <c r="AA218" s="50"/>
      <c r="AB218" s="50"/>
    </row>
    <row r="219" customFormat="false" ht="15.75" hidden="false" customHeight="false" outlineLevel="0" collapsed="false">
      <c r="A219" s="50"/>
      <c r="B219" s="50"/>
      <c r="C219" s="5"/>
      <c r="D219" s="48"/>
      <c r="E219" s="50"/>
      <c r="F219" s="5"/>
      <c r="G219" s="5"/>
      <c r="H219" s="5"/>
      <c r="I219" s="5"/>
      <c r="J219" s="5"/>
      <c r="K219" s="50"/>
      <c r="L219" s="50"/>
      <c r="M219" s="50"/>
      <c r="N219" s="50"/>
      <c r="O219" s="50"/>
      <c r="P219" s="50"/>
      <c r="Q219" s="50"/>
      <c r="R219" s="50"/>
      <c r="S219" s="50"/>
      <c r="T219" s="50"/>
      <c r="U219" s="50"/>
      <c r="V219" s="50"/>
      <c r="W219" s="50"/>
      <c r="X219" s="50"/>
      <c r="Y219" s="50"/>
      <c r="Z219" s="50"/>
      <c r="AA219" s="50"/>
      <c r="AB219" s="50"/>
    </row>
    <row r="220" customFormat="false" ht="15.75" hidden="false" customHeight="false" outlineLevel="0" collapsed="false">
      <c r="A220" s="50"/>
      <c r="B220" s="50"/>
      <c r="C220" s="5"/>
      <c r="D220" s="48"/>
      <c r="E220" s="50"/>
      <c r="F220" s="5"/>
      <c r="G220" s="5"/>
      <c r="H220" s="5"/>
      <c r="I220" s="5"/>
      <c r="J220" s="5"/>
      <c r="K220" s="50"/>
      <c r="L220" s="50"/>
      <c r="M220" s="50"/>
      <c r="N220" s="50"/>
      <c r="O220" s="50"/>
      <c r="P220" s="50"/>
      <c r="Q220" s="50"/>
      <c r="R220" s="50"/>
      <c r="S220" s="50"/>
      <c r="T220" s="50"/>
      <c r="U220" s="50"/>
      <c r="V220" s="50"/>
      <c r="W220" s="50"/>
      <c r="X220" s="50"/>
      <c r="Y220" s="50"/>
      <c r="Z220" s="50"/>
      <c r="AA220" s="50"/>
      <c r="AB220" s="50"/>
    </row>
    <row r="221" customFormat="false" ht="15.75" hidden="false" customHeight="false" outlineLevel="0" collapsed="false">
      <c r="A221" s="50"/>
      <c r="B221" s="50"/>
      <c r="C221" s="5"/>
      <c r="D221" s="48"/>
      <c r="E221" s="50"/>
      <c r="F221" s="5"/>
      <c r="G221" s="5"/>
      <c r="H221" s="5"/>
      <c r="I221" s="5"/>
      <c r="J221" s="5"/>
      <c r="K221" s="50"/>
      <c r="L221" s="50"/>
      <c r="M221" s="50"/>
      <c r="N221" s="50"/>
      <c r="O221" s="50"/>
      <c r="P221" s="50"/>
      <c r="Q221" s="50"/>
      <c r="R221" s="50"/>
      <c r="S221" s="50"/>
      <c r="T221" s="50"/>
      <c r="U221" s="50"/>
      <c r="V221" s="50"/>
      <c r="W221" s="50"/>
      <c r="X221" s="50"/>
      <c r="Y221" s="50"/>
      <c r="Z221" s="50"/>
      <c r="AA221" s="50"/>
      <c r="AB221" s="50"/>
    </row>
    <row r="222" customFormat="false" ht="15.75" hidden="false" customHeight="false" outlineLevel="0" collapsed="false">
      <c r="A222" s="50"/>
      <c r="B222" s="50"/>
      <c r="C222" s="5"/>
      <c r="D222" s="48"/>
      <c r="E222" s="50"/>
      <c r="F222" s="5"/>
      <c r="G222" s="5"/>
      <c r="H222" s="5"/>
      <c r="I222" s="5"/>
      <c r="J222" s="5"/>
      <c r="K222" s="50"/>
      <c r="L222" s="50"/>
      <c r="M222" s="50"/>
      <c r="N222" s="50"/>
      <c r="O222" s="50"/>
      <c r="P222" s="50"/>
      <c r="Q222" s="50"/>
      <c r="R222" s="50"/>
      <c r="S222" s="50"/>
      <c r="T222" s="50"/>
      <c r="U222" s="50"/>
      <c r="V222" s="50"/>
      <c r="W222" s="50"/>
      <c r="X222" s="50"/>
      <c r="Y222" s="50"/>
      <c r="Z222" s="50"/>
      <c r="AA222" s="50"/>
      <c r="AB222" s="50"/>
    </row>
    <row r="223" customFormat="false" ht="15.75" hidden="false" customHeight="false" outlineLevel="0" collapsed="false">
      <c r="A223" s="50"/>
      <c r="B223" s="50"/>
      <c r="C223" s="5"/>
      <c r="D223" s="48"/>
      <c r="E223" s="50"/>
      <c r="F223" s="5"/>
      <c r="G223" s="5"/>
      <c r="H223" s="5"/>
      <c r="I223" s="5"/>
      <c r="J223" s="5"/>
      <c r="K223" s="50"/>
      <c r="L223" s="50"/>
      <c r="M223" s="50"/>
      <c r="N223" s="50"/>
      <c r="O223" s="50"/>
      <c r="P223" s="50"/>
      <c r="Q223" s="50"/>
      <c r="R223" s="50"/>
      <c r="S223" s="50"/>
      <c r="T223" s="50"/>
      <c r="U223" s="50"/>
      <c r="V223" s="50"/>
      <c r="W223" s="50"/>
      <c r="X223" s="50"/>
      <c r="Y223" s="50"/>
      <c r="Z223" s="50"/>
      <c r="AA223" s="50"/>
      <c r="AB223" s="50"/>
    </row>
    <row r="224" customFormat="false" ht="15.75" hidden="false" customHeight="false" outlineLevel="0" collapsed="false">
      <c r="A224" s="50"/>
      <c r="B224" s="50"/>
      <c r="C224" s="5"/>
      <c r="D224" s="48"/>
      <c r="E224" s="50"/>
      <c r="F224" s="5"/>
      <c r="G224" s="5"/>
      <c r="H224" s="5"/>
      <c r="I224" s="5"/>
      <c r="J224" s="5"/>
      <c r="K224" s="50"/>
      <c r="L224" s="50"/>
      <c r="M224" s="50"/>
      <c r="N224" s="50"/>
      <c r="O224" s="50"/>
      <c r="P224" s="50"/>
      <c r="Q224" s="50"/>
      <c r="R224" s="50"/>
      <c r="S224" s="50"/>
      <c r="T224" s="50"/>
      <c r="U224" s="50"/>
      <c r="V224" s="50"/>
      <c r="W224" s="50"/>
      <c r="X224" s="50"/>
      <c r="Y224" s="50"/>
      <c r="Z224" s="50"/>
      <c r="AA224" s="50"/>
      <c r="AB224" s="50"/>
    </row>
    <row r="225" customFormat="false" ht="15.75" hidden="false" customHeight="false" outlineLevel="0" collapsed="false">
      <c r="A225" s="50"/>
      <c r="B225" s="50"/>
      <c r="C225" s="5"/>
      <c r="D225" s="48"/>
      <c r="E225" s="50"/>
      <c r="F225" s="5"/>
      <c r="G225" s="5"/>
      <c r="H225" s="5"/>
      <c r="I225" s="5"/>
      <c r="J225" s="5"/>
      <c r="K225" s="50"/>
      <c r="L225" s="50"/>
      <c r="M225" s="50"/>
      <c r="N225" s="50"/>
      <c r="O225" s="50"/>
      <c r="P225" s="50"/>
      <c r="Q225" s="50"/>
      <c r="R225" s="50"/>
      <c r="S225" s="50"/>
      <c r="T225" s="50"/>
      <c r="U225" s="50"/>
      <c r="V225" s="50"/>
      <c r="W225" s="50"/>
      <c r="X225" s="50"/>
      <c r="Y225" s="50"/>
      <c r="Z225" s="50"/>
      <c r="AA225" s="50"/>
      <c r="AB225" s="50"/>
    </row>
    <row r="226" customFormat="false" ht="15.75" hidden="false" customHeight="false" outlineLevel="0" collapsed="false">
      <c r="A226" s="50"/>
      <c r="B226" s="50"/>
      <c r="C226" s="5"/>
      <c r="D226" s="48"/>
      <c r="E226" s="50"/>
      <c r="F226" s="5"/>
      <c r="G226" s="5"/>
      <c r="H226" s="5"/>
      <c r="I226" s="5"/>
      <c r="J226" s="5"/>
      <c r="K226" s="50"/>
      <c r="L226" s="50"/>
      <c r="M226" s="50"/>
      <c r="N226" s="50"/>
      <c r="O226" s="50"/>
      <c r="P226" s="50"/>
      <c r="Q226" s="50"/>
      <c r="R226" s="50"/>
      <c r="S226" s="50"/>
      <c r="T226" s="50"/>
      <c r="U226" s="50"/>
      <c r="V226" s="50"/>
      <c r="W226" s="50"/>
      <c r="X226" s="50"/>
      <c r="Y226" s="50"/>
      <c r="Z226" s="50"/>
      <c r="AA226" s="50"/>
      <c r="AB226" s="50"/>
    </row>
    <row r="227" customFormat="false" ht="15.75" hidden="false" customHeight="false" outlineLevel="0" collapsed="false">
      <c r="A227" s="50"/>
      <c r="B227" s="50"/>
      <c r="C227" s="5"/>
      <c r="D227" s="48"/>
      <c r="E227" s="50"/>
      <c r="F227" s="5"/>
      <c r="G227" s="5"/>
      <c r="H227" s="5"/>
      <c r="I227" s="5"/>
      <c r="J227" s="5"/>
      <c r="K227" s="50"/>
      <c r="L227" s="50"/>
      <c r="M227" s="50"/>
      <c r="N227" s="50"/>
      <c r="O227" s="50"/>
      <c r="P227" s="50"/>
      <c r="Q227" s="50"/>
      <c r="R227" s="50"/>
      <c r="S227" s="50"/>
      <c r="T227" s="50"/>
      <c r="U227" s="50"/>
      <c r="V227" s="50"/>
      <c r="W227" s="50"/>
      <c r="X227" s="50"/>
      <c r="Y227" s="50"/>
      <c r="Z227" s="50"/>
      <c r="AA227" s="50"/>
      <c r="AB227" s="50"/>
    </row>
    <row r="228" customFormat="false" ht="15.75" hidden="false" customHeight="false" outlineLevel="0" collapsed="false">
      <c r="A228" s="50"/>
      <c r="B228" s="50"/>
      <c r="C228" s="5"/>
      <c r="D228" s="48"/>
      <c r="E228" s="50"/>
      <c r="F228" s="5"/>
      <c r="G228" s="5"/>
      <c r="H228" s="5"/>
      <c r="I228" s="5"/>
      <c r="J228" s="5"/>
      <c r="K228" s="50"/>
      <c r="L228" s="50"/>
      <c r="M228" s="50"/>
      <c r="N228" s="50"/>
      <c r="O228" s="50"/>
      <c r="P228" s="50"/>
      <c r="Q228" s="50"/>
      <c r="R228" s="50"/>
      <c r="S228" s="50"/>
      <c r="T228" s="50"/>
      <c r="U228" s="50"/>
      <c r="V228" s="50"/>
      <c r="W228" s="50"/>
      <c r="X228" s="50"/>
      <c r="Y228" s="50"/>
      <c r="Z228" s="50"/>
      <c r="AA228" s="50"/>
      <c r="AB228" s="50"/>
    </row>
    <row r="229" customFormat="false" ht="15.75" hidden="false" customHeight="false" outlineLevel="0" collapsed="false">
      <c r="A229" s="50"/>
      <c r="B229" s="50"/>
      <c r="C229" s="5"/>
      <c r="D229" s="48"/>
      <c r="E229" s="50"/>
      <c r="F229" s="5"/>
      <c r="G229" s="5"/>
      <c r="H229" s="5"/>
      <c r="I229" s="5"/>
      <c r="J229" s="5"/>
      <c r="K229" s="50"/>
      <c r="L229" s="50"/>
      <c r="M229" s="50"/>
      <c r="N229" s="50"/>
      <c r="O229" s="50"/>
      <c r="P229" s="50"/>
      <c r="Q229" s="50"/>
      <c r="R229" s="50"/>
      <c r="S229" s="50"/>
      <c r="T229" s="50"/>
      <c r="U229" s="50"/>
      <c r="V229" s="50"/>
      <c r="W229" s="50"/>
      <c r="X229" s="50"/>
      <c r="Y229" s="50"/>
      <c r="Z229" s="50"/>
      <c r="AA229" s="50"/>
      <c r="AB229" s="50"/>
    </row>
    <row r="230" customFormat="false" ht="15.75" hidden="false" customHeight="false" outlineLevel="0" collapsed="false">
      <c r="A230" s="50"/>
      <c r="B230" s="50"/>
      <c r="C230" s="5"/>
      <c r="D230" s="48"/>
      <c r="E230" s="50"/>
      <c r="F230" s="5"/>
      <c r="G230" s="5"/>
      <c r="H230" s="5"/>
      <c r="I230" s="5"/>
      <c r="J230" s="5"/>
      <c r="K230" s="50"/>
      <c r="L230" s="50"/>
      <c r="M230" s="50"/>
      <c r="N230" s="50"/>
      <c r="O230" s="50"/>
      <c r="P230" s="50"/>
      <c r="Q230" s="50"/>
      <c r="R230" s="50"/>
      <c r="S230" s="50"/>
      <c r="T230" s="50"/>
      <c r="U230" s="50"/>
      <c r="V230" s="50"/>
      <c r="W230" s="50"/>
      <c r="X230" s="50"/>
      <c r="Y230" s="50"/>
      <c r="Z230" s="50"/>
      <c r="AA230" s="50"/>
      <c r="AB230" s="50"/>
    </row>
    <row r="231" customFormat="false" ht="15.75" hidden="false" customHeight="false" outlineLevel="0" collapsed="false">
      <c r="A231" s="50"/>
      <c r="B231" s="50"/>
      <c r="C231" s="5"/>
      <c r="D231" s="48"/>
      <c r="E231" s="50"/>
      <c r="F231" s="5"/>
      <c r="G231" s="5"/>
      <c r="H231" s="5"/>
      <c r="I231" s="5"/>
      <c r="J231" s="5"/>
      <c r="K231" s="50"/>
      <c r="L231" s="50"/>
      <c r="M231" s="50"/>
      <c r="N231" s="50"/>
      <c r="O231" s="50"/>
      <c r="P231" s="50"/>
      <c r="Q231" s="50"/>
      <c r="R231" s="50"/>
      <c r="S231" s="50"/>
      <c r="T231" s="50"/>
      <c r="U231" s="50"/>
      <c r="V231" s="50"/>
      <c r="W231" s="50"/>
      <c r="X231" s="50"/>
      <c r="Y231" s="50"/>
      <c r="Z231" s="50"/>
      <c r="AA231" s="50"/>
      <c r="AB231" s="50"/>
    </row>
    <row r="232" customFormat="false" ht="15.75" hidden="false" customHeight="false" outlineLevel="0" collapsed="false">
      <c r="A232" s="50"/>
      <c r="B232" s="50"/>
      <c r="C232" s="5"/>
      <c r="D232" s="48"/>
      <c r="E232" s="50"/>
      <c r="F232" s="5"/>
      <c r="G232" s="5"/>
      <c r="H232" s="5"/>
      <c r="I232" s="5"/>
      <c r="J232" s="5"/>
      <c r="K232" s="50"/>
      <c r="L232" s="50"/>
      <c r="M232" s="50"/>
      <c r="N232" s="50"/>
      <c r="O232" s="50"/>
      <c r="P232" s="50"/>
      <c r="Q232" s="50"/>
      <c r="R232" s="50"/>
      <c r="S232" s="50"/>
      <c r="T232" s="50"/>
      <c r="U232" s="50"/>
      <c r="V232" s="50"/>
      <c r="W232" s="50"/>
      <c r="X232" s="50"/>
      <c r="Y232" s="50"/>
      <c r="Z232" s="50"/>
      <c r="AA232" s="50"/>
      <c r="AB232" s="50"/>
    </row>
    <row r="233" customFormat="false" ht="15.75" hidden="false" customHeight="false" outlineLevel="0" collapsed="false">
      <c r="A233" s="50"/>
      <c r="B233" s="50"/>
      <c r="C233" s="5"/>
      <c r="D233" s="48"/>
      <c r="E233" s="50"/>
      <c r="F233" s="5"/>
      <c r="G233" s="5"/>
      <c r="H233" s="5"/>
      <c r="I233" s="5"/>
      <c r="J233" s="5"/>
      <c r="K233" s="50"/>
      <c r="L233" s="50"/>
      <c r="M233" s="50"/>
      <c r="N233" s="50"/>
      <c r="O233" s="50"/>
      <c r="P233" s="50"/>
      <c r="Q233" s="50"/>
      <c r="R233" s="50"/>
      <c r="S233" s="50"/>
      <c r="T233" s="50"/>
      <c r="U233" s="50"/>
      <c r="V233" s="50"/>
      <c r="W233" s="50"/>
      <c r="X233" s="50"/>
      <c r="Y233" s="50"/>
      <c r="Z233" s="50"/>
      <c r="AA233" s="50"/>
      <c r="AB233" s="50"/>
    </row>
    <row r="234" customFormat="false" ht="15.75" hidden="false" customHeight="false" outlineLevel="0" collapsed="false">
      <c r="A234" s="50"/>
      <c r="B234" s="50"/>
      <c r="C234" s="5"/>
      <c r="D234" s="48"/>
      <c r="E234" s="50"/>
      <c r="F234" s="5"/>
      <c r="G234" s="5"/>
      <c r="H234" s="5"/>
      <c r="I234" s="5"/>
      <c r="J234" s="5"/>
      <c r="K234" s="50"/>
      <c r="L234" s="50"/>
      <c r="M234" s="50"/>
      <c r="N234" s="50"/>
      <c r="O234" s="50"/>
      <c r="P234" s="50"/>
      <c r="Q234" s="50"/>
      <c r="R234" s="50"/>
      <c r="S234" s="50"/>
      <c r="T234" s="50"/>
      <c r="U234" s="50"/>
      <c r="V234" s="50"/>
      <c r="W234" s="50"/>
      <c r="X234" s="50"/>
      <c r="Y234" s="50"/>
      <c r="Z234" s="50"/>
      <c r="AA234" s="50"/>
      <c r="AB234" s="50"/>
    </row>
    <row r="235" customFormat="false" ht="15.75" hidden="false" customHeight="false" outlineLevel="0" collapsed="false">
      <c r="A235" s="50"/>
      <c r="B235" s="50"/>
      <c r="C235" s="5"/>
      <c r="D235" s="48"/>
      <c r="E235" s="50"/>
      <c r="F235" s="5"/>
      <c r="G235" s="5"/>
      <c r="H235" s="5"/>
      <c r="I235" s="5"/>
      <c r="J235" s="5"/>
      <c r="K235" s="50"/>
      <c r="L235" s="50"/>
      <c r="M235" s="50"/>
      <c r="N235" s="50"/>
      <c r="O235" s="50"/>
      <c r="P235" s="50"/>
      <c r="Q235" s="50"/>
      <c r="R235" s="50"/>
      <c r="S235" s="50"/>
      <c r="T235" s="50"/>
      <c r="U235" s="50"/>
      <c r="V235" s="50"/>
      <c r="W235" s="50"/>
      <c r="X235" s="50"/>
      <c r="Y235" s="50"/>
      <c r="Z235" s="50"/>
      <c r="AA235" s="50"/>
      <c r="AB235" s="50"/>
    </row>
    <row r="236" customFormat="false" ht="15.75" hidden="false" customHeight="false" outlineLevel="0" collapsed="false">
      <c r="A236" s="50"/>
      <c r="B236" s="50"/>
      <c r="C236" s="5"/>
      <c r="D236" s="48"/>
      <c r="E236" s="50"/>
      <c r="F236" s="5"/>
      <c r="G236" s="5"/>
      <c r="H236" s="5"/>
      <c r="I236" s="5"/>
      <c r="J236" s="5"/>
      <c r="K236" s="50"/>
      <c r="L236" s="50"/>
      <c r="M236" s="50"/>
      <c r="N236" s="50"/>
      <c r="O236" s="50"/>
      <c r="P236" s="50"/>
      <c r="Q236" s="50"/>
      <c r="R236" s="50"/>
      <c r="S236" s="50"/>
      <c r="T236" s="50"/>
      <c r="U236" s="50"/>
      <c r="V236" s="50"/>
      <c r="W236" s="50"/>
      <c r="X236" s="50"/>
      <c r="Y236" s="50"/>
      <c r="Z236" s="50"/>
      <c r="AA236" s="50"/>
      <c r="AB236" s="50"/>
    </row>
    <row r="237" customFormat="false" ht="15.75" hidden="false" customHeight="false" outlineLevel="0" collapsed="false">
      <c r="A237" s="50"/>
      <c r="B237" s="50"/>
      <c r="C237" s="5"/>
      <c r="D237" s="48"/>
      <c r="E237" s="50"/>
      <c r="F237" s="5"/>
      <c r="G237" s="5"/>
      <c r="H237" s="5"/>
      <c r="I237" s="5"/>
      <c r="J237" s="5"/>
      <c r="K237" s="50"/>
      <c r="L237" s="50"/>
      <c r="M237" s="50"/>
      <c r="N237" s="50"/>
      <c r="O237" s="50"/>
      <c r="P237" s="50"/>
      <c r="Q237" s="50"/>
      <c r="R237" s="50"/>
      <c r="S237" s="50"/>
      <c r="T237" s="50"/>
      <c r="U237" s="50"/>
      <c r="V237" s="50"/>
      <c r="W237" s="50"/>
      <c r="X237" s="50"/>
      <c r="Y237" s="50"/>
      <c r="Z237" s="50"/>
      <c r="AA237" s="50"/>
      <c r="AB237" s="50"/>
    </row>
    <row r="238" customFormat="false" ht="15.75" hidden="false" customHeight="false" outlineLevel="0" collapsed="false">
      <c r="A238" s="50"/>
      <c r="B238" s="50"/>
      <c r="C238" s="5"/>
      <c r="D238" s="48"/>
      <c r="E238" s="50"/>
      <c r="F238" s="5"/>
      <c r="G238" s="5"/>
      <c r="H238" s="5"/>
      <c r="I238" s="5"/>
      <c r="J238" s="5"/>
      <c r="K238" s="50"/>
      <c r="L238" s="50"/>
      <c r="M238" s="50"/>
      <c r="N238" s="50"/>
      <c r="O238" s="50"/>
      <c r="P238" s="50"/>
      <c r="Q238" s="50"/>
      <c r="R238" s="50"/>
      <c r="S238" s="50"/>
      <c r="T238" s="50"/>
      <c r="U238" s="50"/>
      <c r="V238" s="50"/>
      <c r="W238" s="50"/>
      <c r="X238" s="50"/>
      <c r="Y238" s="50"/>
      <c r="Z238" s="50"/>
      <c r="AA238" s="50"/>
      <c r="AB238" s="50"/>
    </row>
    <row r="239" customFormat="false" ht="15.75" hidden="false" customHeight="false" outlineLevel="0" collapsed="false">
      <c r="A239" s="50"/>
      <c r="B239" s="50"/>
      <c r="C239" s="5"/>
      <c r="D239" s="48"/>
      <c r="E239" s="50"/>
      <c r="F239" s="5"/>
      <c r="G239" s="5"/>
      <c r="H239" s="5"/>
      <c r="I239" s="5"/>
      <c r="J239" s="5"/>
      <c r="K239" s="50"/>
      <c r="L239" s="50"/>
      <c r="M239" s="50"/>
      <c r="N239" s="50"/>
      <c r="O239" s="50"/>
      <c r="P239" s="50"/>
      <c r="Q239" s="50"/>
      <c r="R239" s="50"/>
      <c r="S239" s="50"/>
      <c r="T239" s="50"/>
      <c r="U239" s="50"/>
      <c r="V239" s="50"/>
      <c r="W239" s="50"/>
      <c r="X239" s="50"/>
      <c r="Y239" s="50"/>
      <c r="Z239" s="50"/>
      <c r="AA239" s="50"/>
      <c r="AB239" s="50"/>
    </row>
    <row r="240" customFormat="false" ht="15.75" hidden="false" customHeight="false" outlineLevel="0" collapsed="false">
      <c r="A240" s="50"/>
      <c r="B240" s="50"/>
      <c r="C240" s="5"/>
      <c r="D240" s="48"/>
      <c r="E240" s="50"/>
      <c r="F240" s="5"/>
      <c r="G240" s="5"/>
      <c r="H240" s="5"/>
      <c r="I240" s="5"/>
      <c r="J240" s="5"/>
      <c r="K240" s="50"/>
      <c r="L240" s="50"/>
      <c r="M240" s="50"/>
      <c r="N240" s="50"/>
      <c r="O240" s="50"/>
      <c r="P240" s="50"/>
      <c r="Q240" s="50"/>
      <c r="R240" s="50"/>
      <c r="S240" s="50"/>
      <c r="T240" s="50"/>
      <c r="U240" s="50"/>
      <c r="V240" s="50"/>
      <c r="W240" s="50"/>
      <c r="X240" s="50"/>
      <c r="Y240" s="50"/>
      <c r="Z240" s="50"/>
      <c r="AA240" s="50"/>
      <c r="AB240" s="50"/>
    </row>
    <row r="241" customFormat="false" ht="15.75" hidden="false" customHeight="false" outlineLevel="0" collapsed="false">
      <c r="A241" s="50"/>
      <c r="B241" s="50"/>
      <c r="C241" s="5"/>
      <c r="D241" s="48"/>
      <c r="E241" s="50"/>
      <c r="F241" s="5"/>
      <c r="G241" s="5"/>
      <c r="H241" s="5"/>
      <c r="I241" s="5"/>
      <c r="J241" s="5"/>
      <c r="K241" s="50"/>
      <c r="L241" s="50"/>
      <c r="M241" s="50"/>
      <c r="N241" s="50"/>
      <c r="O241" s="50"/>
      <c r="P241" s="50"/>
      <c r="Q241" s="50"/>
      <c r="R241" s="50"/>
      <c r="S241" s="50"/>
      <c r="T241" s="50"/>
      <c r="U241" s="50"/>
      <c r="V241" s="50"/>
      <c r="W241" s="50"/>
      <c r="X241" s="50"/>
      <c r="Y241" s="50"/>
      <c r="Z241" s="50"/>
      <c r="AA241" s="50"/>
      <c r="AB241" s="50"/>
    </row>
    <row r="242" customFormat="false" ht="15.75" hidden="false" customHeight="false" outlineLevel="0" collapsed="false">
      <c r="A242" s="50"/>
      <c r="B242" s="50"/>
      <c r="C242" s="5"/>
      <c r="D242" s="48"/>
      <c r="E242" s="50"/>
      <c r="F242" s="5"/>
      <c r="G242" s="5"/>
      <c r="H242" s="5"/>
      <c r="I242" s="5"/>
      <c r="J242" s="5"/>
      <c r="K242" s="50"/>
      <c r="L242" s="50"/>
      <c r="M242" s="50"/>
      <c r="N242" s="50"/>
      <c r="O242" s="50"/>
      <c r="P242" s="50"/>
      <c r="Q242" s="50"/>
      <c r="R242" s="50"/>
      <c r="S242" s="50"/>
      <c r="T242" s="50"/>
      <c r="U242" s="50"/>
      <c r="V242" s="50"/>
      <c r="W242" s="50"/>
      <c r="X242" s="50"/>
      <c r="Y242" s="50"/>
      <c r="Z242" s="50"/>
      <c r="AA242" s="50"/>
      <c r="AB242" s="50"/>
    </row>
    <row r="243" customFormat="false" ht="15.75" hidden="false" customHeight="false" outlineLevel="0" collapsed="false">
      <c r="A243" s="50"/>
      <c r="B243" s="50"/>
      <c r="C243" s="5"/>
      <c r="D243" s="48"/>
      <c r="E243" s="50"/>
      <c r="F243" s="5"/>
      <c r="G243" s="5"/>
      <c r="H243" s="5"/>
      <c r="I243" s="5"/>
      <c r="J243" s="5"/>
      <c r="K243" s="50"/>
      <c r="L243" s="50"/>
      <c r="M243" s="50"/>
      <c r="N243" s="50"/>
      <c r="O243" s="50"/>
      <c r="P243" s="50"/>
      <c r="Q243" s="50"/>
      <c r="R243" s="50"/>
      <c r="S243" s="50"/>
      <c r="T243" s="50"/>
      <c r="U243" s="50"/>
      <c r="V243" s="50"/>
      <c r="W243" s="50"/>
      <c r="X243" s="50"/>
      <c r="Y243" s="50"/>
      <c r="Z243" s="50"/>
      <c r="AA243" s="50"/>
      <c r="AB243" s="50"/>
    </row>
    <row r="244" customFormat="false" ht="15.75" hidden="false" customHeight="false" outlineLevel="0" collapsed="false">
      <c r="A244" s="50"/>
      <c r="B244" s="50"/>
      <c r="C244" s="5"/>
      <c r="D244" s="48"/>
      <c r="E244" s="50"/>
      <c r="F244" s="5"/>
      <c r="G244" s="5"/>
      <c r="H244" s="5"/>
      <c r="I244" s="5"/>
      <c r="J244" s="5"/>
      <c r="K244" s="50"/>
      <c r="L244" s="50"/>
      <c r="M244" s="50"/>
      <c r="N244" s="50"/>
      <c r="O244" s="50"/>
      <c r="P244" s="50"/>
      <c r="Q244" s="50"/>
      <c r="R244" s="50"/>
      <c r="S244" s="50"/>
      <c r="T244" s="50"/>
      <c r="U244" s="50"/>
      <c r="V244" s="50"/>
      <c r="W244" s="50"/>
      <c r="X244" s="50"/>
      <c r="Y244" s="50"/>
      <c r="Z244" s="50"/>
      <c r="AA244" s="50"/>
      <c r="AB244" s="50"/>
    </row>
    <row r="245" customFormat="false" ht="15.75" hidden="false" customHeight="false" outlineLevel="0" collapsed="false">
      <c r="A245" s="50"/>
      <c r="B245" s="50"/>
      <c r="C245" s="5"/>
      <c r="D245" s="48"/>
      <c r="E245" s="50"/>
      <c r="F245" s="5"/>
      <c r="G245" s="5"/>
      <c r="H245" s="5"/>
      <c r="I245" s="5"/>
      <c r="J245" s="5"/>
      <c r="K245" s="50"/>
      <c r="L245" s="50"/>
      <c r="M245" s="50"/>
      <c r="N245" s="50"/>
      <c r="O245" s="50"/>
      <c r="P245" s="50"/>
      <c r="Q245" s="50"/>
      <c r="R245" s="50"/>
      <c r="S245" s="50"/>
      <c r="T245" s="50"/>
      <c r="U245" s="50"/>
      <c r="V245" s="50"/>
      <c r="W245" s="50"/>
      <c r="X245" s="50"/>
      <c r="Y245" s="50"/>
      <c r="Z245" s="50"/>
      <c r="AA245" s="50"/>
      <c r="AB245" s="50"/>
    </row>
    <row r="246" customFormat="false" ht="15.75" hidden="false" customHeight="false" outlineLevel="0" collapsed="false">
      <c r="A246" s="50"/>
      <c r="B246" s="50"/>
      <c r="C246" s="5"/>
      <c r="D246" s="48"/>
      <c r="E246" s="50"/>
      <c r="F246" s="5"/>
      <c r="G246" s="5"/>
      <c r="H246" s="5"/>
      <c r="I246" s="5"/>
      <c r="J246" s="5"/>
      <c r="K246" s="50"/>
      <c r="L246" s="50"/>
      <c r="M246" s="50"/>
      <c r="N246" s="50"/>
      <c r="O246" s="50"/>
      <c r="P246" s="50"/>
      <c r="Q246" s="50"/>
      <c r="R246" s="50"/>
      <c r="S246" s="50"/>
      <c r="T246" s="50"/>
      <c r="U246" s="50"/>
      <c r="V246" s="50"/>
      <c r="W246" s="50"/>
      <c r="X246" s="50"/>
      <c r="Y246" s="50"/>
      <c r="Z246" s="50"/>
      <c r="AA246" s="50"/>
      <c r="AB246" s="50"/>
    </row>
    <row r="247" customFormat="false" ht="15.75" hidden="false" customHeight="false" outlineLevel="0" collapsed="false">
      <c r="A247" s="50"/>
      <c r="B247" s="50"/>
      <c r="C247" s="5"/>
      <c r="D247" s="48"/>
      <c r="E247" s="50"/>
      <c r="F247" s="5"/>
      <c r="G247" s="5"/>
      <c r="H247" s="5"/>
      <c r="I247" s="5"/>
      <c r="J247" s="5"/>
      <c r="K247" s="50"/>
      <c r="L247" s="50"/>
      <c r="M247" s="50"/>
      <c r="N247" s="50"/>
      <c r="O247" s="50"/>
      <c r="P247" s="50"/>
      <c r="Q247" s="50"/>
      <c r="R247" s="50"/>
      <c r="S247" s="50"/>
      <c r="T247" s="50"/>
      <c r="U247" s="50"/>
      <c r="V247" s="50"/>
      <c r="W247" s="50"/>
      <c r="X247" s="50"/>
      <c r="Y247" s="50"/>
      <c r="Z247" s="50"/>
      <c r="AA247" s="50"/>
      <c r="AB247" s="50"/>
    </row>
    <row r="248" customFormat="false" ht="15.75" hidden="false" customHeight="false" outlineLevel="0" collapsed="false">
      <c r="A248" s="50"/>
      <c r="B248" s="50"/>
      <c r="C248" s="5"/>
      <c r="D248" s="48"/>
      <c r="E248" s="50"/>
      <c r="F248" s="5"/>
      <c r="G248" s="5"/>
      <c r="H248" s="5"/>
      <c r="I248" s="5"/>
      <c r="J248" s="5"/>
      <c r="K248" s="50"/>
      <c r="L248" s="50"/>
      <c r="M248" s="50"/>
      <c r="N248" s="50"/>
      <c r="O248" s="50"/>
      <c r="P248" s="50"/>
      <c r="Q248" s="50"/>
      <c r="R248" s="50"/>
      <c r="S248" s="50"/>
      <c r="T248" s="50"/>
      <c r="U248" s="50"/>
      <c r="V248" s="50"/>
      <c r="W248" s="50"/>
      <c r="X248" s="50"/>
      <c r="Y248" s="50"/>
      <c r="Z248" s="50"/>
      <c r="AA248" s="50"/>
      <c r="AB248" s="50"/>
    </row>
    <row r="249" customFormat="false" ht="15.75" hidden="false" customHeight="false" outlineLevel="0" collapsed="false">
      <c r="A249" s="50"/>
      <c r="B249" s="50"/>
      <c r="C249" s="5"/>
      <c r="D249" s="48"/>
      <c r="E249" s="50"/>
      <c r="F249" s="5"/>
      <c r="G249" s="5"/>
      <c r="H249" s="5"/>
      <c r="I249" s="5"/>
      <c r="J249" s="5"/>
      <c r="K249" s="50"/>
      <c r="L249" s="50"/>
      <c r="M249" s="50"/>
      <c r="N249" s="50"/>
      <c r="O249" s="50"/>
      <c r="P249" s="50"/>
      <c r="Q249" s="50"/>
      <c r="R249" s="50"/>
      <c r="S249" s="50"/>
      <c r="T249" s="50"/>
      <c r="U249" s="50"/>
      <c r="V249" s="50"/>
      <c r="W249" s="50"/>
      <c r="X249" s="50"/>
      <c r="Y249" s="50"/>
      <c r="Z249" s="50"/>
      <c r="AA249" s="50"/>
      <c r="AB249" s="50"/>
    </row>
    <row r="250" customFormat="false" ht="15.75" hidden="false" customHeight="false" outlineLevel="0" collapsed="false">
      <c r="A250" s="50"/>
      <c r="B250" s="50"/>
      <c r="C250" s="5"/>
      <c r="D250" s="48"/>
      <c r="E250" s="50"/>
      <c r="F250" s="5"/>
      <c r="G250" s="5"/>
      <c r="H250" s="5"/>
      <c r="I250" s="5"/>
      <c r="J250" s="5"/>
      <c r="K250" s="50"/>
      <c r="L250" s="50"/>
      <c r="M250" s="50"/>
      <c r="N250" s="50"/>
      <c r="O250" s="50"/>
      <c r="P250" s="50"/>
      <c r="Q250" s="50"/>
      <c r="R250" s="50"/>
      <c r="S250" s="50"/>
      <c r="T250" s="50"/>
      <c r="U250" s="50"/>
      <c r="V250" s="50"/>
      <c r="W250" s="50"/>
      <c r="X250" s="50"/>
      <c r="Y250" s="50"/>
      <c r="Z250" s="50"/>
      <c r="AA250" s="50"/>
      <c r="AB250" s="50"/>
    </row>
    <row r="251" customFormat="false" ht="15.75" hidden="false" customHeight="false" outlineLevel="0" collapsed="false">
      <c r="A251" s="50"/>
      <c r="B251" s="50"/>
      <c r="C251" s="5"/>
      <c r="D251" s="48"/>
      <c r="E251" s="50"/>
      <c r="F251" s="5"/>
      <c r="G251" s="5"/>
      <c r="H251" s="5"/>
      <c r="I251" s="5"/>
      <c r="J251" s="5"/>
      <c r="K251" s="50"/>
      <c r="L251" s="50"/>
      <c r="M251" s="50"/>
      <c r="N251" s="50"/>
      <c r="O251" s="50"/>
      <c r="P251" s="50"/>
      <c r="Q251" s="50"/>
      <c r="R251" s="50"/>
      <c r="S251" s="50"/>
      <c r="T251" s="50"/>
      <c r="U251" s="50"/>
      <c r="V251" s="50"/>
      <c r="W251" s="50"/>
      <c r="X251" s="50"/>
      <c r="Y251" s="50"/>
      <c r="Z251" s="50"/>
      <c r="AA251" s="50"/>
      <c r="AB251" s="50"/>
    </row>
    <row r="252" customFormat="false" ht="15.75" hidden="false" customHeight="false" outlineLevel="0" collapsed="false">
      <c r="A252" s="50"/>
      <c r="B252" s="50"/>
      <c r="C252" s="5"/>
      <c r="D252" s="48"/>
      <c r="E252" s="50"/>
      <c r="F252" s="5"/>
      <c r="G252" s="5"/>
      <c r="H252" s="5"/>
      <c r="I252" s="5"/>
      <c r="J252" s="5"/>
      <c r="K252" s="50"/>
      <c r="L252" s="50"/>
      <c r="M252" s="50"/>
      <c r="N252" s="50"/>
      <c r="O252" s="50"/>
      <c r="P252" s="50"/>
      <c r="Q252" s="50"/>
      <c r="R252" s="50"/>
      <c r="S252" s="50"/>
      <c r="T252" s="50"/>
      <c r="U252" s="50"/>
      <c r="V252" s="50"/>
      <c r="W252" s="50"/>
      <c r="X252" s="50"/>
      <c r="Y252" s="50"/>
      <c r="Z252" s="50"/>
      <c r="AA252" s="50"/>
      <c r="AB252" s="50"/>
    </row>
    <row r="253" customFormat="false" ht="15.75" hidden="false" customHeight="false" outlineLevel="0" collapsed="false">
      <c r="A253" s="50"/>
      <c r="B253" s="50"/>
      <c r="C253" s="5"/>
      <c r="D253" s="48"/>
      <c r="E253" s="50"/>
      <c r="F253" s="5"/>
      <c r="G253" s="5"/>
      <c r="H253" s="5"/>
      <c r="I253" s="5"/>
      <c r="J253" s="5"/>
      <c r="K253" s="50"/>
      <c r="L253" s="50"/>
      <c r="M253" s="50"/>
      <c r="N253" s="50"/>
      <c r="O253" s="50"/>
      <c r="P253" s="50"/>
      <c r="Q253" s="50"/>
      <c r="R253" s="50"/>
      <c r="S253" s="50"/>
      <c r="T253" s="50"/>
      <c r="U253" s="50"/>
      <c r="V253" s="50"/>
      <c r="W253" s="50"/>
      <c r="X253" s="50"/>
      <c r="Y253" s="50"/>
      <c r="Z253" s="50"/>
      <c r="AA253" s="50"/>
      <c r="AB253" s="50"/>
    </row>
    <row r="254" customFormat="false" ht="15.75" hidden="false" customHeight="false" outlineLevel="0" collapsed="false">
      <c r="A254" s="50"/>
      <c r="B254" s="50"/>
      <c r="C254" s="5"/>
      <c r="D254" s="48"/>
      <c r="E254" s="50"/>
      <c r="F254" s="5"/>
      <c r="G254" s="5"/>
      <c r="H254" s="5"/>
      <c r="I254" s="5"/>
      <c r="J254" s="5"/>
      <c r="K254" s="50"/>
      <c r="L254" s="50"/>
      <c r="M254" s="50"/>
      <c r="N254" s="50"/>
      <c r="O254" s="50"/>
      <c r="P254" s="50"/>
      <c r="Q254" s="50"/>
      <c r="R254" s="50"/>
      <c r="S254" s="50"/>
      <c r="T254" s="50"/>
      <c r="U254" s="50"/>
      <c r="V254" s="50"/>
      <c r="W254" s="50"/>
      <c r="X254" s="50"/>
      <c r="Y254" s="50"/>
      <c r="Z254" s="50"/>
      <c r="AA254" s="50"/>
      <c r="AB254" s="50"/>
    </row>
    <row r="255" customFormat="false" ht="15.75" hidden="false" customHeight="false" outlineLevel="0" collapsed="false">
      <c r="A255" s="50"/>
      <c r="B255" s="50"/>
      <c r="C255" s="5"/>
      <c r="D255" s="48"/>
      <c r="E255" s="50"/>
      <c r="F255" s="5"/>
      <c r="G255" s="5"/>
      <c r="H255" s="5"/>
      <c r="I255" s="5"/>
      <c r="J255" s="5"/>
      <c r="K255" s="50"/>
      <c r="L255" s="50"/>
      <c r="M255" s="50"/>
      <c r="N255" s="50"/>
      <c r="O255" s="50"/>
      <c r="P255" s="50"/>
      <c r="Q255" s="50"/>
      <c r="R255" s="50"/>
      <c r="S255" s="50"/>
      <c r="T255" s="50"/>
      <c r="U255" s="50"/>
      <c r="V255" s="50"/>
      <c r="W255" s="50"/>
      <c r="X255" s="50"/>
      <c r="Y255" s="50"/>
      <c r="Z255" s="50"/>
      <c r="AA255" s="50"/>
      <c r="AB255" s="50"/>
    </row>
    <row r="256" customFormat="false" ht="15.75" hidden="false" customHeight="false" outlineLevel="0" collapsed="false">
      <c r="A256" s="50"/>
      <c r="B256" s="50"/>
      <c r="C256" s="5"/>
      <c r="D256" s="48"/>
      <c r="E256" s="50"/>
      <c r="F256" s="5"/>
      <c r="G256" s="5"/>
      <c r="H256" s="5"/>
      <c r="I256" s="5"/>
      <c r="J256" s="5"/>
      <c r="K256" s="50"/>
      <c r="L256" s="50"/>
      <c r="M256" s="50"/>
      <c r="N256" s="50"/>
      <c r="O256" s="50"/>
      <c r="P256" s="50"/>
      <c r="Q256" s="50"/>
      <c r="R256" s="50"/>
      <c r="S256" s="50"/>
      <c r="T256" s="50"/>
      <c r="U256" s="50"/>
      <c r="V256" s="50"/>
      <c r="W256" s="50"/>
      <c r="X256" s="50"/>
      <c r="Y256" s="50"/>
      <c r="Z256" s="50"/>
      <c r="AA256" s="50"/>
      <c r="AB256" s="50"/>
    </row>
    <row r="257" customFormat="false" ht="15.75" hidden="false" customHeight="false" outlineLevel="0" collapsed="false">
      <c r="A257" s="50"/>
      <c r="B257" s="50"/>
      <c r="C257" s="5"/>
      <c r="D257" s="48"/>
      <c r="E257" s="50"/>
      <c r="F257" s="5"/>
      <c r="G257" s="5"/>
      <c r="H257" s="5"/>
      <c r="I257" s="5"/>
      <c r="J257" s="5"/>
      <c r="K257" s="50"/>
      <c r="L257" s="50"/>
      <c r="M257" s="50"/>
      <c r="N257" s="50"/>
      <c r="O257" s="50"/>
      <c r="P257" s="50"/>
      <c r="Q257" s="50"/>
      <c r="R257" s="50"/>
      <c r="S257" s="50"/>
      <c r="T257" s="50"/>
      <c r="U257" s="50"/>
      <c r="V257" s="50"/>
      <c r="W257" s="50"/>
      <c r="X257" s="50"/>
      <c r="Y257" s="50"/>
      <c r="Z257" s="50"/>
      <c r="AA257" s="50"/>
      <c r="AB257" s="50"/>
    </row>
    <row r="258" customFormat="false" ht="15.75" hidden="false" customHeight="false" outlineLevel="0" collapsed="false">
      <c r="A258" s="50"/>
      <c r="B258" s="50"/>
      <c r="C258" s="5"/>
      <c r="D258" s="48"/>
      <c r="E258" s="50"/>
      <c r="F258" s="5"/>
      <c r="G258" s="5"/>
      <c r="H258" s="5"/>
      <c r="I258" s="5"/>
      <c r="J258" s="5"/>
      <c r="K258" s="50"/>
      <c r="L258" s="50"/>
      <c r="M258" s="50"/>
      <c r="N258" s="50"/>
      <c r="O258" s="50"/>
      <c r="P258" s="50"/>
      <c r="Q258" s="50"/>
      <c r="R258" s="50"/>
      <c r="S258" s="50"/>
      <c r="T258" s="50"/>
      <c r="U258" s="50"/>
      <c r="V258" s="50"/>
      <c r="W258" s="50"/>
      <c r="X258" s="50"/>
      <c r="Y258" s="50"/>
      <c r="Z258" s="50"/>
      <c r="AA258" s="50"/>
      <c r="AB258" s="50"/>
    </row>
    <row r="259" customFormat="false" ht="15.75" hidden="false" customHeight="false" outlineLevel="0" collapsed="false">
      <c r="A259" s="50"/>
      <c r="B259" s="50"/>
      <c r="C259" s="5"/>
      <c r="D259" s="48"/>
      <c r="E259" s="50"/>
      <c r="F259" s="5"/>
      <c r="G259" s="5"/>
      <c r="H259" s="5"/>
      <c r="I259" s="5"/>
      <c r="J259" s="5"/>
      <c r="K259" s="50"/>
      <c r="L259" s="50"/>
      <c r="M259" s="50"/>
      <c r="N259" s="50"/>
      <c r="O259" s="50"/>
      <c r="P259" s="50"/>
      <c r="Q259" s="50"/>
      <c r="R259" s="50"/>
      <c r="S259" s="50"/>
      <c r="T259" s="50"/>
      <c r="U259" s="50"/>
      <c r="V259" s="50"/>
      <c r="W259" s="50"/>
      <c r="X259" s="50"/>
      <c r="Y259" s="50"/>
      <c r="Z259" s="50"/>
      <c r="AA259" s="50"/>
      <c r="AB259" s="50"/>
    </row>
    <row r="260" customFormat="false" ht="15.75" hidden="false" customHeight="false" outlineLevel="0" collapsed="false">
      <c r="A260" s="50"/>
      <c r="B260" s="50"/>
      <c r="C260" s="5"/>
      <c r="D260" s="48"/>
      <c r="E260" s="50"/>
      <c r="F260" s="5"/>
      <c r="G260" s="5"/>
      <c r="H260" s="5"/>
      <c r="I260" s="5"/>
      <c r="J260" s="5"/>
      <c r="K260" s="50"/>
      <c r="L260" s="50"/>
      <c r="M260" s="50"/>
      <c r="N260" s="50"/>
      <c r="O260" s="50"/>
      <c r="P260" s="50"/>
      <c r="Q260" s="50"/>
      <c r="R260" s="50"/>
      <c r="S260" s="50"/>
      <c r="T260" s="50"/>
      <c r="U260" s="50"/>
      <c r="V260" s="50"/>
      <c r="W260" s="50"/>
      <c r="X260" s="50"/>
      <c r="Y260" s="50"/>
      <c r="Z260" s="50"/>
      <c r="AA260" s="50"/>
      <c r="AB260" s="50"/>
    </row>
    <row r="261" customFormat="false" ht="15.75" hidden="false" customHeight="false" outlineLevel="0" collapsed="false">
      <c r="A261" s="50"/>
      <c r="B261" s="50"/>
      <c r="C261" s="5"/>
      <c r="D261" s="48"/>
      <c r="E261" s="50"/>
      <c r="F261" s="5"/>
      <c r="G261" s="5"/>
      <c r="H261" s="5"/>
      <c r="I261" s="5"/>
      <c r="J261" s="5"/>
      <c r="K261" s="50"/>
      <c r="L261" s="50"/>
      <c r="M261" s="50"/>
      <c r="N261" s="50"/>
      <c r="O261" s="50"/>
      <c r="P261" s="50"/>
      <c r="Q261" s="50"/>
      <c r="R261" s="50"/>
      <c r="S261" s="50"/>
      <c r="T261" s="50"/>
      <c r="U261" s="50"/>
      <c r="V261" s="50"/>
      <c r="W261" s="50"/>
      <c r="X261" s="50"/>
      <c r="Y261" s="50"/>
      <c r="Z261" s="50"/>
      <c r="AA261" s="50"/>
      <c r="AB261" s="50"/>
    </row>
    <row r="262" customFormat="false" ht="15.75" hidden="false" customHeight="false" outlineLevel="0" collapsed="false">
      <c r="A262" s="50"/>
      <c r="B262" s="50"/>
      <c r="C262" s="5"/>
      <c r="D262" s="48"/>
      <c r="E262" s="50"/>
      <c r="F262" s="5"/>
      <c r="G262" s="5"/>
      <c r="H262" s="5"/>
      <c r="I262" s="5"/>
      <c r="J262" s="5"/>
      <c r="K262" s="50"/>
      <c r="L262" s="50"/>
      <c r="M262" s="50"/>
      <c r="N262" s="50"/>
      <c r="O262" s="50"/>
      <c r="P262" s="50"/>
      <c r="Q262" s="50"/>
      <c r="R262" s="50"/>
      <c r="S262" s="50"/>
      <c r="T262" s="50"/>
      <c r="U262" s="50"/>
      <c r="V262" s="50"/>
      <c r="W262" s="50"/>
      <c r="X262" s="50"/>
      <c r="Y262" s="50"/>
      <c r="Z262" s="50"/>
      <c r="AA262" s="50"/>
      <c r="AB262" s="50"/>
    </row>
    <row r="263" customFormat="false" ht="15.75" hidden="false" customHeight="false" outlineLevel="0" collapsed="false">
      <c r="A263" s="50"/>
      <c r="B263" s="50"/>
      <c r="C263" s="5"/>
      <c r="D263" s="48"/>
      <c r="E263" s="50"/>
      <c r="F263" s="5"/>
      <c r="G263" s="5"/>
      <c r="H263" s="5"/>
      <c r="I263" s="5"/>
      <c r="J263" s="5"/>
      <c r="K263" s="50"/>
      <c r="L263" s="50"/>
      <c r="M263" s="50"/>
      <c r="N263" s="50"/>
      <c r="O263" s="50"/>
      <c r="P263" s="50"/>
      <c r="Q263" s="50"/>
      <c r="R263" s="50"/>
      <c r="S263" s="50"/>
      <c r="T263" s="50"/>
      <c r="U263" s="50"/>
      <c r="V263" s="50"/>
      <c r="W263" s="50"/>
      <c r="X263" s="50"/>
      <c r="Y263" s="50"/>
      <c r="Z263" s="50"/>
      <c r="AA263" s="50"/>
      <c r="AB263" s="50"/>
    </row>
    <row r="264" customFormat="false" ht="15.75" hidden="false" customHeight="false" outlineLevel="0" collapsed="false">
      <c r="A264" s="50"/>
      <c r="B264" s="50"/>
      <c r="C264" s="5"/>
      <c r="D264" s="48"/>
      <c r="E264" s="50"/>
      <c r="F264" s="5"/>
      <c r="G264" s="5"/>
      <c r="H264" s="5"/>
      <c r="I264" s="5"/>
      <c r="J264" s="5"/>
      <c r="K264" s="50"/>
      <c r="L264" s="50"/>
      <c r="M264" s="50"/>
      <c r="N264" s="50"/>
      <c r="O264" s="50"/>
      <c r="P264" s="50"/>
      <c r="Q264" s="50"/>
      <c r="R264" s="50"/>
      <c r="S264" s="50"/>
      <c r="T264" s="50"/>
      <c r="U264" s="50"/>
      <c r="V264" s="50"/>
      <c r="W264" s="50"/>
      <c r="X264" s="50"/>
      <c r="Y264" s="50"/>
      <c r="Z264" s="50"/>
      <c r="AA264" s="50"/>
      <c r="AB264" s="50"/>
    </row>
    <row r="265" customFormat="false" ht="15.75" hidden="false" customHeight="false" outlineLevel="0" collapsed="false">
      <c r="A265" s="50"/>
      <c r="B265" s="50"/>
      <c r="C265" s="5"/>
      <c r="D265" s="48"/>
      <c r="E265" s="50"/>
      <c r="F265" s="5"/>
      <c r="G265" s="5"/>
      <c r="H265" s="5"/>
      <c r="I265" s="5"/>
      <c r="J265" s="5"/>
      <c r="K265" s="50"/>
      <c r="L265" s="50"/>
      <c r="M265" s="50"/>
      <c r="N265" s="50"/>
      <c r="O265" s="50"/>
      <c r="P265" s="50"/>
      <c r="Q265" s="50"/>
      <c r="R265" s="50"/>
      <c r="S265" s="50"/>
      <c r="T265" s="50"/>
      <c r="U265" s="50"/>
      <c r="V265" s="50"/>
      <c r="W265" s="50"/>
      <c r="X265" s="50"/>
      <c r="Y265" s="50"/>
      <c r="Z265" s="50"/>
      <c r="AA265" s="50"/>
      <c r="AB265" s="50"/>
    </row>
    <row r="266" customFormat="false" ht="15.75" hidden="false" customHeight="false" outlineLevel="0" collapsed="false">
      <c r="A266" s="50"/>
      <c r="B266" s="50"/>
      <c r="C266" s="5"/>
      <c r="D266" s="48"/>
      <c r="E266" s="50"/>
      <c r="F266" s="5"/>
      <c r="G266" s="5"/>
      <c r="H266" s="5"/>
      <c r="I266" s="5"/>
      <c r="J266" s="5"/>
      <c r="K266" s="50"/>
      <c r="L266" s="50"/>
      <c r="M266" s="50"/>
      <c r="N266" s="50"/>
      <c r="O266" s="50"/>
      <c r="P266" s="50"/>
      <c r="Q266" s="50"/>
      <c r="R266" s="50"/>
      <c r="S266" s="50"/>
      <c r="T266" s="50"/>
      <c r="U266" s="50"/>
      <c r="V266" s="50"/>
      <c r="W266" s="50"/>
      <c r="X266" s="50"/>
      <c r="Y266" s="50"/>
      <c r="Z266" s="50"/>
      <c r="AA266" s="50"/>
      <c r="AB266" s="50"/>
    </row>
    <row r="267" customFormat="false" ht="15.75" hidden="false" customHeight="false" outlineLevel="0" collapsed="false">
      <c r="A267" s="50"/>
      <c r="B267" s="50"/>
      <c r="C267" s="5"/>
      <c r="D267" s="48"/>
      <c r="E267" s="50"/>
      <c r="F267" s="5"/>
      <c r="G267" s="5"/>
      <c r="H267" s="5"/>
      <c r="I267" s="5"/>
      <c r="J267" s="5"/>
      <c r="K267" s="50"/>
      <c r="L267" s="50"/>
      <c r="M267" s="50"/>
      <c r="N267" s="50"/>
      <c r="O267" s="50"/>
      <c r="P267" s="50"/>
      <c r="Q267" s="50"/>
      <c r="R267" s="50"/>
      <c r="S267" s="50"/>
      <c r="T267" s="50"/>
      <c r="U267" s="50"/>
      <c r="V267" s="50"/>
      <c r="W267" s="50"/>
      <c r="X267" s="50"/>
      <c r="Y267" s="50"/>
      <c r="Z267" s="50"/>
      <c r="AA267" s="50"/>
      <c r="AB267" s="50"/>
    </row>
    <row r="268" customFormat="false" ht="15.75" hidden="false" customHeight="false" outlineLevel="0" collapsed="false">
      <c r="A268" s="50"/>
      <c r="B268" s="50"/>
      <c r="C268" s="5"/>
      <c r="D268" s="48"/>
      <c r="E268" s="50"/>
      <c r="F268" s="5"/>
      <c r="G268" s="5"/>
      <c r="H268" s="5"/>
      <c r="I268" s="5"/>
      <c r="J268" s="5"/>
      <c r="K268" s="50"/>
      <c r="L268" s="50"/>
      <c r="M268" s="50"/>
      <c r="N268" s="50"/>
      <c r="O268" s="50"/>
      <c r="P268" s="50"/>
      <c r="Q268" s="50"/>
      <c r="R268" s="50"/>
      <c r="S268" s="50"/>
      <c r="T268" s="50"/>
      <c r="U268" s="50"/>
      <c r="V268" s="50"/>
      <c r="W268" s="50"/>
      <c r="X268" s="50"/>
      <c r="Y268" s="50"/>
      <c r="Z268" s="50"/>
      <c r="AA268" s="50"/>
      <c r="AB268" s="50"/>
    </row>
    <row r="269" customFormat="false" ht="15.75" hidden="false" customHeight="false" outlineLevel="0" collapsed="false">
      <c r="A269" s="50"/>
      <c r="B269" s="50"/>
      <c r="C269" s="5"/>
      <c r="D269" s="48"/>
      <c r="E269" s="50"/>
      <c r="F269" s="5"/>
      <c r="G269" s="5"/>
      <c r="H269" s="5"/>
      <c r="I269" s="5"/>
      <c r="J269" s="5"/>
      <c r="K269" s="50"/>
      <c r="L269" s="50"/>
      <c r="M269" s="50"/>
      <c r="N269" s="50"/>
      <c r="O269" s="50"/>
      <c r="P269" s="50"/>
      <c r="Q269" s="50"/>
      <c r="R269" s="50"/>
      <c r="S269" s="50"/>
      <c r="T269" s="50"/>
      <c r="U269" s="50"/>
      <c r="V269" s="50"/>
      <c r="W269" s="50"/>
      <c r="X269" s="50"/>
      <c r="Y269" s="50"/>
      <c r="Z269" s="50"/>
      <c r="AA269" s="50"/>
      <c r="AB269" s="50"/>
    </row>
    <row r="270" customFormat="false" ht="15.75" hidden="false" customHeight="false" outlineLevel="0" collapsed="false">
      <c r="A270" s="50"/>
      <c r="B270" s="50"/>
      <c r="C270" s="5"/>
      <c r="D270" s="48"/>
      <c r="E270" s="50"/>
      <c r="F270" s="5"/>
      <c r="G270" s="5"/>
      <c r="H270" s="5"/>
      <c r="I270" s="5"/>
      <c r="J270" s="5"/>
      <c r="K270" s="50"/>
      <c r="L270" s="50"/>
      <c r="M270" s="50"/>
      <c r="N270" s="50"/>
      <c r="O270" s="50"/>
      <c r="P270" s="50"/>
      <c r="Q270" s="50"/>
      <c r="R270" s="50"/>
      <c r="S270" s="50"/>
      <c r="T270" s="50"/>
      <c r="U270" s="50"/>
      <c r="V270" s="50"/>
      <c r="W270" s="50"/>
      <c r="X270" s="50"/>
      <c r="Y270" s="50"/>
      <c r="Z270" s="50"/>
      <c r="AA270" s="50"/>
      <c r="AB270" s="50"/>
    </row>
    <row r="271" customFormat="false" ht="15.75" hidden="false" customHeight="false" outlineLevel="0" collapsed="false">
      <c r="A271" s="50"/>
      <c r="B271" s="50"/>
      <c r="C271" s="5"/>
      <c r="D271" s="48"/>
      <c r="E271" s="50"/>
      <c r="F271" s="5"/>
      <c r="G271" s="5"/>
      <c r="H271" s="5"/>
      <c r="I271" s="5"/>
      <c r="J271" s="5"/>
      <c r="K271" s="50"/>
      <c r="L271" s="50"/>
      <c r="M271" s="50"/>
      <c r="N271" s="50"/>
      <c r="O271" s="50"/>
      <c r="P271" s="50"/>
      <c r="Q271" s="50"/>
      <c r="R271" s="50"/>
      <c r="S271" s="50"/>
      <c r="T271" s="50"/>
      <c r="U271" s="50"/>
      <c r="V271" s="50"/>
      <c r="W271" s="50"/>
      <c r="X271" s="50"/>
      <c r="Y271" s="50"/>
      <c r="Z271" s="50"/>
      <c r="AA271" s="50"/>
      <c r="AB271" s="50"/>
    </row>
    <row r="272" customFormat="false" ht="15.75" hidden="false" customHeight="false" outlineLevel="0" collapsed="false">
      <c r="A272" s="50"/>
      <c r="B272" s="50"/>
      <c r="C272" s="5"/>
      <c r="D272" s="48"/>
      <c r="E272" s="50"/>
      <c r="F272" s="5"/>
      <c r="G272" s="5"/>
      <c r="H272" s="5"/>
      <c r="I272" s="5"/>
      <c r="J272" s="5"/>
      <c r="K272" s="50"/>
      <c r="L272" s="50"/>
      <c r="M272" s="50"/>
      <c r="N272" s="50"/>
      <c r="O272" s="50"/>
      <c r="P272" s="50"/>
      <c r="Q272" s="50"/>
      <c r="R272" s="50"/>
      <c r="S272" s="50"/>
      <c r="T272" s="50"/>
      <c r="U272" s="50"/>
      <c r="V272" s="50"/>
      <c r="W272" s="50"/>
      <c r="X272" s="50"/>
      <c r="Y272" s="50"/>
      <c r="Z272" s="50"/>
      <c r="AA272" s="50"/>
      <c r="AB272" s="50"/>
    </row>
    <row r="273" customFormat="false" ht="15.75" hidden="false" customHeight="false" outlineLevel="0" collapsed="false">
      <c r="A273" s="50"/>
      <c r="B273" s="50"/>
      <c r="C273" s="5"/>
      <c r="D273" s="48"/>
      <c r="E273" s="50"/>
      <c r="F273" s="5"/>
      <c r="G273" s="5"/>
      <c r="H273" s="5"/>
      <c r="I273" s="5"/>
      <c r="J273" s="5"/>
      <c r="K273" s="50"/>
      <c r="L273" s="50"/>
      <c r="M273" s="50"/>
      <c r="N273" s="50"/>
      <c r="O273" s="50"/>
      <c r="P273" s="50"/>
      <c r="Q273" s="50"/>
      <c r="R273" s="50"/>
      <c r="S273" s="50"/>
      <c r="T273" s="50"/>
      <c r="U273" s="50"/>
      <c r="V273" s="50"/>
      <c r="W273" s="50"/>
      <c r="X273" s="50"/>
      <c r="Y273" s="50"/>
      <c r="Z273" s="50"/>
      <c r="AA273" s="50"/>
      <c r="AB273" s="50"/>
    </row>
    <row r="274" customFormat="false" ht="15.75" hidden="false" customHeight="false" outlineLevel="0" collapsed="false">
      <c r="A274" s="50"/>
      <c r="B274" s="50"/>
      <c r="C274" s="5"/>
      <c r="D274" s="48"/>
      <c r="E274" s="50"/>
      <c r="F274" s="5"/>
      <c r="G274" s="5"/>
      <c r="H274" s="5"/>
      <c r="I274" s="5"/>
      <c r="J274" s="5"/>
      <c r="K274" s="50"/>
      <c r="L274" s="50"/>
      <c r="M274" s="50"/>
      <c r="N274" s="50"/>
      <c r="O274" s="50"/>
      <c r="P274" s="50"/>
      <c r="Q274" s="50"/>
      <c r="R274" s="50"/>
      <c r="S274" s="50"/>
      <c r="T274" s="50"/>
      <c r="U274" s="50"/>
      <c r="V274" s="50"/>
      <c r="W274" s="50"/>
      <c r="X274" s="50"/>
      <c r="Y274" s="50"/>
      <c r="Z274" s="50"/>
      <c r="AA274" s="50"/>
      <c r="AB274" s="50"/>
    </row>
    <row r="275" customFormat="false" ht="15.75" hidden="false" customHeight="false" outlineLevel="0" collapsed="false">
      <c r="A275" s="50"/>
      <c r="B275" s="50"/>
      <c r="C275" s="5"/>
      <c r="D275" s="48"/>
      <c r="E275" s="50"/>
      <c r="F275" s="5"/>
      <c r="G275" s="5"/>
      <c r="H275" s="5"/>
      <c r="I275" s="5"/>
      <c r="J275" s="5"/>
      <c r="K275" s="50"/>
      <c r="L275" s="50"/>
      <c r="M275" s="50"/>
      <c r="N275" s="50"/>
      <c r="O275" s="50"/>
      <c r="P275" s="50"/>
      <c r="Q275" s="50"/>
      <c r="R275" s="50"/>
      <c r="S275" s="50"/>
      <c r="T275" s="50"/>
      <c r="U275" s="50"/>
      <c r="V275" s="50"/>
      <c r="W275" s="50"/>
      <c r="X275" s="50"/>
      <c r="Y275" s="50"/>
      <c r="Z275" s="50"/>
      <c r="AA275" s="50"/>
      <c r="AB275" s="50"/>
    </row>
    <row r="276" customFormat="false" ht="15.75" hidden="false" customHeight="false" outlineLevel="0" collapsed="false">
      <c r="A276" s="50"/>
      <c r="B276" s="50"/>
      <c r="C276" s="5"/>
      <c r="D276" s="48"/>
      <c r="E276" s="50"/>
      <c r="F276" s="5"/>
      <c r="G276" s="5"/>
      <c r="H276" s="5"/>
      <c r="I276" s="5"/>
      <c r="J276" s="5"/>
      <c r="K276" s="50"/>
      <c r="L276" s="50"/>
      <c r="M276" s="50"/>
      <c r="N276" s="50"/>
      <c r="O276" s="50"/>
      <c r="P276" s="50"/>
      <c r="Q276" s="50"/>
      <c r="R276" s="50"/>
      <c r="S276" s="50"/>
      <c r="T276" s="50"/>
      <c r="U276" s="50"/>
      <c r="V276" s="50"/>
      <c r="W276" s="50"/>
      <c r="X276" s="50"/>
      <c r="Y276" s="50"/>
      <c r="Z276" s="50"/>
      <c r="AA276" s="50"/>
      <c r="AB276" s="50"/>
    </row>
    <row r="277" customFormat="false" ht="15.75" hidden="false" customHeight="false" outlineLevel="0" collapsed="false">
      <c r="A277" s="50"/>
      <c r="B277" s="50"/>
      <c r="C277" s="5"/>
      <c r="D277" s="48"/>
      <c r="E277" s="50"/>
      <c r="F277" s="5"/>
      <c r="G277" s="5"/>
      <c r="H277" s="5"/>
      <c r="I277" s="5"/>
      <c r="J277" s="5"/>
      <c r="K277" s="50"/>
      <c r="L277" s="50"/>
      <c r="M277" s="50"/>
      <c r="N277" s="50"/>
      <c r="O277" s="50"/>
      <c r="P277" s="50"/>
      <c r="Q277" s="50"/>
      <c r="R277" s="50"/>
      <c r="S277" s="50"/>
      <c r="T277" s="50"/>
      <c r="U277" s="50"/>
      <c r="V277" s="50"/>
      <c r="W277" s="50"/>
      <c r="X277" s="50"/>
      <c r="Y277" s="50"/>
      <c r="Z277" s="50"/>
      <c r="AA277" s="50"/>
      <c r="AB277" s="50"/>
    </row>
    <row r="278" customFormat="false" ht="15.75" hidden="false" customHeight="false" outlineLevel="0" collapsed="false">
      <c r="A278" s="50"/>
      <c r="B278" s="50"/>
      <c r="C278" s="5"/>
      <c r="D278" s="48"/>
      <c r="E278" s="50"/>
      <c r="F278" s="5"/>
      <c r="G278" s="5"/>
      <c r="H278" s="5"/>
      <c r="I278" s="5"/>
      <c r="J278" s="5"/>
      <c r="K278" s="50"/>
      <c r="L278" s="50"/>
      <c r="M278" s="50"/>
      <c r="N278" s="50"/>
      <c r="O278" s="50"/>
      <c r="P278" s="50"/>
      <c r="Q278" s="50"/>
      <c r="R278" s="50"/>
      <c r="S278" s="50"/>
      <c r="T278" s="50"/>
      <c r="U278" s="50"/>
      <c r="V278" s="50"/>
      <c r="W278" s="50"/>
      <c r="X278" s="50"/>
      <c r="Y278" s="50"/>
      <c r="Z278" s="50"/>
      <c r="AA278" s="50"/>
      <c r="AB278" s="50"/>
    </row>
    <row r="279" customFormat="false" ht="15.75" hidden="false" customHeight="false" outlineLevel="0" collapsed="false">
      <c r="A279" s="50"/>
      <c r="B279" s="50"/>
      <c r="C279" s="5"/>
      <c r="D279" s="48"/>
      <c r="E279" s="50"/>
      <c r="F279" s="5"/>
      <c r="G279" s="5"/>
      <c r="H279" s="5"/>
      <c r="I279" s="5"/>
      <c r="J279" s="5"/>
      <c r="K279" s="50"/>
      <c r="L279" s="50"/>
      <c r="M279" s="50"/>
      <c r="N279" s="50"/>
      <c r="O279" s="50"/>
      <c r="P279" s="50"/>
      <c r="Q279" s="50"/>
      <c r="R279" s="50"/>
      <c r="S279" s="50"/>
      <c r="T279" s="50"/>
      <c r="U279" s="50"/>
      <c r="V279" s="50"/>
      <c r="W279" s="50"/>
      <c r="X279" s="50"/>
      <c r="Y279" s="50"/>
      <c r="Z279" s="50"/>
      <c r="AA279" s="50"/>
      <c r="AB279" s="50"/>
    </row>
    <row r="280" customFormat="false" ht="15.75" hidden="false" customHeight="false" outlineLevel="0" collapsed="false">
      <c r="A280" s="50"/>
      <c r="B280" s="50"/>
      <c r="C280" s="5"/>
      <c r="D280" s="48"/>
      <c r="E280" s="50"/>
      <c r="F280" s="5"/>
      <c r="G280" s="5"/>
      <c r="H280" s="5"/>
      <c r="I280" s="5"/>
      <c r="J280" s="5"/>
      <c r="K280" s="50"/>
      <c r="L280" s="50"/>
      <c r="M280" s="50"/>
      <c r="N280" s="50"/>
      <c r="O280" s="50"/>
      <c r="P280" s="50"/>
      <c r="Q280" s="50"/>
      <c r="R280" s="50"/>
      <c r="S280" s="50"/>
      <c r="T280" s="50"/>
      <c r="U280" s="50"/>
      <c r="V280" s="50"/>
      <c r="W280" s="50"/>
      <c r="X280" s="50"/>
      <c r="Y280" s="50"/>
      <c r="Z280" s="50"/>
      <c r="AA280" s="50"/>
      <c r="AB280" s="50"/>
    </row>
    <row r="281" customFormat="false" ht="15.75" hidden="false" customHeight="false" outlineLevel="0" collapsed="false">
      <c r="A281" s="50"/>
      <c r="B281" s="50"/>
      <c r="C281" s="5"/>
      <c r="D281" s="48"/>
      <c r="E281" s="50"/>
      <c r="F281" s="5"/>
      <c r="G281" s="5"/>
      <c r="H281" s="5"/>
      <c r="I281" s="5"/>
      <c r="J281" s="5"/>
      <c r="K281" s="50"/>
      <c r="L281" s="50"/>
      <c r="M281" s="50"/>
      <c r="N281" s="50"/>
      <c r="O281" s="50"/>
      <c r="P281" s="50"/>
      <c r="Q281" s="50"/>
      <c r="R281" s="50"/>
      <c r="S281" s="50"/>
      <c r="T281" s="50"/>
      <c r="U281" s="50"/>
      <c r="V281" s="50"/>
      <c r="W281" s="50"/>
      <c r="X281" s="50"/>
      <c r="Y281" s="50"/>
      <c r="Z281" s="50"/>
      <c r="AA281" s="50"/>
      <c r="AB281" s="50"/>
    </row>
    <row r="282" customFormat="false" ht="15.75" hidden="false" customHeight="false" outlineLevel="0" collapsed="false">
      <c r="A282" s="50"/>
      <c r="B282" s="50"/>
      <c r="C282" s="5"/>
      <c r="D282" s="48"/>
      <c r="E282" s="50"/>
      <c r="F282" s="5"/>
      <c r="G282" s="5"/>
      <c r="H282" s="5"/>
      <c r="I282" s="5"/>
      <c r="J282" s="5"/>
      <c r="K282" s="50"/>
      <c r="L282" s="50"/>
      <c r="M282" s="50"/>
      <c r="N282" s="50"/>
      <c r="O282" s="50"/>
      <c r="P282" s="50"/>
      <c r="Q282" s="50"/>
      <c r="R282" s="50"/>
      <c r="S282" s="50"/>
      <c r="T282" s="50"/>
      <c r="U282" s="50"/>
      <c r="V282" s="50"/>
      <c r="W282" s="50"/>
      <c r="X282" s="50"/>
      <c r="Y282" s="50"/>
      <c r="Z282" s="50"/>
      <c r="AA282" s="50"/>
      <c r="AB282" s="50"/>
    </row>
    <row r="283" customFormat="false" ht="15.75" hidden="false" customHeight="false" outlineLevel="0" collapsed="false">
      <c r="A283" s="50"/>
      <c r="B283" s="50"/>
      <c r="C283" s="5"/>
      <c r="D283" s="48"/>
      <c r="E283" s="50"/>
      <c r="F283" s="5"/>
      <c r="G283" s="5"/>
      <c r="H283" s="5"/>
      <c r="I283" s="5"/>
      <c r="J283" s="5"/>
      <c r="K283" s="50"/>
      <c r="L283" s="50"/>
      <c r="M283" s="50"/>
      <c r="N283" s="50"/>
      <c r="O283" s="50"/>
      <c r="P283" s="50"/>
      <c r="Q283" s="50"/>
      <c r="R283" s="50"/>
      <c r="S283" s="50"/>
      <c r="T283" s="50"/>
      <c r="U283" s="50"/>
      <c r="V283" s="50"/>
      <c r="W283" s="50"/>
      <c r="X283" s="50"/>
      <c r="Y283" s="50"/>
      <c r="Z283" s="50"/>
      <c r="AA283" s="50"/>
      <c r="AB283" s="50"/>
    </row>
    <row r="284" customFormat="false" ht="15.75" hidden="false" customHeight="false" outlineLevel="0" collapsed="false">
      <c r="A284" s="50"/>
      <c r="B284" s="50"/>
      <c r="C284" s="5"/>
      <c r="D284" s="48"/>
      <c r="E284" s="50"/>
      <c r="F284" s="5"/>
      <c r="G284" s="5"/>
      <c r="H284" s="5"/>
      <c r="I284" s="5"/>
      <c r="J284" s="5"/>
      <c r="K284" s="50"/>
      <c r="L284" s="50"/>
      <c r="M284" s="50"/>
      <c r="N284" s="50"/>
      <c r="O284" s="50"/>
      <c r="P284" s="50"/>
      <c r="Q284" s="50"/>
      <c r="R284" s="50"/>
      <c r="S284" s="50"/>
      <c r="T284" s="50"/>
      <c r="U284" s="50"/>
      <c r="V284" s="50"/>
      <c r="W284" s="50"/>
      <c r="X284" s="50"/>
      <c r="Y284" s="50"/>
      <c r="Z284" s="50"/>
      <c r="AA284" s="50"/>
      <c r="AB284" s="50"/>
    </row>
    <row r="285" customFormat="false" ht="15.75" hidden="false" customHeight="false" outlineLevel="0" collapsed="false">
      <c r="A285" s="50"/>
      <c r="B285" s="50"/>
      <c r="C285" s="5"/>
      <c r="D285" s="48"/>
      <c r="E285" s="50"/>
      <c r="F285" s="5"/>
      <c r="G285" s="5"/>
      <c r="H285" s="5"/>
      <c r="I285" s="5"/>
      <c r="J285" s="5"/>
      <c r="K285" s="50"/>
      <c r="L285" s="50"/>
      <c r="M285" s="50"/>
      <c r="N285" s="50"/>
      <c r="O285" s="50"/>
      <c r="P285" s="50"/>
      <c r="Q285" s="50"/>
      <c r="R285" s="50"/>
      <c r="S285" s="50"/>
      <c r="T285" s="50"/>
      <c r="U285" s="50"/>
      <c r="V285" s="50"/>
      <c r="W285" s="50"/>
      <c r="X285" s="50"/>
      <c r="Y285" s="50"/>
      <c r="Z285" s="50"/>
      <c r="AA285" s="50"/>
      <c r="AB285" s="50"/>
    </row>
    <row r="286" customFormat="false" ht="15.75" hidden="false" customHeight="false" outlineLevel="0" collapsed="false">
      <c r="A286" s="50"/>
      <c r="B286" s="50"/>
      <c r="C286" s="5"/>
      <c r="D286" s="48"/>
      <c r="E286" s="50"/>
      <c r="F286" s="5"/>
      <c r="G286" s="5"/>
      <c r="H286" s="5"/>
      <c r="I286" s="5"/>
      <c r="J286" s="5"/>
      <c r="K286" s="50"/>
      <c r="L286" s="50"/>
      <c r="M286" s="50"/>
      <c r="N286" s="50"/>
      <c r="O286" s="50"/>
      <c r="P286" s="50"/>
      <c r="Q286" s="50"/>
      <c r="R286" s="50"/>
      <c r="S286" s="50"/>
      <c r="T286" s="50"/>
      <c r="U286" s="50"/>
      <c r="V286" s="50"/>
      <c r="W286" s="50"/>
      <c r="X286" s="50"/>
      <c r="Y286" s="50"/>
      <c r="Z286" s="50"/>
      <c r="AA286" s="50"/>
      <c r="AB286" s="50"/>
    </row>
    <row r="287" customFormat="false" ht="15.75" hidden="false" customHeight="false" outlineLevel="0" collapsed="false">
      <c r="A287" s="50"/>
      <c r="B287" s="50"/>
      <c r="C287" s="5"/>
      <c r="D287" s="48"/>
      <c r="E287" s="50"/>
      <c r="F287" s="5"/>
      <c r="G287" s="5"/>
      <c r="H287" s="5"/>
      <c r="I287" s="5"/>
      <c r="J287" s="5"/>
      <c r="K287" s="50"/>
      <c r="L287" s="50"/>
      <c r="M287" s="50"/>
      <c r="N287" s="50"/>
      <c r="O287" s="50"/>
      <c r="P287" s="50"/>
      <c r="Q287" s="50"/>
      <c r="R287" s="50"/>
      <c r="S287" s="50"/>
      <c r="T287" s="50"/>
      <c r="U287" s="50"/>
      <c r="V287" s="50"/>
      <c r="W287" s="50"/>
      <c r="X287" s="50"/>
      <c r="Y287" s="50"/>
      <c r="Z287" s="50"/>
      <c r="AA287" s="50"/>
      <c r="AB287" s="50"/>
    </row>
    <row r="288" customFormat="false" ht="15.75" hidden="false" customHeight="false" outlineLevel="0" collapsed="false">
      <c r="A288" s="50"/>
      <c r="B288" s="50"/>
      <c r="C288" s="5"/>
      <c r="D288" s="48"/>
      <c r="E288" s="50"/>
      <c r="F288" s="5"/>
      <c r="G288" s="5"/>
      <c r="H288" s="5"/>
      <c r="I288" s="5"/>
      <c r="J288" s="5"/>
      <c r="K288" s="50"/>
      <c r="L288" s="50"/>
      <c r="M288" s="50"/>
      <c r="N288" s="50"/>
      <c r="O288" s="50"/>
      <c r="P288" s="50"/>
      <c r="Q288" s="50"/>
      <c r="R288" s="50"/>
      <c r="S288" s="50"/>
      <c r="T288" s="50"/>
      <c r="U288" s="50"/>
      <c r="V288" s="50"/>
      <c r="W288" s="50"/>
      <c r="X288" s="50"/>
      <c r="Y288" s="50"/>
      <c r="Z288" s="50"/>
      <c r="AA288" s="50"/>
      <c r="AB288" s="50"/>
    </row>
    <row r="289" customFormat="false" ht="15.75" hidden="false" customHeight="false" outlineLevel="0" collapsed="false">
      <c r="A289" s="50"/>
      <c r="B289" s="50"/>
      <c r="C289" s="5"/>
      <c r="D289" s="48"/>
      <c r="E289" s="50"/>
      <c r="F289" s="5"/>
      <c r="G289" s="5"/>
      <c r="H289" s="5"/>
      <c r="I289" s="5"/>
      <c r="J289" s="5"/>
      <c r="K289" s="50"/>
      <c r="L289" s="50"/>
      <c r="M289" s="50"/>
      <c r="N289" s="50"/>
      <c r="O289" s="50"/>
      <c r="P289" s="50"/>
      <c r="Q289" s="50"/>
      <c r="R289" s="50"/>
      <c r="S289" s="50"/>
      <c r="T289" s="50"/>
      <c r="U289" s="50"/>
      <c r="V289" s="50"/>
      <c r="W289" s="50"/>
      <c r="X289" s="50"/>
      <c r="Y289" s="50"/>
      <c r="Z289" s="50"/>
      <c r="AA289" s="50"/>
      <c r="AB289" s="50"/>
    </row>
    <row r="290" customFormat="false" ht="15.75" hidden="false" customHeight="false" outlineLevel="0" collapsed="false">
      <c r="A290" s="50"/>
      <c r="B290" s="50"/>
      <c r="C290" s="5"/>
      <c r="D290" s="48"/>
      <c r="E290" s="50"/>
      <c r="F290" s="5"/>
      <c r="G290" s="5"/>
      <c r="H290" s="5"/>
      <c r="I290" s="5"/>
      <c r="J290" s="5"/>
      <c r="K290" s="50"/>
      <c r="L290" s="50"/>
      <c r="M290" s="50"/>
      <c r="N290" s="50"/>
      <c r="O290" s="50"/>
      <c r="P290" s="50"/>
      <c r="Q290" s="50"/>
      <c r="R290" s="50"/>
      <c r="S290" s="50"/>
      <c r="T290" s="50"/>
      <c r="U290" s="50"/>
      <c r="V290" s="50"/>
      <c r="W290" s="50"/>
      <c r="X290" s="50"/>
      <c r="Y290" s="50"/>
      <c r="Z290" s="50"/>
      <c r="AA290" s="50"/>
      <c r="AB290" s="50"/>
    </row>
    <row r="291" customFormat="false" ht="15.75" hidden="false" customHeight="false" outlineLevel="0" collapsed="false">
      <c r="A291" s="50"/>
      <c r="B291" s="50"/>
      <c r="C291" s="5"/>
      <c r="D291" s="48"/>
      <c r="E291" s="50"/>
      <c r="F291" s="5"/>
      <c r="G291" s="5"/>
      <c r="H291" s="5"/>
      <c r="I291" s="5"/>
      <c r="J291" s="5"/>
      <c r="K291" s="50"/>
      <c r="L291" s="50"/>
      <c r="M291" s="50"/>
      <c r="N291" s="50"/>
      <c r="O291" s="50"/>
      <c r="P291" s="50"/>
      <c r="Q291" s="50"/>
      <c r="R291" s="50"/>
      <c r="S291" s="50"/>
      <c r="T291" s="50"/>
      <c r="U291" s="50"/>
      <c r="V291" s="50"/>
      <c r="W291" s="50"/>
      <c r="X291" s="50"/>
      <c r="Y291" s="50"/>
      <c r="Z291" s="50"/>
      <c r="AA291" s="50"/>
      <c r="AB291" s="50"/>
    </row>
    <row r="292" customFormat="false" ht="15.75" hidden="false" customHeight="false" outlineLevel="0" collapsed="false">
      <c r="A292" s="50"/>
      <c r="B292" s="50"/>
      <c r="C292" s="5"/>
      <c r="D292" s="48"/>
      <c r="E292" s="50"/>
      <c r="F292" s="5"/>
      <c r="G292" s="5"/>
      <c r="H292" s="5"/>
      <c r="I292" s="5"/>
      <c r="J292" s="5"/>
      <c r="K292" s="50"/>
      <c r="L292" s="50"/>
      <c r="M292" s="50"/>
      <c r="N292" s="50"/>
      <c r="O292" s="50"/>
      <c r="P292" s="50"/>
      <c r="Q292" s="50"/>
      <c r="R292" s="50"/>
      <c r="S292" s="50"/>
      <c r="T292" s="50"/>
      <c r="U292" s="50"/>
      <c r="V292" s="50"/>
      <c r="W292" s="50"/>
      <c r="X292" s="50"/>
      <c r="Y292" s="50"/>
      <c r="Z292" s="50"/>
      <c r="AA292" s="50"/>
      <c r="AB292" s="50"/>
    </row>
    <row r="293" customFormat="false" ht="15.75" hidden="false" customHeight="false" outlineLevel="0" collapsed="false">
      <c r="A293" s="50"/>
      <c r="B293" s="50"/>
      <c r="C293" s="5"/>
      <c r="D293" s="48"/>
      <c r="E293" s="50"/>
      <c r="F293" s="5"/>
      <c r="G293" s="5"/>
      <c r="H293" s="5"/>
      <c r="I293" s="5"/>
      <c r="J293" s="5"/>
      <c r="K293" s="50"/>
      <c r="L293" s="50"/>
      <c r="M293" s="50"/>
      <c r="N293" s="50"/>
      <c r="O293" s="50"/>
      <c r="P293" s="50"/>
      <c r="Q293" s="50"/>
      <c r="R293" s="50"/>
      <c r="S293" s="50"/>
      <c r="T293" s="50"/>
      <c r="U293" s="50"/>
      <c r="V293" s="50"/>
      <c r="W293" s="50"/>
      <c r="X293" s="50"/>
      <c r="Y293" s="50"/>
      <c r="Z293" s="50"/>
      <c r="AA293" s="50"/>
      <c r="AB293" s="50"/>
    </row>
    <row r="294" customFormat="false" ht="15.75" hidden="false" customHeight="false" outlineLevel="0" collapsed="false">
      <c r="A294" s="50"/>
      <c r="B294" s="50"/>
      <c r="C294" s="5"/>
      <c r="D294" s="48"/>
      <c r="E294" s="50"/>
      <c r="F294" s="5"/>
      <c r="G294" s="5"/>
      <c r="H294" s="5"/>
      <c r="I294" s="5"/>
      <c r="J294" s="5"/>
      <c r="K294" s="50"/>
      <c r="L294" s="50"/>
      <c r="M294" s="50"/>
      <c r="N294" s="50"/>
      <c r="O294" s="50"/>
      <c r="P294" s="50"/>
      <c r="Q294" s="50"/>
      <c r="R294" s="50"/>
      <c r="S294" s="50"/>
      <c r="T294" s="50"/>
      <c r="U294" s="50"/>
      <c r="V294" s="50"/>
      <c r="W294" s="50"/>
      <c r="X294" s="50"/>
      <c r="Y294" s="50"/>
      <c r="Z294" s="50"/>
      <c r="AA294" s="50"/>
      <c r="AB294" s="50"/>
    </row>
    <row r="295" customFormat="false" ht="15.75" hidden="false" customHeight="false" outlineLevel="0" collapsed="false">
      <c r="A295" s="50"/>
      <c r="B295" s="50"/>
      <c r="C295" s="5"/>
      <c r="D295" s="48"/>
      <c r="E295" s="50"/>
      <c r="F295" s="5"/>
      <c r="G295" s="5"/>
      <c r="H295" s="5"/>
      <c r="I295" s="5"/>
      <c r="J295" s="5"/>
      <c r="K295" s="50"/>
      <c r="L295" s="50"/>
      <c r="M295" s="50"/>
      <c r="N295" s="50"/>
      <c r="O295" s="50"/>
      <c r="P295" s="50"/>
      <c r="Q295" s="50"/>
      <c r="R295" s="50"/>
      <c r="S295" s="50"/>
      <c r="T295" s="50"/>
      <c r="U295" s="50"/>
      <c r="V295" s="50"/>
      <c r="W295" s="50"/>
      <c r="X295" s="50"/>
      <c r="Y295" s="50"/>
      <c r="Z295" s="50"/>
      <c r="AA295" s="50"/>
      <c r="AB295" s="50"/>
    </row>
    <row r="296" customFormat="false" ht="15.75" hidden="false" customHeight="false" outlineLevel="0" collapsed="false">
      <c r="A296" s="50"/>
      <c r="B296" s="50"/>
      <c r="C296" s="5"/>
      <c r="D296" s="48"/>
      <c r="E296" s="50"/>
      <c r="F296" s="5"/>
      <c r="G296" s="5"/>
      <c r="H296" s="5"/>
      <c r="I296" s="5"/>
      <c r="J296" s="5"/>
      <c r="K296" s="50"/>
      <c r="L296" s="50"/>
      <c r="M296" s="50"/>
      <c r="N296" s="50"/>
      <c r="O296" s="50"/>
      <c r="P296" s="50"/>
      <c r="Q296" s="50"/>
      <c r="R296" s="50"/>
      <c r="S296" s="50"/>
      <c r="T296" s="50"/>
      <c r="U296" s="50"/>
      <c r="V296" s="50"/>
      <c r="W296" s="50"/>
      <c r="X296" s="50"/>
      <c r="Y296" s="50"/>
      <c r="Z296" s="50"/>
      <c r="AA296" s="50"/>
      <c r="AB296" s="50"/>
    </row>
    <row r="297" customFormat="false" ht="15.75" hidden="false" customHeight="false" outlineLevel="0" collapsed="false">
      <c r="A297" s="50"/>
      <c r="B297" s="50"/>
      <c r="C297" s="5"/>
      <c r="D297" s="48"/>
      <c r="E297" s="50"/>
      <c r="F297" s="5"/>
      <c r="G297" s="5"/>
      <c r="H297" s="5"/>
      <c r="I297" s="5"/>
      <c r="J297" s="5"/>
      <c r="K297" s="50"/>
      <c r="L297" s="50"/>
      <c r="M297" s="50"/>
      <c r="N297" s="50"/>
      <c r="O297" s="50"/>
      <c r="P297" s="50"/>
      <c r="Q297" s="50"/>
      <c r="R297" s="50"/>
      <c r="S297" s="50"/>
      <c r="T297" s="50"/>
      <c r="U297" s="50"/>
      <c r="V297" s="50"/>
      <c r="W297" s="50"/>
      <c r="X297" s="50"/>
      <c r="Y297" s="50"/>
      <c r="Z297" s="50"/>
      <c r="AA297" s="50"/>
      <c r="AB297" s="50"/>
    </row>
    <row r="298" customFormat="false" ht="15.75" hidden="false" customHeight="false" outlineLevel="0" collapsed="false">
      <c r="A298" s="50"/>
      <c r="B298" s="50"/>
      <c r="C298" s="5"/>
      <c r="D298" s="48"/>
      <c r="E298" s="50"/>
      <c r="F298" s="5"/>
      <c r="G298" s="5"/>
      <c r="H298" s="5"/>
      <c r="I298" s="5"/>
      <c r="J298" s="5"/>
      <c r="K298" s="50"/>
      <c r="L298" s="50"/>
      <c r="M298" s="50"/>
      <c r="N298" s="50"/>
      <c r="O298" s="50"/>
      <c r="P298" s="50"/>
      <c r="Q298" s="50"/>
      <c r="R298" s="50"/>
      <c r="S298" s="50"/>
      <c r="T298" s="50"/>
      <c r="U298" s="50"/>
      <c r="V298" s="50"/>
      <c r="W298" s="50"/>
      <c r="X298" s="50"/>
      <c r="Y298" s="50"/>
      <c r="Z298" s="50"/>
      <c r="AA298" s="50"/>
      <c r="AB298" s="50"/>
    </row>
    <row r="299" customFormat="false" ht="15.75" hidden="false" customHeight="false" outlineLevel="0" collapsed="false">
      <c r="A299" s="50"/>
      <c r="B299" s="50"/>
      <c r="C299" s="5"/>
      <c r="D299" s="48"/>
      <c r="E299" s="50"/>
      <c r="F299" s="5"/>
      <c r="G299" s="5"/>
      <c r="H299" s="5"/>
      <c r="I299" s="5"/>
      <c r="J299" s="5"/>
      <c r="K299" s="50"/>
      <c r="L299" s="50"/>
      <c r="M299" s="50"/>
      <c r="N299" s="50"/>
      <c r="O299" s="50"/>
      <c r="P299" s="50"/>
      <c r="Q299" s="50"/>
      <c r="R299" s="50"/>
      <c r="S299" s="50"/>
      <c r="T299" s="50"/>
      <c r="U299" s="50"/>
      <c r="V299" s="50"/>
      <c r="W299" s="50"/>
      <c r="X299" s="50"/>
      <c r="Y299" s="50"/>
      <c r="Z299" s="50"/>
      <c r="AA299" s="50"/>
      <c r="AB299" s="50"/>
    </row>
    <row r="300" customFormat="false" ht="15.75" hidden="false" customHeight="false" outlineLevel="0" collapsed="false">
      <c r="A300" s="50"/>
      <c r="B300" s="50"/>
      <c r="C300" s="5"/>
      <c r="D300" s="48"/>
      <c r="E300" s="50"/>
      <c r="F300" s="5"/>
      <c r="G300" s="5"/>
      <c r="H300" s="5"/>
      <c r="I300" s="5"/>
      <c r="J300" s="5"/>
      <c r="K300" s="50"/>
      <c r="L300" s="50"/>
      <c r="M300" s="50"/>
      <c r="N300" s="50"/>
      <c r="O300" s="50"/>
      <c r="P300" s="50"/>
      <c r="Q300" s="50"/>
      <c r="R300" s="50"/>
      <c r="S300" s="50"/>
      <c r="T300" s="50"/>
      <c r="U300" s="50"/>
      <c r="V300" s="50"/>
      <c r="W300" s="50"/>
      <c r="X300" s="50"/>
      <c r="Y300" s="50"/>
      <c r="Z300" s="50"/>
      <c r="AA300" s="50"/>
      <c r="AB300" s="50"/>
    </row>
    <row r="301" customFormat="false" ht="15.75" hidden="false" customHeight="false" outlineLevel="0" collapsed="false">
      <c r="A301" s="50"/>
      <c r="B301" s="50"/>
      <c r="C301" s="5"/>
      <c r="D301" s="48"/>
      <c r="E301" s="50"/>
      <c r="F301" s="5"/>
      <c r="G301" s="5"/>
      <c r="H301" s="5"/>
      <c r="I301" s="5"/>
      <c r="J301" s="5"/>
      <c r="K301" s="50"/>
      <c r="L301" s="50"/>
      <c r="M301" s="50"/>
      <c r="N301" s="50"/>
      <c r="O301" s="50"/>
      <c r="P301" s="50"/>
      <c r="Q301" s="50"/>
      <c r="R301" s="50"/>
      <c r="S301" s="50"/>
      <c r="T301" s="50"/>
      <c r="U301" s="50"/>
      <c r="V301" s="50"/>
      <c r="W301" s="50"/>
      <c r="X301" s="50"/>
      <c r="Y301" s="50"/>
      <c r="Z301" s="50"/>
      <c r="AA301" s="50"/>
      <c r="AB301" s="50"/>
    </row>
    <row r="302" customFormat="false" ht="15.75" hidden="false" customHeight="false" outlineLevel="0" collapsed="false">
      <c r="A302" s="50"/>
      <c r="B302" s="50"/>
      <c r="C302" s="5"/>
      <c r="D302" s="48"/>
      <c r="E302" s="50"/>
      <c r="F302" s="5"/>
      <c r="G302" s="5"/>
      <c r="H302" s="5"/>
      <c r="I302" s="5"/>
      <c r="J302" s="5"/>
      <c r="K302" s="50"/>
      <c r="L302" s="50"/>
      <c r="M302" s="50"/>
      <c r="N302" s="50"/>
      <c r="O302" s="50"/>
      <c r="P302" s="50"/>
      <c r="Q302" s="50"/>
      <c r="R302" s="50"/>
      <c r="S302" s="50"/>
      <c r="T302" s="50"/>
      <c r="U302" s="50"/>
      <c r="V302" s="50"/>
      <c r="W302" s="50"/>
      <c r="X302" s="50"/>
      <c r="Y302" s="50"/>
      <c r="Z302" s="50"/>
      <c r="AA302" s="50"/>
      <c r="AB302" s="50"/>
    </row>
    <row r="303" customFormat="false" ht="15.75" hidden="false" customHeight="false" outlineLevel="0" collapsed="false">
      <c r="A303" s="50"/>
      <c r="B303" s="50"/>
      <c r="C303" s="5"/>
      <c r="D303" s="48"/>
      <c r="E303" s="50"/>
      <c r="F303" s="5"/>
      <c r="G303" s="5"/>
      <c r="H303" s="5"/>
      <c r="I303" s="5"/>
      <c r="J303" s="5"/>
      <c r="K303" s="50"/>
      <c r="L303" s="50"/>
      <c r="M303" s="50"/>
      <c r="N303" s="50"/>
      <c r="O303" s="50"/>
      <c r="P303" s="50"/>
      <c r="Q303" s="50"/>
      <c r="R303" s="50"/>
      <c r="S303" s="50"/>
      <c r="T303" s="50"/>
      <c r="U303" s="50"/>
      <c r="V303" s="50"/>
      <c r="W303" s="50"/>
      <c r="X303" s="50"/>
      <c r="Y303" s="50"/>
      <c r="Z303" s="50"/>
      <c r="AA303" s="50"/>
      <c r="AB303" s="50"/>
    </row>
    <row r="304" customFormat="false" ht="15.75" hidden="false" customHeight="false" outlineLevel="0" collapsed="false">
      <c r="A304" s="50"/>
      <c r="B304" s="50"/>
      <c r="C304" s="5"/>
      <c r="D304" s="48"/>
      <c r="E304" s="50"/>
      <c r="F304" s="5"/>
      <c r="G304" s="5"/>
      <c r="H304" s="5"/>
      <c r="I304" s="5"/>
      <c r="J304" s="5"/>
      <c r="K304" s="50"/>
      <c r="L304" s="50"/>
      <c r="M304" s="50"/>
      <c r="N304" s="50"/>
      <c r="O304" s="50"/>
      <c r="P304" s="50"/>
      <c r="Q304" s="50"/>
      <c r="R304" s="50"/>
      <c r="S304" s="50"/>
      <c r="T304" s="50"/>
      <c r="U304" s="50"/>
      <c r="V304" s="50"/>
      <c r="W304" s="50"/>
      <c r="X304" s="50"/>
      <c r="Y304" s="50"/>
      <c r="Z304" s="50"/>
      <c r="AA304" s="50"/>
      <c r="AB304" s="50"/>
    </row>
    <row r="305" customFormat="false" ht="15.75" hidden="false" customHeight="false" outlineLevel="0" collapsed="false">
      <c r="A305" s="50"/>
      <c r="B305" s="50"/>
      <c r="C305" s="5"/>
      <c r="D305" s="48"/>
      <c r="E305" s="50"/>
      <c r="F305" s="5"/>
      <c r="G305" s="5"/>
      <c r="H305" s="5"/>
      <c r="I305" s="5"/>
      <c r="J305" s="5"/>
      <c r="K305" s="50"/>
      <c r="L305" s="50"/>
      <c r="M305" s="50"/>
      <c r="N305" s="50"/>
      <c r="O305" s="50"/>
      <c r="P305" s="50"/>
      <c r="Q305" s="50"/>
      <c r="R305" s="50"/>
      <c r="S305" s="50"/>
      <c r="T305" s="50"/>
      <c r="U305" s="50"/>
      <c r="V305" s="50"/>
      <c r="W305" s="50"/>
      <c r="X305" s="50"/>
      <c r="Y305" s="50"/>
      <c r="Z305" s="50"/>
      <c r="AA305" s="50"/>
      <c r="AB305" s="50"/>
    </row>
    <row r="306" customFormat="false" ht="15.75" hidden="false" customHeight="false" outlineLevel="0" collapsed="false">
      <c r="A306" s="50"/>
      <c r="B306" s="50"/>
      <c r="C306" s="5"/>
      <c r="D306" s="48"/>
      <c r="E306" s="50"/>
      <c r="F306" s="5"/>
      <c r="G306" s="5"/>
      <c r="H306" s="5"/>
      <c r="I306" s="5"/>
      <c r="J306" s="5"/>
      <c r="K306" s="50"/>
      <c r="L306" s="50"/>
      <c r="M306" s="50"/>
      <c r="N306" s="50"/>
      <c r="O306" s="50"/>
      <c r="P306" s="50"/>
      <c r="Q306" s="50"/>
      <c r="R306" s="50"/>
      <c r="S306" s="50"/>
      <c r="T306" s="50"/>
      <c r="U306" s="50"/>
      <c r="V306" s="50"/>
      <c r="W306" s="50"/>
      <c r="X306" s="50"/>
      <c r="Y306" s="50"/>
      <c r="Z306" s="50"/>
      <c r="AA306" s="50"/>
      <c r="AB306" s="50"/>
    </row>
    <row r="307" customFormat="false" ht="15.75" hidden="false" customHeight="false" outlineLevel="0" collapsed="false">
      <c r="A307" s="50"/>
      <c r="B307" s="50"/>
      <c r="C307" s="5"/>
      <c r="D307" s="48"/>
      <c r="E307" s="50"/>
      <c r="F307" s="5"/>
      <c r="G307" s="5"/>
      <c r="H307" s="5"/>
      <c r="I307" s="5"/>
      <c r="J307" s="5"/>
      <c r="K307" s="50"/>
      <c r="L307" s="50"/>
      <c r="M307" s="50"/>
      <c r="N307" s="50"/>
      <c r="O307" s="50"/>
      <c r="P307" s="50"/>
      <c r="Q307" s="50"/>
      <c r="R307" s="50"/>
      <c r="S307" s="50"/>
      <c r="T307" s="50"/>
      <c r="U307" s="50"/>
      <c r="V307" s="50"/>
      <c r="W307" s="50"/>
      <c r="X307" s="50"/>
      <c r="Y307" s="50"/>
      <c r="Z307" s="50"/>
      <c r="AA307" s="50"/>
      <c r="AB307" s="50"/>
    </row>
    <row r="308" customFormat="false" ht="15.75" hidden="false" customHeight="false" outlineLevel="0" collapsed="false">
      <c r="A308" s="50"/>
      <c r="B308" s="50"/>
      <c r="C308" s="5"/>
      <c r="D308" s="48"/>
      <c r="E308" s="50"/>
      <c r="F308" s="5"/>
      <c r="G308" s="5"/>
      <c r="H308" s="5"/>
      <c r="I308" s="5"/>
      <c r="J308" s="5"/>
      <c r="K308" s="50"/>
      <c r="L308" s="50"/>
      <c r="M308" s="50"/>
      <c r="N308" s="50"/>
      <c r="O308" s="50"/>
      <c r="P308" s="50"/>
      <c r="Q308" s="50"/>
      <c r="R308" s="50"/>
      <c r="S308" s="50"/>
      <c r="T308" s="50"/>
      <c r="U308" s="50"/>
      <c r="V308" s="50"/>
      <c r="W308" s="50"/>
      <c r="X308" s="50"/>
      <c r="Y308" s="50"/>
      <c r="Z308" s="50"/>
      <c r="AA308" s="50"/>
      <c r="AB308" s="50"/>
    </row>
    <row r="309" customFormat="false" ht="15.75" hidden="false" customHeight="false" outlineLevel="0" collapsed="false">
      <c r="A309" s="50"/>
      <c r="B309" s="50"/>
      <c r="C309" s="5"/>
      <c r="D309" s="48"/>
      <c r="E309" s="50"/>
      <c r="F309" s="5"/>
      <c r="G309" s="5"/>
      <c r="H309" s="5"/>
      <c r="I309" s="5"/>
      <c r="J309" s="5"/>
      <c r="K309" s="50"/>
      <c r="L309" s="50"/>
      <c r="M309" s="50"/>
      <c r="N309" s="50"/>
      <c r="O309" s="50"/>
      <c r="P309" s="50"/>
      <c r="Q309" s="50"/>
      <c r="R309" s="50"/>
      <c r="S309" s="50"/>
      <c r="T309" s="50"/>
      <c r="U309" s="50"/>
      <c r="V309" s="50"/>
      <c r="W309" s="50"/>
      <c r="X309" s="50"/>
      <c r="Y309" s="50"/>
      <c r="Z309" s="50"/>
      <c r="AA309" s="50"/>
      <c r="AB309" s="50"/>
    </row>
    <row r="310" customFormat="false" ht="15.75" hidden="false" customHeight="false" outlineLevel="0" collapsed="false">
      <c r="A310" s="50"/>
      <c r="B310" s="50"/>
      <c r="C310" s="5"/>
      <c r="D310" s="48"/>
      <c r="E310" s="50"/>
      <c r="F310" s="5"/>
      <c r="G310" s="5"/>
      <c r="H310" s="5"/>
      <c r="I310" s="5"/>
      <c r="J310" s="5"/>
      <c r="K310" s="50"/>
      <c r="L310" s="50"/>
      <c r="M310" s="50"/>
      <c r="N310" s="50"/>
      <c r="O310" s="50"/>
      <c r="P310" s="50"/>
      <c r="Q310" s="50"/>
      <c r="R310" s="50"/>
      <c r="S310" s="50"/>
      <c r="T310" s="50"/>
      <c r="U310" s="50"/>
      <c r="V310" s="50"/>
      <c r="W310" s="50"/>
      <c r="X310" s="50"/>
      <c r="Y310" s="50"/>
      <c r="Z310" s="50"/>
      <c r="AA310" s="50"/>
      <c r="AB310" s="50"/>
    </row>
    <row r="311" customFormat="false" ht="15.75" hidden="false" customHeight="false" outlineLevel="0" collapsed="false">
      <c r="A311" s="50"/>
      <c r="B311" s="50"/>
      <c r="C311" s="5"/>
      <c r="D311" s="48"/>
      <c r="E311" s="50"/>
      <c r="F311" s="5"/>
      <c r="G311" s="5"/>
      <c r="H311" s="5"/>
      <c r="I311" s="5"/>
      <c r="J311" s="5"/>
      <c r="K311" s="50"/>
      <c r="L311" s="50"/>
      <c r="M311" s="50"/>
      <c r="N311" s="50"/>
      <c r="O311" s="50"/>
      <c r="P311" s="50"/>
      <c r="Q311" s="50"/>
      <c r="R311" s="50"/>
      <c r="S311" s="50"/>
      <c r="T311" s="50"/>
      <c r="U311" s="50"/>
      <c r="V311" s="50"/>
      <c r="W311" s="50"/>
      <c r="X311" s="50"/>
      <c r="Y311" s="50"/>
      <c r="Z311" s="50"/>
      <c r="AA311" s="50"/>
      <c r="AB311" s="50"/>
    </row>
    <row r="312" customFormat="false" ht="15.75" hidden="false" customHeight="false" outlineLevel="0" collapsed="false">
      <c r="A312" s="50"/>
      <c r="B312" s="50"/>
      <c r="C312" s="5"/>
      <c r="D312" s="48"/>
      <c r="E312" s="50"/>
      <c r="F312" s="5"/>
      <c r="G312" s="5"/>
      <c r="H312" s="5"/>
      <c r="I312" s="5"/>
      <c r="J312" s="5"/>
      <c r="K312" s="50"/>
      <c r="L312" s="50"/>
      <c r="M312" s="50"/>
      <c r="N312" s="50"/>
      <c r="O312" s="50"/>
      <c r="P312" s="50"/>
      <c r="Q312" s="50"/>
      <c r="R312" s="50"/>
      <c r="S312" s="50"/>
      <c r="T312" s="50"/>
      <c r="U312" s="50"/>
      <c r="V312" s="50"/>
      <c r="W312" s="50"/>
      <c r="X312" s="50"/>
      <c r="Y312" s="50"/>
      <c r="Z312" s="50"/>
      <c r="AA312" s="50"/>
      <c r="AB312" s="50"/>
    </row>
    <row r="313" customFormat="false" ht="15.75" hidden="false" customHeight="false" outlineLevel="0" collapsed="false">
      <c r="A313" s="50"/>
      <c r="B313" s="50"/>
      <c r="C313" s="5"/>
      <c r="D313" s="48"/>
      <c r="E313" s="50"/>
      <c r="F313" s="5"/>
      <c r="G313" s="5"/>
      <c r="H313" s="5"/>
      <c r="I313" s="5"/>
      <c r="J313" s="5"/>
      <c r="K313" s="50"/>
      <c r="L313" s="50"/>
      <c r="M313" s="50"/>
      <c r="N313" s="50"/>
      <c r="O313" s="50"/>
      <c r="P313" s="50"/>
      <c r="Q313" s="50"/>
      <c r="R313" s="50"/>
      <c r="S313" s="50"/>
      <c r="T313" s="50"/>
      <c r="U313" s="50"/>
      <c r="V313" s="50"/>
      <c r="W313" s="50"/>
      <c r="X313" s="50"/>
      <c r="Y313" s="50"/>
      <c r="Z313" s="50"/>
      <c r="AA313" s="50"/>
      <c r="AB313" s="50"/>
    </row>
    <row r="314" customFormat="false" ht="15.75" hidden="false" customHeight="false" outlineLevel="0" collapsed="false">
      <c r="A314" s="50"/>
      <c r="B314" s="50"/>
      <c r="C314" s="5"/>
      <c r="D314" s="48"/>
      <c r="E314" s="50"/>
      <c r="F314" s="5"/>
      <c r="G314" s="5"/>
      <c r="H314" s="5"/>
      <c r="I314" s="5"/>
      <c r="J314" s="5"/>
      <c r="K314" s="50"/>
      <c r="L314" s="50"/>
      <c r="M314" s="50"/>
      <c r="N314" s="50"/>
      <c r="O314" s="50"/>
      <c r="P314" s="50"/>
      <c r="Q314" s="50"/>
      <c r="R314" s="50"/>
      <c r="S314" s="50"/>
      <c r="T314" s="50"/>
      <c r="U314" s="50"/>
      <c r="V314" s="50"/>
      <c r="W314" s="50"/>
      <c r="X314" s="50"/>
      <c r="Y314" s="50"/>
      <c r="Z314" s="50"/>
      <c r="AA314" s="50"/>
      <c r="AB314" s="50"/>
    </row>
    <row r="315" customFormat="false" ht="15.75" hidden="false" customHeight="false" outlineLevel="0" collapsed="false">
      <c r="A315" s="50"/>
      <c r="B315" s="50"/>
      <c r="C315" s="5"/>
      <c r="D315" s="48"/>
      <c r="E315" s="50"/>
      <c r="F315" s="5"/>
      <c r="G315" s="5"/>
      <c r="H315" s="5"/>
      <c r="I315" s="5"/>
      <c r="J315" s="5"/>
      <c r="K315" s="50"/>
      <c r="L315" s="50"/>
      <c r="M315" s="50"/>
      <c r="N315" s="50"/>
      <c r="O315" s="50"/>
      <c r="P315" s="50"/>
      <c r="Q315" s="50"/>
      <c r="R315" s="50"/>
      <c r="S315" s="50"/>
      <c r="T315" s="50"/>
      <c r="U315" s="50"/>
      <c r="V315" s="50"/>
      <c r="W315" s="50"/>
      <c r="X315" s="50"/>
      <c r="Y315" s="50"/>
      <c r="Z315" s="50"/>
      <c r="AA315" s="50"/>
      <c r="AB315" s="50"/>
    </row>
    <row r="316" customFormat="false" ht="15.75" hidden="false" customHeight="false" outlineLevel="0" collapsed="false">
      <c r="A316" s="50"/>
      <c r="B316" s="50"/>
      <c r="C316" s="5"/>
      <c r="D316" s="48"/>
      <c r="E316" s="50"/>
      <c r="F316" s="5"/>
      <c r="G316" s="5"/>
      <c r="H316" s="5"/>
      <c r="I316" s="5"/>
      <c r="J316" s="5"/>
      <c r="K316" s="50"/>
      <c r="L316" s="50"/>
      <c r="M316" s="50"/>
      <c r="N316" s="50"/>
      <c r="O316" s="50"/>
      <c r="P316" s="50"/>
      <c r="Q316" s="50"/>
      <c r="R316" s="50"/>
      <c r="S316" s="50"/>
      <c r="T316" s="50"/>
      <c r="U316" s="50"/>
      <c r="V316" s="50"/>
      <c r="W316" s="50"/>
      <c r="X316" s="50"/>
      <c r="Y316" s="50"/>
      <c r="Z316" s="50"/>
      <c r="AA316" s="50"/>
      <c r="AB316" s="50"/>
    </row>
    <row r="317" customFormat="false" ht="15.75" hidden="false" customHeight="false" outlineLevel="0" collapsed="false">
      <c r="A317" s="50"/>
      <c r="B317" s="50"/>
      <c r="C317" s="5"/>
      <c r="D317" s="48"/>
      <c r="E317" s="50"/>
      <c r="F317" s="5"/>
      <c r="G317" s="5"/>
      <c r="H317" s="5"/>
      <c r="I317" s="5"/>
      <c r="J317" s="5"/>
      <c r="K317" s="50"/>
      <c r="L317" s="50"/>
      <c r="M317" s="50"/>
      <c r="N317" s="50"/>
      <c r="O317" s="50"/>
      <c r="P317" s="50"/>
      <c r="Q317" s="50"/>
      <c r="R317" s="50"/>
      <c r="S317" s="50"/>
      <c r="T317" s="50"/>
      <c r="U317" s="50"/>
      <c r="V317" s="50"/>
      <c r="W317" s="50"/>
      <c r="X317" s="50"/>
      <c r="Y317" s="50"/>
      <c r="Z317" s="50"/>
      <c r="AA317" s="50"/>
      <c r="AB317" s="50"/>
    </row>
    <row r="318" customFormat="false" ht="15.75" hidden="false" customHeight="false" outlineLevel="0" collapsed="false">
      <c r="A318" s="50"/>
      <c r="B318" s="50"/>
      <c r="C318" s="5"/>
      <c r="D318" s="48"/>
      <c r="E318" s="50"/>
      <c r="F318" s="5"/>
      <c r="G318" s="5"/>
      <c r="H318" s="5"/>
      <c r="I318" s="5"/>
      <c r="J318" s="5"/>
      <c r="K318" s="50"/>
      <c r="L318" s="50"/>
      <c r="M318" s="50"/>
      <c r="N318" s="50"/>
      <c r="O318" s="50"/>
      <c r="P318" s="50"/>
      <c r="Q318" s="50"/>
      <c r="R318" s="50"/>
      <c r="S318" s="50"/>
      <c r="T318" s="50"/>
      <c r="U318" s="50"/>
      <c r="V318" s="50"/>
      <c r="W318" s="50"/>
      <c r="X318" s="50"/>
      <c r="Y318" s="50"/>
      <c r="Z318" s="50"/>
      <c r="AA318" s="50"/>
      <c r="AB318" s="50"/>
    </row>
    <row r="319" customFormat="false" ht="15.75" hidden="false" customHeight="false" outlineLevel="0" collapsed="false">
      <c r="A319" s="50"/>
      <c r="B319" s="50"/>
      <c r="C319" s="5"/>
      <c r="D319" s="48"/>
      <c r="E319" s="50"/>
      <c r="F319" s="5"/>
      <c r="G319" s="5"/>
      <c r="H319" s="5"/>
      <c r="I319" s="5"/>
      <c r="J319" s="5"/>
      <c r="K319" s="50"/>
      <c r="L319" s="50"/>
      <c r="M319" s="50"/>
      <c r="N319" s="50"/>
      <c r="O319" s="50"/>
      <c r="P319" s="50"/>
      <c r="Q319" s="50"/>
      <c r="R319" s="50"/>
      <c r="S319" s="50"/>
      <c r="T319" s="50"/>
      <c r="U319" s="50"/>
      <c r="V319" s="50"/>
      <c r="W319" s="50"/>
      <c r="X319" s="50"/>
      <c r="Y319" s="50"/>
      <c r="Z319" s="50"/>
      <c r="AA319" s="50"/>
      <c r="AB319" s="50"/>
    </row>
    <row r="320" customFormat="false" ht="15.75" hidden="false" customHeight="false" outlineLevel="0" collapsed="false">
      <c r="A320" s="50"/>
      <c r="B320" s="50"/>
      <c r="C320" s="5"/>
      <c r="D320" s="48"/>
      <c r="E320" s="50"/>
      <c r="F320" s="5"/>
      <c r="G320" s="5"/>
      <c r="H320" s="5"/>
      <c r="I320" s="5"/>
      <c r="J320" s="5"/>
      <c r="K320" s="50"/>
      <c r="L320" s="50"/>
      <c r="M320" s="50"/>
      <c r="N320" s="50"/>
      <c r="O320" s="50"/>
      <c r="P320" s="50"/>
      <c r="Q320" s="50"/>
      <c r="R320" s="50"/>
      <c r="S320" s="50"/>
      <c r="T320" s="50"/>
      <c r="U320" s="50"/>
      <c r="V320" s="50"/>
      <c r="W320" s="50"/>
      <c r="X320" s="50"/>
      <c r="Y320" s="50"/>
      <c r="Z320" s="50"/>
      <c r="AA320" s="50"/>
      <c r="AB320" s="50"/>
    </row>
    <row r="321" customFormat="false" ht="15.75" hidden="false" customHeight="false" outlineLevel="0" collapsed="false">
      <c r="A321" s="50"/>
      <c r="B321" s="50"/>
      <c r="C321" s="5"/>
      <c r="D321" s="48"/>
      <c r="E321" s="50"/>
      <c r="F321" s="5"/>
      <c r="G321" s="5"/>
      <c r="H321" s="5"/>
      <c r="I321" s="5"/>
      <c r="J321" s="5"/>
      <c r="K321" s="50"/>
      <c r="L321" s="50"/>
      <c r="M321" s="50"/>
      <c r="N321" s="50"/>
      <c r="O321" s="50"/>
      <c r="P321" s="50"/>
      <c r="Q321" s="50"/>
      <c r="R321" s="50"/>
      <c r="S321" s="50"/>
      <c r="T321" s="50"/>
      <c r="U321" s="50"/>
      <c r="V321" s="50"/>
      <c r="W321" s="50"/>
      <c r="X321" s="50"/>
      <c r="Y321" s="50"/>
      <c r="Z321" s="50"/>
      <c r="AA321" s="50"/>
      <c r="AB321" s="50"/>
    </row>
    <row r="322" customFormat="false" ht="15.75" hidden="false" customHeight="false" outlineLevel="0" collapsed="false">
      <c r="A322" s="50"/>
      <c r="B322" s="50"/>
      <c r="C322" s="5"/>
      <c r="D322" s="48"/>
      <c r="E322" s="50"/>
      <c r="F322" s="5"/>
      <c r="G322" s="5"/>
      <c r="H322" s="5"/>
      <c r="I322" s="5"/>
      <c r="J322" s="5"/>
      <c r="K322" s="50"/>
      <c r="L322" s="50"/>
      <c r="M322" s="50"/>
      <c r="N322" s="50"/>
      <c r="O322" s="50"/>
      <c r="P322" s="50"/>
      <c r="Q322" s="50"/>
      <c r="R322" s="50"/>
      <c r="S322" s="50"/>
      <c r="T322" s="50"/>
      <c r="U322" s="50"/>
      <c r="V322" s="50"/>
      <c r="W322" s="50"/>
      <c r="X322" s="50"/>
      <c r="Y322" s="50"/>
      <c r="Z322" s="50"/>
      <c r="AA322" s="50"/>
      <c r="AB322" s="50"/>
    </row>
    <row r="323" customFormat="false" ht="15.75" hidden="false" customHeight="false" outlineLevel="0" collapsed="false">
      <c r="A323" s="50"/>
      <c r="B323" s="50"/>
      <c r="C323" s="5"/>
      <c r="D323" s="48"/>
      <c r="E323" s="50"/>
      <c r="F323" s="5"/>
      <c r="G323" s="5"/>
      <c r="H323" s="5"/>
      <c r="I323" s="5"/>
      <c r="J323" s="5"/>
      <c r="K323" s="50"/>
      <c r="L323" s="50"/>
      <c r="M323" s="50"/>
      <c r="N323" s="50"/>
      <c r="O323" s="50"/>
      <c r="P323" s="50"/>
      <c r="Q323" s="50"/>
      <c r="R323" s="50"/>
      <c r="S323" s="50"/>
      <c r="T323" s="50"/>
      <c r="U323" s="50"/>
      <c r="V323" s="50"/>
      <c r="W323" s="50"/>
      <c r="X323" s="50"/>
      <c r="Y323" s="50"/>
      <c r="Z323" s="50"/>
      <c r="AA323" s="50"/>
      <c r="AB323" s="50"/>
    </row>
    <row r="324" customFormat="false" ht="15.75" hidden="false" customHeight="false" outlineLevel="0" collapsed="false">
      <c r="A324" s="50"/>
      <c r="B324" s="50"/>
      <c r="C324" s="5"/>
      <c r="D324" s="48"/>
      <c r="E324" s="50"/>
      <c r="F324" s="5"/>
      <c r="G324" s="5"/>
      <c r="H324" s="5"/>
      <c r="I324" s="5"/>
      <c r="J324" s="5"/>
      <c r="K324" s="50"/>
      <c r="L324" s="50"/>
      <c r="M324" s="50"/>
      <c r="N324" s="50"/>
      <c r="O324" s="50"/>
      <c r="P324" s="50"/>
      <c r="Q324" s="50"/>
      <c r="R324" s="50"/>
      <c r="S324" s="50"/>
      <c r="T324" s="50"/>
      <c r="U324" s="50"/>
      <c r="V324" s="50"/>
      <c r="W324" s="50"/>
      <c r="X324" s="50"/>
      <c r="Y324" s="50"/>
      <c r="Z324" s="50"/>
      <c r="AA324" s="50"/>
      <c r="AB324" s="50"/>
    </row>
    <row r="325" customFormat="false" ht="15.75" hidden="false" customHeight="false" outlineLevel="0" collapsed="false">
      <c r="A325" s="50"/>
      <c r="B325" s="50"/>
      <c r="C325" s="5"/>
      <c r="D325" s="48"/>
      <c r="E325" s="50"/>
      <c r="F325" s="5"/>
      <c r="G325" s="5"/>
      <c r="H325" s="5"/>
      <c r="I325" s="5"/>
      <c r="J325" s="5"/>
      <c r="K325" s="50"/>
      <c r="L325" s="50"/>
      <c r="M325" s="50"/>
      <c r="N325" s="50"/>
      <c r="O325" s="50"/>
      <c r="P325" s="50"/>
      <c r="Q325" s="50"/>
      <c r="R325" s="50"/>
      <c r="S325" s="50"/>
      <c r="T325" s="50"/>
      <c r="U325" s="50"/>
      <c r="V325" s="50"/>
      <c r="W325" s="50"/>
      <c r="X325" s="50"/>
      <c r="Y325" s="50"/>
      <c r="Z325" s="50"/>
      <c r="AA325" s="50"/>
      <c r="AB325" s="50"/>
    </row>
    <row r="326" customFormat="false" ht="15.75" hidden="false" customHeight="false" outlineLevel="0" collapsed="false">
      <c r="A326" s="50"/>
      <c r="B326" s="50"/>
      <c r="C326" s="5"/>
      <c r="D326" s="48"/>
      <c r="E326" s="50"/>
      <c r="F326" s="5"/>
      <c r="G326" s="5"/>
      <c r="H326" s="5"/>
      <c r="I326" s="5"/>
      <c r="J326" s="5"/>
      <c r="K326" s="50"/>
      <c r="L326" s="50"/>
      <c r="M326" s="50"/>
      <c r="N326" s="50"/>
      <c r="O326" s="50"/>
      <c r="P326" s="50"/>
      <c r="Q326" s="50"/>
      <c r="R326" s="50"/>
      <c r="S326" s="50"/>
      <c r="T326" s="50"/>
      <c r="U326" s="50"/>
      <c r="V326" s="50"/>
      <c r="W326" s="50"/>
      <c r="X326" s="50"/>
      <c r="Y326" s="50"/>
      <c r="Z326" s="50"/>
      <c r="AA326" s="50"/>
      <c r="AB326" s="50"/>
    </row>
    <row r="327" customFormat="false" ht="15.75" hidden="false" customHeight="false" outlineLevel="0" collapsed="false">
      <c r="A327" s="50"/>
      <c r="B327" s="50"/>
      <c r="C327" s="5"/>
      <c r="D327" s="48"/>
      <c r="E327" s="50"/>
      <c r="F327" s="5"/>
      <c r="G327" s="5"/>
      <c r="H327" s="5"/>
      <c r="I327" s="5"/>
      <c r="J327" s="5"/>
      <c r="K327" s="50"/>
      <c r="L327" s="50"/>
      <c r="M327" s="50"/>
      <c r="N327" s="50"/>
      <c r="O327" s="50"/>
      <c r="P327" s="50"/>
      <c r="Q327" s="50"/>
      <c r="R327" s="50"/>
      <c r="S327" s="50"/>
      <c r="T327" s="50"/>
      <c r="U327" s="50"/>
      <c r="V327" s="50"/>
      <c r="W327" s="50"/>
      <c r="X327" s="50"/>
      <c r="Y327" s="50"/>
      <c r="Z327" s="50"/>
      <c r="AA327" s="50"/>
      <c r="AB327" s="50"/>
    </row>
    <row r="328" customFormat="false" ht="15.75" hidden="false" customHeight="false" outlineLevel="0" collapsed="false">
      <c r="A328" s="50"/>
      <c r="B328" s="50"/>
      <c r="C328" s="5"/>
      <c r="D328" s="48"/>
      <c r="E328" s="50"/>
      <c r="F328" s="5"/>
      <c r="G328" s="5"/>
      <c r="H328" s="5"/>
      <c r="I328" s="5"/>
      <c r="J328" s="5"/>
      <c r="K328" s="50"/>
      <c r="L328" s="50"/>
      <c r="M328" s="50"/>
      <c r="N328" s="50"/>
      <c r="O328" s="50"/>
      <c r="P328" s="50"/>
      <c r="Q328" s="50"/>
      <c r="R328" s="50"/>
      <c r="S328" s="50"/>
      <c r="T328" s="50"/>
      <c r="U328" s="50"/>
      <c r="V328" s="50"/>
      <c r="W328" s="50"/>
      <c r="X328" s="50"/>
      <c r="Y328" s="50"/>
      <c r="Z328" s="50"/>
      <c r="AA328" s="50"/>
      <c r="AB328" s="50"/>
    </row>
    <row r="329" customFormat="false" ht="15.75" hidden="false" customHeight="false" outlineLevel="0" collapsed="false">
      <c r="A329" s="50"/>
      <c r="B329" s="50"/>
      <c r="C329" s="5"/>
      <c r="D329" s="48"/>
      <c r="E329" s="50"/>
      <c r="F329" s="5"/>
      <c r="G329" s="5"/>
      <c r="H329" s="5"/>
      <c r="I329" s="5"/>
      <c r="J329" s="5"/>
      <c r="K329" s="50"/>
      <c r="L329" s="50"/>
      <c r="M329" s="50"/>
      <c r="N329" s="50"/>
      <c r="O329" s="50"/>
      <c r="P329" s="50"/>
      <c r="Q329" s="50"/>
      <c r="R329" s="50"/>
      <c r="S329" s="50"/>
      <c r="T329" s="50"/>
      <c r="U329" s="50"/>
      <c r="V329" s="50"/>
      <c r="W329" s="50"/>
      <c r="X329" s="50"/>
      <c r="Y329" s="50"/>
      <c r="Z329" s="50"/>
      <c r="AA329" s="50"/>
      <c r="AB329" s="50"/>
    </row>
    <row r="330" customFormat="false" ht="15.75" hidden="false" customHeight="false" outlineLevel="0" collapsed="false">
      <c r="A330" s="50"/>
      <c r="B330" s="50"/>
      <c r="C330" s="5"/>
      <c r="D330" s="48"/>
      <c r="E330" s="50"/>
      <c r="F330" s="5"/>
      <c r="G330" s="5"/>
      <c r="H330" s="5"/>
      <c r="I330" s="5"/>
      <c r="J330" s="5"/>
      <c r="K330" s="50"/>
      <c r="L330" s="50"/>
      <c r="M330" s="50"/>
      <c r="N330" s="50"/>
      <c r="O330" s="50"/>
      <c r="P330" s="50"/>
      <c r="Q330" s="50"/>
      <c r="R330" s="50"/>
      <c r="S330" s="50"/>
      <c r="T330" s="50"/>
      <c r="U330" s="50"/>
      <c r="V330" s="50"/>
      <c r="W330" s="50"/>
      <c r="X330" s="50"/>
      <c r="Y330" s="50"/>
      <c r="Z330" s="50"/>
      <c r="AA330" s="50"/>
      <c r="AB330" s="50"/>
    </row>
    <row r="331" customFormat="false" ht="15.75" hidden="false" customHeight="false" outlineLevel="0" collapsed="false">
      <c r="A331" s="50"/>
      <c r="B331" s="50"/>
      <c r="C331" s="5"/>
      <c r="D331" s="48"/>
      <c r="E331" s="50"/>
      <c r="F331" s="5"/>
      <c r="G331" s="5"/>
      <c r="H331" s="5"/>
      <c r="I331" s="5"/>
      <c r="J331" s="5"/>
      <c r="K331" s="50"/>
      <c r="L331" s="50"/>
      <c r="M331" s="50"/>
      <c r="N331" s="50"/>
      <c r="O331" s="50"/>
      <c r="P331" s="50"/>
      <c r="Q331" s="50"/>
      <c r="R331" s="50"/>
      <c r="S331" s="50"/>
      <c r="T331" s="50"/>
      <c r="U331" s="50"/>
      <c r="V331" s="50"/>
      <c r="W331" s="50"/>
      <c r="X331" s="50"/>
      <c r="Y331" s="50"/>
      <c r="Z331" s="50"/>
      <c r="AA331" s="50"/>
      <c r="AB331" s="50"/>
    </row>
    <row r="332" customFormat="false" ht="15.75" hidden="false" customHeight="false" outlineLevel="0" collapsed="false">
      <c r="A332" s="50"/>
      <c r="B332" s="50"/>
      <c r="C332" s="5"/>
      <c r="D332" s="48"/>
      <c r="E332" s="50"/>
      <c r="F332" s="5"/>
      <c r="G332" s="5"/>
      <c r="H332" s="5"/>
      <c r="I332" s="5"/>
      <c r="J332" s="5"/>
      <c r="K332" s="50"/>
      <c r="L332" s="50"/>
      <c r="M332" s="50"/>
      <c r="N332" s="50"/>
      <c r="O332" s="50"/>
      <c r="P332" s="50"/>
      <c r="Q332" s="50"/>
      <c r="R332" s="50"/>
      <c r="S332" s="50"/>
      <c r="T332" s="50"/>
      <c r="U332" s="50"/>
      <c r="V332" s="50"/>
      <c r="W332" s="50"/>
      <c r="X332" s="50"/>
      <c r="Y332" s="50"/>
      <c r="Z332" s="50"/>
      <c r="AA332" s="50"/>
      <c r="AB332" s="50"/>
    </row>
    <row r="333" customFormat="false" ht="15.75" hidden="false" customHeight="false" outlineLevel="0" collapsed="false">
      <c r="A333" s="50"/>
      <c r="B333" s="50"/>
      <c r="C333" s="5"/>
      <c r="D333" s="48"/>
      <c r="E333" s="50"/>
      <c r="F333" s="5"/>
      <c r="G333" s="5"/>
      <c r="H333" s="5"/>
      <c r="I333" s="5"/>
      <c r="J333" s="5"/>
      <c r="K333" s="50"/>
      <c r="L333" s="50"/>
      <c r="M333" s="50"/>
      <c r="N333" s="50"/>
      <c r="O333" s="50"/>
      <c r="P333" s="50"/>
      <c r="Q333" s="50"/>
      <c r="R333" s="50"/>
      <c r="S333" s="50"/>
      <c r="T333" s="50"/>
      <c r="U333" s="50"/>
      <c r="V333" s="50"/>
      <c r="W333" s="50"/>
      <c r="X333" s="50"/>
      <c r="Y333" s="50"/>
      <c r="Z333" s="50"/>
      <c r="AA333" s="50"/>
      <c r="AB333" s="50"/>
    </row>
    <row r="334" customFormat="false" ht="15.75" hidden="false" customHeight="false" outlineLevel="0" collapsed="false">
      <c r="A334" s="50"/>
      <c r="B334" s="50"/>
      <c r="C334" s="5"/>
      <c r="D334" s="48"/>
      <c r="E334" s="50"/>
      <c r="F334" s="5"/>
      <c r="G334" s="5"/>
      <c r="H334" s="5"/>
      <c r="I334" s="5"/>
      <c r="J334" s="5"/>
      <c r="K334" s="50"/>
      <c r="L334" s="50"/>
      <c r="M334" s="50"/>
      <c r="N334" s="50"/>
      <c r="O334" s="50"/>
      <c r="P334" s="50"/>
      <c r="Q334" s="50"/>
      <c r="R334" s="50"/>
      <c r="S334" s="50"/>
      <c r="T334" s="50"/>
      <c r="U334" s="50"/>
      <c r="V334" s="50"/>
      <c r="W334" s="50"/>
      <c r="X334" s="50"/>
      <c r="Y334" s="50"/>
      <c r="Z334" s="50"/>
      <c r="AA334" s="50"/>
      <c r="AB334" s="50"/>
    </row>
    <row r="335" customFormat="false" ht="15.75" hidden="false" customHeight="false" outlineLevel="0" collapsed="false">
      <c r="A335" s="50"/>
      <c r="B335" s="50"/>
      <c r="C335" s="5"/>
      <c r="D335" s="48"/>
      <c r="E335" s="50"/>
      <c r="F335" s="5"/>
      <c r="G335" s="5"/>
      <c r="H335" s="5"/>
      <c r="I335" s="5"/>
      <c r="J335" s="5"/>
      <c r="K335" s="50"/>
      <c r="L335" s="50"/>
      <c r="M335" s="50"/>
      <c r="N335" s="50"/>
      <c r="O335" s="50"/>
      <c r="P335" s="50"/>
      <c r="Q335" s="50"/>
      <c r="R335" s="50"/>
      <c r="S335" s="50"/>
      <c r="T335" s="50"/>
      <c r="U335" s="50"/>
      <c r="V335" s="50"/>
      <c r="W335" s="50"/>
      <c r="X335" s="50"/>
      <c r="Y335" s="50"/>
      <c r="Z335" s="50"/>
      <c r="AA335" s="50"/>
      <c r="AB335" s="50"/>
    </row>
    <row r="336" customFormat="false" ht="15.75" hidden="false" customHeight="false" outlineLevel="0" collapsed="false">
      <c r="A336" s="50"/>
      <c r="B336" s="50"/>
      <c r="C336" s="5"/>
      <c r="D336" s="48"/>
      <c r="E336" s="50"/>
      <c r="F336" s="5"/>
      <c r="G336" s="5"/>
      <c r="H336" s="5"/>
      <c r="I336" s="5"/>
      <c r="J336" s="5"/>
      <c r="K336" s="50"/>
      <c r="L336" s="50"/>
      <c r="M336" s="50"/>
      <c r="N336" s="50"/>
      <c r="O336" s="50"/>
      <c r="P336" s="50"/>
      <c r="Q336" s="50"/>
      <c r="R336" s="50"/>
      <c r="S336" s="50"/>
      <c r="T336" s="50"/>
      <c r="U336" s="50"/>
      <c r="V336" s="50"/>
      <c r="W336" s="50"/>
      <c r="X336" s="50"/>
      <c r="Y336" s="50"/>
      <c r="Z336" s="50"/>
      <c r="AA336" s="50"/>
      <c r="AB336" s="50"/>
    </row>
    <row r="337" customFormat="false" ht="15.75" hidden="false" customHeight="false" outlineLevel="0" collapsed="false">
      <c r="A337" s="50"/>
      <c r="B337" s="50"/>
      <c r="C337" s="5"/>
      <c r="D337" s="48"/>
      <c r="E337" s="50"/>
      <c r="F337" s="5"/>
      <c r="G337" s="5"/>
      <c r="H337" s="5"/>
      <c r="I337" s="5"/>
      <c r="J337" s="5"/>
      <c r="K337" s="50"/>
      <c r="L337" s="50"/>
      <c r="M337" s="50"/>
      <c r="N337" s="50"/>
      <c r="O337" s="50"/>
      <c r="P337" s="50"/>
      <c r="Q337" s="50"/>
      <c r="R337" s="50"/>
      <c r="S337" s="50"/>
      <c r="T337" s="50"/>
      <c r="U337" s="50"/>
      <c r="V337" s="50"/>
      <c r="W337" s="50"/>
      <c r="X337" s="50"/>
      <c r="Y337" s="50"/>
      <c r="Z337" s="50"/>
      <c r="AA337" s="50"/>
      <c r="AB337" s="50"/>
    </row>
    <row r="338" customFormat="false" ht="15.75" hidden="false" customHeight="false" outlineLevel="0" collapsed="false">
      <c r="A338" s="50"/>
      <c r="B338" s="50"/>
      <c r="C338" s="5"/>
      <c r="D338" s="48"/>
      <c r="E338" s="50"/>
      <c r="F338" s="5"/>
      <c r="G338" s="5"/>
      <c r="H338" s="5"/>
      <c r="I338" s="5"/>
      <c r="J338" s="5"/>
      <c r="K338" s="50"/>
      <c r="L338" s="50"/>
      <c r="M338" s="50"/>
      <c r="N338" s="50"/>
      <c r="O338" s="50"/>
      <c r="P338" s="50"/>
      <c r="Q338" s="50"/>
      <c r="R338" s="50"/>
      <c r="S338" s="50"/>
      <c r="T338" s="50"/>
      <c r="U338" s="50"/>
      <c r="V338" s="50"/>
      <c r="W338" s="50"/>
      <c r="X338" s="50"/>
      <c r="Y338" s="50"/>
      <c r="Z338" s="50"/>
      <c r="AA338" s="50"/>
      <c r="AB338" s="50"/>
    </row>
    <row r="339" customFormat="false" ht="15.75" hidden="false" customHeight="false" outlineLevel="0" collapsed="false">
      <c r="A339" s="50"/>
      <c r="B339" s="50"/>
      <c r="C339" s="5"/>
      <c r="D339" s="48"/>
      <c r="E339" s="50"/>
      <c r="F339" s="5"/>
      <c r="G339" s="5"/>
      <c r="H339" s="5"/>
      <c r="I339" s="5"/>
      <c r="J339" s="5"/>
      <c r="K339" s="50"/>
      <c r="L339" s="50"/>
      <c r="M339" s="50"/>
      <c r="N339" s="50"/>
      <c r="O339" s="50"/>
      <c r="P339" s="50"/>
      <c r="Q339" s="50"/>
      <c r="R339" s="50"/>
      <c r="S339" s="50"/>
      <c r="T339" s="50"/>
      <c r="U339" s="50"/>
      <c r="V339" s="50"/>
      <c r="W339" s="50"/>
      <c r="X339" s="50"/>
      <c r="Y339" s="50"/>
      <c r="Z339" s="50"/>
      <c r="AA339" s="50"/>
      <c r="AB339" s="50"/>
    </row>
    <row r="340" customFormat="false" ht="15.75" hidden="false" customHeight="false" outlineLevel="0" collapsed="false">
      <c r="A340" s="50"/>
      <c r="B340" s="50"/>
      <c r="C340" s="5"/>
      <c r="D340" s="48"/>
      <c r="E340" s="50"/>
      <c r="F340" s="5"/>
      <c r="G340" s="5"/>
      <c r="H340" s="5"/>
      <c r="I340" s="5"/>
      <c r="J340" s="5"/>
      <c r="K340" s="50"/>
      <c r="L340" s="50"/>
      <c r="M340" s="50"/>
      <c r="N340" s="50"/>
      <c r="O340" s="50"/>
      <c r="P340" s="50"/>
      <c r="Q340" s="50"/>
      <c r="R340" s="50"/>
      <c r="S340" s="50"/>
      <c r="T340" s="50"/>
      <c r="U340" s="50"/>
      <c r="V340" s="50"/>
      <c r="W340" s="50"/>
      <c r="X340" s="50"/>
      <c r="Y340" s="50"/>
      <c r="Z340" s="50"/>
      <c r="AA340" s="50"/>
      <c r="AB340" s="50"/>
    </row>
    <row r="341" customFormat="false" ht="15.75" hidden="false" customHeight="false" outlineLevel="0" collapsed="false">
      <c r="A341" s="50"/>
      <c r="B341" s="50"/>
      <c r="C341" s="5"/>
      <c r="D341" s="48"/>
      <c r="E341" s="50"/>
      <c r="F341" s="5"/>
      <c r="G341" s="5"/>
      <c r="H341" s="5"/>
      <c r="I341" s="5"/>
      <c r="J341" s="5"/>
      <c r="K341" s="50"/>
      <c r="L341" s="50"/>
      <c r="M341" s="50"/>
      <c r="N341" s="50"/>
      <c r="O341" s="50"/>
      <c r="P341" s="50"/>
      <c r="Q341" s="50"/>
      <c r="R341" s="50"/>
      <c r="S341" s="50"/>
      <c r="T341" s="50"/>
      <c r="U341" s="50"/>
      <c r="V341" s="50"/>
      <c r="W341" s="50"/>
      <c r="X341" s="50"/>
      <c r="Y341" s="50"/>
      <c r="Z341" s="50"/>
      <c r="AA341" s="50"/>
      <c r="AB341" s="50"/>
    </row>
    <row r="342" customFormat="false" ht="15.75" hidden="false" customHeight="false" outlineLevel="0" collapsed="false">
      <c r="A342" s="50"/>
      <c r="B342" s="50"/>
      <c r="C342" s="5"/>
      <c r="D342" s="48"/>
      <c r="E342" s="50"/>
      <c r="F342" s="5"/>
      <c r="G342" s="5"/>
      <c r="H342" s="5"/>
      <c r="I342" s="5"/>
      <c r="J342" s="5"/>
      <c r="K342" s="50"/>
      <c r="L342" s="50"/>
      <c r="M342" s="50"/>
      <c r="N342" s="50"/>
      <c r="O342" s="50"/>
      <c r="P342" s="50"/>
      <c r="Q342" s="50"/>
      <c r="R342" s="50"/>
      <c r="S342" s="50"/>
      <c r="T342" s="50"/>
      <c r="U342" s="50"/>
      <c r="V342" s="50"/>
      <c r="W342" s="50"/>
      <c r="X342" s="50"/>
      <c r="Y342" s="50"/>
      <c r="Z342" s="50"/>
      <c r="AA342" s="50"/>
      <c r="AB342" s="50"/>
    </row>
    <row r="343" customFormat="false" ht="15.75" hidden="false" customHeight="false" outlineLevel="0" collapsed="false">
      <c r="A343" s="50"/>
      <c r="B343" s="50"/>
      <c r="C343" s="5"/>
      <c r="D343" s="48"/>
      <c r="E343" s="50"/>
      <c r="F343" s="5"/>
      <c r="G343" s="5"/>
      <c r="H343" s="5"/>
      <c r="I343" s="5"/>
      <c r="J343" s="5"/>
      <c r="K343" s="50"/>
      <c r="L343" s="50"/>
      <c r="M343" s="50"/>
      <c r="N343" s="50"/>
      <c r="O343" s="50"/>
      <c r="P343" s="50"/>
      <c r="Q343" s="50"/>
      <c r="R343" s="50"/>
      <c r="S343" s="50"/>
      <c r="T343" s="50"/>
      <c r="U343" s="50"/>
      <c r="V343" s="50"/>
      <c r="W343" s="50"/>
      <c r="X343" s="50"/>
      <c r="Y343" s="50"/>
      <c r="Z343" s="50"/>
      <c r="AA343" s="50"/>
      <c r="AB343" s="50"/>
    </row>
    <row r="344" customFormat="false" ht="15.75" hidden="false" customHeight="false" outlineLevel="0" collapsed="false">
      <c r="A344" s="50"/>
      <c r="B344" s="50"/>
      <c r="C344" s="5"/>
      <c r="D344" s="48"/>
      <c r="E344" s="50"/>
      <c r="F344" s="5"/>
      <c r="G344" s="5"/>
      <c r="H344" s="5"/>
      <c r="I344" s="5"/>
      <c r="J344" s="5"/>
      <c r="K344" s="50"/>
      <c r="L344" s="50"/>
      <c r="M344" s="50"/>
      <c r="N344" s="50"/>
      <c r="O344" s="50"/>
      <c r="P344" s="50"/>
      <c r="Q344" s="50"/>
      <c r="R344" s="50"/>
      <c r="S344" s="50"/>
      <c r="T344" s="50"/>
      <c r="U344" s="50"/>
      <c r="V344" s="50"/>
      <c r="W344" s="50"/>
      <c r="X344" s="50"/>
      <c r="Y344" s="50"/>
      <c r="Z344" s="50"/>
      <c r="AA344" s="50"/>
      <c r="AB344" s="50"/>
    </row>
    <row r="345" customFormat="false" ht="15.75" hidden="false" customHeight="false" outlineLevel="0" collapsed="false">
      <c r="A345" s="50"/>
      <c r="B345" s="50"/>
      <c r="C345" s="5"/>
      <c r="D345" s="48"/>
      <c r="E345" s="50"/>
      <c r="F345" s="5"/>
      <c r="G345" s="5"/>
      <c r="H345" s="5"/>
      <c r="I345" s="5"/>
      <c r="J345" s="5"/>
      <c r="K345" s="50"/>
      <c r="L345" s="50"/>
      <c r="M345" s="50"/>
      <c r="N345" s="50"/>
      <c r="O345" s="50"/>
      <c r="P345" s="50"/>
      <c r="Q345" s="50"/>
      <c r="R345" s="50"/>
      <c r="S345" s="50"/>
      <c r="T345" s="50"/>
      <c r="U345" s="50"/>
      <c r="V345" s="50"/>
      <c r="W345" s="50"/>
      <c r="X345" s="50"/>
      <c r="Y345" s="50"/>
      <c r="Z345" s="50"/>
      <c r="AA345" s="50"/>
      <c r="AB345" s="50"/>
    </row>
    <row r="346" customFormat="false" ht="15.75" hidden="false" customHeight="false" outlineLevel="0" collapsed="false">
      <c r="A346" s="50"/>
      <c r="B346" s="50"/>
      <c r="C346" s="5"/>
      <c r="D346" s="48"/>
      <c r="E346" s="50"/>
      <c r="F346" s="5"/>
      <c r="G346" s="5"/>
      <c r="H346" s="5"/>
      <c r="I346" s="5"/>
      <c r="J346" s="5"/>
      <c r="K346" s="50"/>
      <c r="L346" s="50"/>
      <c r="M346" s="50"/>
      <c r="N346" s="50"/>
      <c r="O346" s="50"/>
      <c r="P346" s="50"/>
      <c r="Q346" s="50"/>
      <c r="R346" s="50"/>
      <c r="S346" s="50"/>
      <c r="T346" s="50"/>
      <c r="U346" s="50"/>
      <c r="V346" s="50"/>
      <c r="W346" s="50"/>
      <c r="X346" s="50"/>
      <c r="Y346" s="50"/>
      <c r="Z346" s="50"/>
      <c r="AA346" s="50"/>
      <c r="AB346" s="50"/>
    </row>
    <row r="347" customFormat="false" ht="15.75" hidden="false" customHeight="false" outlineLevel="0" collapsed="false">
      <c r="A347" s="50"/>
      <c r="B347" s="50"/>
      <c r="C347" s="5"/>
      <c r="D347" s="48"/>
      <c r="E347" s="50"/>
      <c r="F347" s="5"/>
      <c r="G347" s="5"/>
      <c r="H347" s="5"/>
      <c r="I347" s="5"/>
      <c r="J347" s="5"/>
      <c r="K347" s="50"/>
      <c r="L347" s="50"/>
      <c r="M347" s="50"/>
      <c r="N347" s="50"/>
      <c r="O347" s="50"/>
      <c r="P347" s="50"/>
      <c r="Q347" s="50"/>
      <c r="R347" s="50"/>
      <c r="S347" s="50"/>
      <c r="T347" s="50"/>
      <c r="U347" s="50"/>
      <c r="V347" s="50"/>
      <c r="W347" s="50"/>
      <c r="X347" s="50"/>
      <c r="Y347" s="50"/>
      <c r="Z347" s="50"/>
      <c r="AA347" s="50"/>
      <c r="AB347" s="50"/>
    </row>
    <row r="348" customFormat="false" ht="15.75" hidden="false" customHeight="false" outlineLevel="0" collapsed="false">
      <c r="A348" s="50"/>
      <c r="B348" s="50"/>
      <c r="C348" s="5"/>
      <c r="D348" s="48"/>
      <c r="E348" s="50"/>
      <c r="F348" s="5"/>
      <c r="G348" s="5"/>
      <c r="H348" s="5"/>
      <c r="I348" s="5"/>
      <c r="J348" s="5"/>
      <c r="K348" s="50"/>
      <c r="L348" s="50"/>
      <c r="M348" s="50"/>
      <c r="N348" s="50"/>
      <c r="O348" s="50"/>
      <c r="P348" s="50"/>
      <c r="Q348" s="50"/>
      <c r="R348" s="50"/>
      <c r="S348" s="50"/>
      <c r="T348" s="50"/>
      <c r="U348" s="50"/>
      <c r="V348" s="50"/>
      <c r="W348" s="50"/>
      <c r="X348" s="50"/>
      <c r="Y348" s="50"/>
      <c r="Z348" s="50"/>
      <c r="AA348" s="50"/>
      <c r="AB348" s="50"/>
    </row>
    <row r="349" customFormat="false" ht="15.75" hidden="false" customHeight="false" outlineLevel="0" collapsed="false">
      <c r="A349" s="50"/>
      <c r="B349" s="50"/>
      <c r="C349" s="5"/>
      <c r="D349" s="48"/>
      <c r="E349" s="50"/>
      <c r="F349" s="5"/>
      <c r="G349" s="5"/>
      <c r="H349" s="5"/>
      <c r="I349" s="5"/>
      <c r="J349" s="5"/>
      <c r="K349" s="50"/>
      <c r="L349" s="50"/>
      <c r="M349" s="50"/>
      <c r="N349" s="50"/>
      <c r="O349" s="50"/>
      <c r="P349" s="50"/>
      <c r="Q349" s="50"/>
      <c r="R349" s="50"/>
      <c r="S349" s="50"/>
      <c r="T349" s="50"/>
      <c r="U349" s="50"/>
      <c r="V349" s="50"/>
      <c r="W349" s="50"/>
      <c r="X349" s="50"/>
      <c r="Y349" s="50"/>
      <c r="Z349" s="50"/>
      <c r="AA349" s="50"/>
      <c r="AB349" s="50"/>
    </row>
    <row r="350" customFormat="false" ht="15.75" hidden="false" customHeight="false" outlineLevel="0" collapsed="false">
      <c r="A350" s="50"/>
      <c r="B350" s="50"/>
      <c r="C350" s="5"/>
      <c r="D350" s="48"/>
      <c r="E350" s="50"/>
      <c r="F350" s="5"/>
      <c r="G350" s="5"/>
      <c r="H350" s="5"/>
      <c r="I350" s="5"/>
      <c r="J350" s="5"/>
      <c r="K350" s="50"/>
      <c r="L350" s="50"/>
      <c r="M350" s="50"/>
      <c r="N350" s="50"/>
      <c r="O350" s="50"/>
      <c r="P350" s="50"/>
      <c r="Q350" s="50"/>
      <c r="R350" s="50"/>
      <c r="S350" s="50"/>
      <c r="T350" s="50"/>
      <c r="U350" s="50"/>
      <c r="V350" s="50"/>
      <c r="W350" s="50"/>
      <c r="X350" s="50"/>
      <c r="Y350" s="50"/>
      <c r="Z350" s="50"/>
      <c r="AA350" s="50"/>
      <c r="AB350" s="50"/>
    </row>
    <row r="351" customFormat="false" ht="15.75" hidden="false" customHeight="false" outlineLevel="0" collapsed="false">
      <c r="A351" s="50"/>
      <c r="B351" s="50"/>
      <c r="C351" s="5"/>
      <c r="D351" s="48"/>
      <c r="E351" s="50"/>
      <c r="F351" s="5"/>
      <c r="G351" s="5"/>
      <c r="H351" s="5"/>
      <c r="I351" s="5"/>
      <c r="J351" s="5"/>
      <c r="K351" s="50"/>
      <c r="L351" s="50"/>
      <c r="M351" s="50"/>
      <c r="N351" s="50"/>
      <c r="O351" s="50"/>
      <c r="P351" s="50"/>
      <c r="Q351" s="50"/>
      <c r="R351" s="50"/>
      <c r="S351" s="50"/>
      <c r="T351" s="50"/>
      <c r="U351" s="50"/>
      <c r="V351" s="50"/>
      <c r="W351" s="50"/>
      <c r="X351" s="50"/>
      <c r="Y351" s="50"/>
      <c r="Z351" s="50"/>
      <c r="AA351" s="50"/>
      <c r="AB351" s="50"/>
    </row>
    <row r="352" customFormat="false" ht="15.75" hidden="false" customHeight="false" outlineLevel="0" collapsed="false">
      <c r="A352" s="50"/>
      <c r="B352" s="50"/>
      <c r="C352" s="5"/>
      <c r="D352" s="48"/>
      <c r="E352" s="50"/>
      <c r="F352" s="5"/>
      <c r="G352" s="5"/>
      <c r="H352" s="5"/>
      <c r="I352" s="5"/>
      <c r="J352" s="5"/>
      <c r="K352" s="50"/>
      <c r="L352" s="50"/>
      <c r="M352" s="50"/>
      <c r="N352" s="50"/>
      <c r="O352" s="50"/>
      <c r="P352" s="50"/>
      <c r="Q352" s="50"/>
      <c r="R352" s="50"/>
      <c r="S352" s="50"/>
      <c r="T352" s="50"/>
      <c r="U352" s="50"/>
      <c r="V352" s="50"/>
      <c r="W352" s="50"/>
      <c r="X352" s="50"/>
      <c r="Y352" s="50"/>
      <c r="Z352" s="50"/>
      <c r="AA352" s="50"/>
      <c r="AB352" s="50"/>
    </row>
    <row r="353" customFormat="false" ht="15.75" hidden="false" customHeight="false" outlineLevel="0" collapsed="false">
      <c r="A353" s="50"/>
      <c r="B353" s="50"/>
      <c r="C353" s="5"/>
      <c r="D353" s="48"/>
      <c r="E353" s="50"/>
      <c r="F353" s="5"/>
      <c r="G353" s="5"/>
      <c r="H353" s="5"/>
      <c r="I353" s="5"/>
      <c r="J353" s="5"/>
      <c r="K353" s="50"/>
      <c r="L353" s="50"/>
      <c r="M353" s="50"/>
      <c r="N353" s="50"/>
      <c r="O353" s="50"/>
      <c r="P353" s="50"/>
      <c r="Q353" s="50"/>
      <c r="R353" s="50"/>
      <c r="S353" s="50"/>
      <c r="T353" s="50"/>
      <c r="U353" s="50"/>
      <c r="V353" s="50"/>
      <c r="W353" s="50"/>
      <c r="X353" s="50"/>
      <c r="Y353" s="50"/>
      <c r="Z353" s="50"/>
      <c r="AA353" s="50"/>
      <c r="AB353" s="50"/>
    </row>
    <row r="354" customFormat="false" ht="15.75" hidden="false" customHeight="false" outlineLevel="0" collapsed="false">
      <c r="A354" s="50"/>
      <c r="B354" s="50"/>
      <c r="C354" s="5"/>
      <c r="D354" s="48"/>
      <c r="E354" s="50"/>
      <c r="F354" s="5"/>
      <c r="G354" s="5"/>
      <c r="H354" s="5"/>
      <c r="I354" s="5"/>
      <c r="J354" s="5"/>
      <c r="K354" s="50"/>
      <c r="L354" s="50"/>
      <c r="M354" s="50"/>
      <c r="N354" s="50"/>
      <c r="O354" s="50"/>
      <c r="P354" s="50"/>
      <c r="Q354" s="50"/>
      <c r="R354" s="50"/>
      <c r="S354" s="50"/>
      <c r="T354" s="50"/>
      <c r="U354" s="50"/>
      <c r="V354" s="50"/>
      <c r="W354" s="50"/>
      <c r="X354" s="50"/>
      <c r="Y354" s="50"/>
      <c r="Z354" s="50"/>
      <c r="AA354" s="50"/>
      <c r="AB354" s="50"/>
    </row>
    <row r="355" customFormat="false" ht="15.75" hidden="false" customHeight="false" outlineLevel="0" collapsed="false">
      <c r="A355" s="50"/>
      <c r="B355" s="50"/>
      <c r="C355" s="5"/>
      <c r="D355" s="48"/>
      <c r="E355" s="50"/>
      <c r="F355" s="5"/>
      <c r="G355" s="5"/>
      <c r="H355" s="5"/>
      <c r="I355" s="5"/>
      <c r="J355" s="5"/>
      <c r="K355" s="50"/>
      <c r="L355" s="50"/>
      <c r="M355" s="50"/>
      <c r="N355" s="50"/>
      <c r="O355" s="50"/>
      <c r="P355" s="50"/>
      <c r="Q355" s="50"/>
      <c r="R355" s="50"/>
      <c r="S355" s="50"/>
      <c r="T355" s="50"/>
      <c r="U355" s="50"/>
      <c r="V355" s="50"/>
      <c r="W355" s="50"/>
      <c r="X355" s="50"/>
      <c r="Y355" s="50"/>
      <c r="Z355" s="50"/>
      <c r="AA355" s="50"/>
      <c r="AB355" s="50"/>
    </row>
    <row r="356" customFormat="false" ht="15.75" hidden="false" customHeight="false" outlineLevel="0" collapsed="false">
      <c r="A356" s="50"/>
      <c r="B356" s="50"/>
      <c r="C356" s="5"/>
      <c r="D356" s="48"/>
      <c r="E356" s="50"/>
      <c r="F356" s="5"/>
      <c r="G356" s="5"/>
      <c r="H356" s="5"/>
      <c r="I356" s="5"/>
      <c r="J356" s="5"/>
      <c r="K356" s="50"/>
      <c r="L356" s="50"/>
      <c r="M356" s="50"/>
      <c r="N356" s="50"/>
      <c r="O356" s="50"/>
      <c r="P356" s="50"/>
      <c r="Q356" s="50"/>
      <c r="R356" s="50"/>
      <c r="S356" s="50"/>
      <c r="T356" s="50"/>
      <c r="U356" s="50"/>
      <c r="V356" s="50"/>
      <c r="W356" s="50"/>
      <c r="X356" s="50"/>
      <c r="Y356" s="50"/>
      <c r="Z356" s="50"/>
      <c r="AA356" s="50"/>
      <c r="AB356" s="50"/>
    </row>
    <row r="357" customFormat="false" ht="15.75" hidden="false" customHeight="false" outlineLevel="0" collapsed="false">
      <c r="A357" s="50"/>
      <c r="B357" s="50"/>
      <c r="C357" s="5"/>
      <c r="D357" s="48"/>
      <c r="E357" s="50"/>
      <c r="F357" s="5"/>
      <c r="G357" s="5"/>
      <c r="H357" s="5"/>
      <c r="I357" s="5"/>
      <c r="J357" s="5"/>
      <c r="K357" s="50"/>
      <c r="L357" s="50"/>
      <c r="M357" s="50"/>
      <c r="N357" s="50"/>
      <c r="O357" s="50"/>
      <c r="P357" s="50"/>
      <c r="Q357" s="50"/>
      <c r="R357" s="50"/>
      <c r="S357" s="50"/>
      <c r="T357" s="50"/>
      <c r="U357" s="50"/>
      <c r="V357" s="50"/>
      <c r="W357" s="50"/>
      <c r="X357" s="50"/>
      <c r="Y357" s="50"/>
      <c r="Z357" s="50"/>
      <c r="AA357" s="50"/>
      <c r="AB357" s="50"/>
    </row>
    <row r="358" customFormat="false" ht="15.75" hidden="false" customHeight="false" outlineLevel="0" collapsed="false">
      <c r="A358" s="50"/>
      <c r="B358" s="50"/>
      <c r="C358" s="5"/>
      <c r="D358" s="48"/>
      <c r="E358" s="50"/>
      <c r="F358" s="5"/>
      <c r="G358" s="5"/>
      <c r="H358" s="5"/>
      <c r="I358" s="5"/>
      <c r="J358" s="5"/>
      <c r="K358" s="50"/>
      <c r="L358" s="50"/>
      <c r="M358" s="50"/>
      <c r="N358" s="50"/>
      <c r="O358" s="50"/>
      <c r="P358" s="50"/>
      <c r="Q358" s="50"/>
      <c r="R358" s="50"/>
      <c r="S358" s="50"/>
      <c r="T358" s="50"/>
      <c r="U358" s="50"/>
      <c r="V358" s="50"/>
      <c r="W358" s="50"/>
      <c r="X358" s="50"/>
      <c r="Y358" s="50"/>
      <c r="Z358" s="50"/>
      <c r="AA358" s="50"/>
      <c r="AB358" s="50"/>
    </row>
    <row r="359" customFormat="false" ht="15.75" hidden="false" customHeight="false" outlineLevel="0" collapsed="false">
      <c r="A359" s="50"/>
      <c r="B359" s="50"/>
      <c r="C359" s="5"/>
      <c r="D359" s="48"/>
      <c r="E359" s="50"/>
      <c r="F359" s="5"/>
      <c r="G359" s="5"/>
      <c r="H359" s="5"/>
      <c r="I359" s="5"/>
      <c r="J359" s="5"/>
      <c r="K359" s="50"/>
      <c r="L359" s="50"/>
      <c r="M359" s="50"/>
      <c r="N359" s="50"/>
      <c r="O359" s="50"/>
      <c r="P359" s="50"/>
      <c r="Q359" s="50"/>
      <c r="R359" s="50"/>
      <c r="S359" s="50"/>
      <c r="T359" s="50"/>
      <c r="U359" s="50"/>
      <c r="V359" s="50"/>
      <c r="W359" s="50"/>
      <c r="X359" s="50"/>
      <c r="Y359" s="50"/>
      <c r="Z359" s="50"/>
      <c r="AA359" s="50"/>
      <c r="AB359" s="50"/>
    </row>
    <row r="360" customFormat="false" ht="15.75" hidden="false" customHeight="false" outlineLevel="0" collapsed="false">
      <c r="A360" s="50"/>
      <c r="B360" s="50"/>
      <c r="C360" s="5"/>
      <c r="D360" s="48"/>
      <c r="E360" s="50"/>
      <c r="F360" s="5"/>
      <c r="G360" s="5"/>
      <c r="H360" s="5"/>
      <c r="I360" s="5"/>
      <c r="J360" s="5"/>
      <c r="K360" s="50"/>
      <c r="L360" s="50"/>
      <c r="M360" s="50"/>
      <c r="N360" s="50"/>
      <c r="O360" s="50"/>
      <c r="P360" s="50"/>
      <c r="Q360" s="50"/>
      <c r="R360" s="50"/>
      <c r="S360" s="50"/>
      <c r="T360" s="50"/>
      <c r="U360" s="50"/>
      <c r="V360" s="50"/>
      <c r="W360" s="50"/>
      <c r="X360" s="50"/>
      <c r="Y360" s="50"/>
      <c r="Z360" s="50"/>
      <c r="AA360" s="50"/>
      <c r="AB360" s="50"/>
    </row>
    <row r="361" customFormat="false" ht="15.75" hidden="false" customHeight="false" outlineLevel="0" collapsed="false">
      <c r="A361" s="50"/>
      <c r="B361" s="50"/>
      <c r="C361" s="5"/>
      <c r="D361" s="48"/>
      <c r="E361" s="50"/>
      <c r="F361" s="5"/>
      <c r="G361" s="5"/>
      <c r="H361" s="5"/>
      <c r="I361" s="5"/>
      <c r="J361" s="5"/>
      <c r="K361" s="50"/>
      <c r="L361" s="50"/>
      <c r="M361" s="50"/>
      <c r="N361" s="50"/>
      <c r="O361" s="50"/>
      <c r="P361" s="50"/>
      <c r="Q361" s="50"/>
      <c r="R361" s="50"/>
      <c r="S361" s="50"/>
      <c r="T361" s="50"/>
      <c r="U361" s="50"/>
      <c r="V361" s="50"/>
      <c r="W361" s="50"/>
      <c r="X361" s="50"/>
      <c r="Y361" s="50"/>
      <c r="Z361" s="50"/>
      <c r="AA361" s="50"/>
      <c r="AB361" s="50"/>
    </row>
    <row r="362" customFormat="false" ht="15.75" hidden="false" customHeight="false" outlineLevel="0" collapsed="false">
      <c r="A362" s="50"/>
      <c r="B362" s="50"/>
      <c r="C362" s="5"/>
      <c r="D362" s="48"/>
      <c r="E362" s="50"/>
      <c r="F362" s="5"/>
      <c r="G362" s="5"/>
      <c r="H362" s="5"/>
      <c r="I362" s="5"/>
      <c r="J362" s="5"/>
      <c r="K362" s="50"/>
      <c r="L362" s="50"/>
      <c r="M362" s="50"/>
      <c r="N362" s="50"/>
      <c r="O362" s="50"/>
      <c r="P362" s="50"/>
      <c r="Q362" s="50"/>
      <c r="R362" s="50"/>
      <c r="S362" s="50"/>
      <c r="T362" s="50"/>
      <c r="U362" s="50"/>
      <c r="V362" s="50"/>
      <c r="W362" s="50"/>
      <c r="X362" s="50"/>
      <c r="Y362" s="50"/>
      <c r="Z362" s="50"/>
      <c r="AA362" s="50"/>
      <c r="AB362" s="50"/>
    </row>
    <row r="363" customFormat="false" ht="15.75" hidden="false" customHeight="false" outlineLevel="0" collapsed="false">
      <c r="A363" s="50"/>
      <c r="B363" s="50"/>
      <c r="C363" s="5"/>
      <c r="D363" s="48"/>
      <c r="E363" s="50"/>
      <c r="F363" s="5"/>
      <c r="G363" s="5"/>
      <c r="H363" s="5"/>
      <c r="I363" s="5"/>
      <c r="J363" s="5"/>
      <c r="K363" s="50"/>
      <c r="L363" s="50"/>
      <c r="M363" s="50"/>
      <c r="N363" s="50"/>
      <c r="O363" s="50"/>
      <c r="P363" s="50"/>
      <c r="Q363" s="50"/>
      <c r="R363" s="50"/>
      <c r="S363" s="50"/>
      <c r="T363" s="50"/>
      <c r="U363" s="50"/>
      <c r="V363" s="50"/>
      <c r="W363" s="50"/>
      <c r="X363" s="50"/>
      <c r="Y363" s="50"/>
      <c r="Z363" s="50"/>
      <c r="AA363" s="50"/>
      <c r="AB363" s="50"/>
    </row>
    <row r="364" customFormat="false" ht="15.75" hidden="false" customHeight="false" outlineLevel="0" collapsed="false">
      <c r="A364" s="50"/>
      <c r="B364" s="50"/>
      <c r="C364" s="5"/>
      <c r="D364" s="48"/>
      <c r="E364" s="50"/>
      <c r="F364" s="5"/>
      <c r="G364" s="5"/>
      <c r="H364" s="5"/>
      <c r="I364" s="5"/>
      <c r="J364" s="5"/>
      <c r="K364" s="50"/>
      <c r="L364" s="50"/>
      <c r="M364" s="50"/>
      <c r="N364" s="50"/>
      <c r="O364" s="50"/>
      <c r="P364" s="50"/>
      <c r="Q364" s="50"/>
      <c r="R364" s="50"/>
      <c r="S364" s="50"/>
      <c r="T364" s="50"/>
      <c r="U364" s="50"/>
      <c r="V364" s="50"/>
      <c r="W364" s="50"/>
      <c r="X364" s="50"/>
      <c r="Y364" s="50"/>
      <c r="Z364" s="50"/>
      <c r="AA364" s="50"/>
      <c r="AB364" s="50"/>
    </row>
    <row r="365" customFormat="false" ht="15.75" hidden="false" customHeight="false" outlineLevel="0" collapsed="false">
      <c r="A365" s="50"/>
      <c r="B365" s="50"/>
      <c r="C365" s="5"/>
      <c r="D365" s="48"/>
      <c r="E365" s="50"/>
      <c r="F365" s="5"/>
      <c r="G365" s="5"/>
      <c r="H365" s="5"/>
      <c r="I365" s="5"/>
      <c r="J365" s="5"/>
      <c r="K365" s="50"/>
      <c r="L365" s="50"/>
      <c r="M365" s="50"/>
      <c r="N365" s="50"/>
      <c r="O365" s="50"/>
      <c r="P365" s="50"/>
      <c r="Q365" s="50"/>
      <c r="R365" s="50"/>
      <c r="S365" s="50"/>
      <c r="T365" s="50"/>
      <c r="U365" s="50"/>
      <c r="V365" s="50"/>
      <c r="W365" s="50"/>
      <c r="X365" s="50"/>
      <c r="Y365" s="50"/>
      <c r="Z365" s="50"/>
      <c r="AA365" s="50"/>
      <c r="AB365" s="50"/>
    </row>
    <row r="366" customFormat="false" ht="15.75" hidden="false" customHeight="false" outlineLevel="0" collapsed="false">
      <c r="A366" s="50"/>
      <c r="B366" s="50"/>
      <c r="C366" s="5"/>
      <c r="D366" s="48"/>
      <c r="E366" s="50"/>
      <c r="F366" s="5"/>
      <c r="G366" s="5"/>
      <c r="H366" s="5"/>
      <c r="I366" s="5"/>
      <c r="J366" s="5"/>
      <c r="K366" s="50"/>
      <c r="L366" s="50"/>
      <c r="M366" s="50"/>
      <c r="N366" s="50"/>
      <c r="O366" s="50"/>
      <c r="P366" s="50"/>
      <c r="Q366" s="50"/>
      <c r="R366" s="50"/>
      <c r="S366" s="50"/>
      <c r="T366" s="50"/>
      <c r="U366" s="50"/>
      <c r="V366" s="50"/>
      <c r="W366" s="50"/>
      <c r="X366" s="50"/>
      <c r="Y366" s="50"/>
      <c r="Z366" s="50"/>
      <c r="AA366" s="50"/>
      <c r="AB366" s="50"/>
    </row>
    <row r="367" customFormat="false" ht="15.75" hidden="false" customHeight="false" outlineLevel="0" collapsed="false">
      <c r="A367" s="50"/>
      <c r="B367" s="50"/>
      <c r="C367" s="5"/>
      <c r="D367" s="48"/>
      <c r="E367" s="50"/>
      <c r="F367" s="5"/>
      <c r="G367" s="5"/>
      <c r="H367" s="5"/>
      <c r="I367" s="5"/>
      <c r="J367" s="5"/>
      <c r="K367" s="50"/>
      <c r="L367" s="50"/>
      <c r="M367" s="50"/>
      <c r="N367" s="50"/>
      <c r="O367" s="50"/>
      <c r="P367" s="50"/>
      <c r="Q367" s="50"/>
      <c r="R367" s="50"/>
      <c r="S367" s="50"/>
      <c r="T367" s="50"/>
      <c r="U367" s="50"/>
      <c r="V367" s="50"/>
      <c r="W367" s="50"/>
      <c r="X367" s="50"/>
      <c r="Y367" s="50"/>
      <c r="Z367" s="50"/>
      <c r="AA367" s="50"/>
      <c r="AB367" s="50"/>
    </row>
    <row r="368" customFormat="false" ht="15.75" hidden="false" customHeight="false" outlineLevel="0" collapsed="false">
      <c r="A368" s="50"/>
      <c r="B368" s="50"/>
      <c r="C368" s="5"/>
      <c r="D368" s="48"/>
      <c r="E368" s="50"/>
      <c r="F368" s="5"/>
      <c r="G368" s="5"/>
      <c r="H368" s="5"/>
      <c r="I368" s="5"/>
      <c r="J368" s="5"/>
      <c r="K368" s="50"/>
      <c r="L368" s="50"/>
      <c r="M368" s="50"/>
      <c r="N368" s="50"/>
      <c r="O368" s="50"/>
      <c r="P368" s="50"/>
      <c r="Q368" s="50"/>
      <c r="R368" s="50"/>
      <c r="S368" s="50"/>
      <c r="T368" s="50"/>
      <c r="U368" s="50"/>
      <c r="V368" s="50"/>
      <c r="W368" s="50"/>
      <c r="X368" s="50"/>
      <c r="Y368" s="50"/>
      <c r="Z368" s="50"/>
      <c r="AA368" s="50"/>
      <c r="AB368" s="50"/>
    </row>
    <row r="369" customFormat="false" ht="15.75" hidden="false" customHeight="false" outlineLevel="0" collapsed="false">
      <c r="A369" s="50"/>
      <c r="B369" s="50"/>
      <c r="C369" s="5"/>
      <c r="D369" s="48"/>
      <c r="E369" s="50"/>
      <c r="F369" s="5"/>
      <c r="G369" s="5"/>
      <c r="H369" s="5"/>
      <c r="I369" s="5"/>
      <c r="J369" s="5"/>
      <c r="K369" s="50"/>
      <c r="L369" s="50"/>
      <c r="M369" s="50"/>
      <c r="N369" s="50"/>
      <c r="O369" s="50"/>
      <c r="P369" s="50"/>
      <c r="Q369" s="50"/>
      <c r="R369" s="50"/>
      <c r="S369" s="50"/>
      <c r="T369" s="50"/>
      <c r="U369" s="50"/>
      <c r="V369" s="50"/>
      <c r="W369" s="50"/>
      <c r="X369" s="50"/>
      <c r="Y369" s="50"/>
      <c r="Z369" s="50"/>
      <c r="AA369" s="50"/>
      <c r="AB369" s="50"/>
    </row>
    <row r="370" customFormat="false" ht="15.75" hidden="false" customHeight="false" outlineLevel="0" collapsed="false">
      <c r="A370" s="50"/>
      <c r="B370" s="50"/>
      <c r="C370" s="5"/>
      <c r="D370" s="48"/>
      <c r="E370" s="50"/>
      <c r="F370" s="5"/>
      <c r="G370" s="5"/>
      <c r="H370" s="5"/>
      <c r="I370" s="5"/>
      <c r="J370" s="5"/>
      <c r="K370" s="50"/>
      <c r="L370" s="50"/>
      <c r="M370" s="50"/>
      <c r="N370" s="50"/>
      <c r="O370" s="50"/>
      <c r="P370" s="50"/>
      <c r="Q370" s="50"/>
      <c r="R370" s="50"/>
      <c r="S370" s="50"/>
      <c r="T370" s="50"/>
      <c r="U370" s="50"/>
      <c r="V370" s="50"/>
      <c r="W370" s="50"/>
      <c r="X370" s="50"/>
      <c r="Y370" s="50"/>
      <c r="Z370" s="50"/>
      <c r="AA370" s="50"/>
      <c r="AB370" s="50"/>
    </row>
    <row r="371" customFormat="false" ht="15.75" hidden="false" customHeight="false" outlineLevel="0" collapsed="false">
      <c r="A371" s="50"/>
      <c r="B371" s="50"/>
      <c r="C371" s="5"/>
      <c r="D371" s="48"/>
      <c r="E371" s="50"/>
      <c r="F371" s="5"/>
      <c r="G371" s="5"/>
      <c r="H371" s="5"/>
      <c r="I371" s="5"/>
      <c r="J371" s="5"/>
      <c r="K371" s="50"/>
      <c r="L371" s="50"/>
      <c r="M371" s="50"/>
      <c r="N371" s="50"/>
      <c r="O371" s="50"/>
      <c r="P371" s="50"/>
      <c r="Q371" s="50"/>
      <c r="R371" s="50"/>
      <c r="S371" s="50"/>
      <c r="T371" s="50"/>
      <c r="U371" s="50"/>
      <c r="V371" s="50"/>
      <c r="W371" s="50"/>
      <c r="X371" s="50"/>
      <c r="Y371" s="50"/>
      <c r="Z371" s="50"/>
      <c r="AA371" s="50"/>
      <c r="AB371" s="50"/>
    </row>
    <row r="372" customFormat="false" ht="15.75" hidden="false" customHeight="false" outlineLevel="0" collapsed="false">
      <c r="A372" s="50"/>
      <c r="B372" s="50"/>
      <c r="C372" s="5"/>
      <c r="D372" s="48"/>
      <c r="E372" s="50"/>
      <c r="F372" s="5"/>
      <c r="G372" s="5"/>
      <c r="H372" s="5"/>
      <c r="I372" s="5"/>
      <c r="J372" s="5"/>
      <c r="K372" s="50"/>
      <c r="L372" s="50"/>
      <c r="M372" s="50"/>
      <c r="N372" s="50"/>
      <c r="O372" s="50"/>
      <c r="P372" s="50"/>
      <c r="Q372" s="50"/>
      <c r="R372" s="50"/>
      <c r="S372" s="50"/>
      <c r="T372" s="50"/>
      <c r="U372" s="50"/>
      <c r="V372" s="50"/>
      <c r="W372" s="50"/>
      <c r="X372" s="50"/>
      <c r="Y372" s="50"/>
      <c r="Z372" s="50"/>
      <c r="AA372" s="50"/>
      <c r="AB372" s="50"/>
    </row>
    <row r="373" customFormat="false" ht="15.75" hidden="false" customHeight="false" outlineLevel="0" collapsed="false">
      <c r="A373" s="50"/>
      <c r="B373" s="50"/>
      <c r="C373" s="5"/>
      <c r="D373" s="48"/>
      <c r="E373" s="50"/>
      <c r="F373" s="5"/>
      <c r="G373" s="5"/>
      <c r="H373" s="5"/>
      <c r="I373" s="5"/>
      <c r="J373" s="5"/>
      <c r="K373" s="50"/>
      <c r="L373" s="50"/>
      <c r="M373" s="50"/>
      <c r="N373" s="50"/>
      <c r="O373" s="50"/>
      <c r="P373" s="50"/>
      <c r="Q373" s="50"/>
      <c r="R373" s="50"/>
      <c r="S373" s="50"/>
      <c r="T373" s="50"/>
      <c r="U373" s="50"/>
      <c r="V373" s="50"/>
      <c r="W373" s="50"/>
      <c r="X373" s="50"/>
      <c r="Y373" s="50"/>
      <c r="Z373" s="50"/>
      <c r="AA373" s="50"/>
      <c r="AB373" s="50"/>
    </row>
    <row r="374" customFormat="false" ht="15.75" hidden="false" customHeight="false" outlineLevel="0" collapsed="false">
      <c r="A374" s="50"/>
      <c r="B374" s="50"/>
      <c r="C374" s="5"/>
      <c r="D374" s="48"/>
      <c r="E374" s="50"/>
      <c r="F374" s="5"/>
      <c r="G374" s="5"/>
      <c r="H374" s="5"/>
      <c r="I374" s="5"/>
      <c r="J374" s="5"/>
      <c r="K374" s="50"/>
      <c r="L374" s="50"/>
      <c r="M374" s="50"/>
      <c r="N374" s="50"/>
      <c r="O374" s="50"/>
      <c r="P374" s="50"/>
      <c r="Q374" s="50"/>
      <c r="R374" s="50"/>
      <c r="S374" s="50"/>
      <c r="T374" s="50"/>
      <c r="U374" s="50"/>
      <c r="V374" s="50"/>
      <c r="W374" s="50"/>
      <c r="X374" s="50"/>
      <c r="Y374" s="50"/>
      <c r="Z374" s="50"/>
      <c r="AA374" s="50"/>
      <c r="AB374" s="50"/>
    </row>
    <row r="375" customFormat="false" ht="15.75" hidden="false" customHeight="false" outlineLevel="0" collapsed="false">
      <c r="A375" s="50"/>
      <c r="B375" s="50"/>
      <c r="C375" s="5"/>
      <c r="D375" s="48"/>
      <c r="E375" s="50"/>
      <c r="F375" s="5"/>
      <c r="G375" s="5"/>
      <c r="H375" s="5"/>
      <c r="I375" s="5"/>
      <c r="J375" s="5"/>
      <c r="K375" s="50"/>
      <c r="L375" s="50"/>
      <c r="M375" s="50"/>
      <c r="N375" s="50"/>
      <c r="O375" s="50"/>
      <c r="P375" s="50"/>
      <c r="Q375" s="50"/>
      <c r="R375" s="50"/>
      <c r="S375" s="50"/>
      <c r="T375" s="50"/>
      <c r="U375" s="50"/>
      <c r="V375" s="50"/>
      <c r="W375" s="50"/>
      <c r="X375" s="50"/>
      <c r="Y375" s="50"/>
      <c r="Z375" s="50"/>
      <c r="AA375" s="50"/>
      <c r="AB375" s="50"/>
    </row>
    <row r="376" customFormat="false" ht="15.75" hidden="false" customHeight="false" outlineLevel="0" collapsed="false">
      <c r="A376" s="50"/>
      <c r="B376" s="50"/>
      <c r="C376" s="5"/>
      <c r="D376" s="48"/>
      <c r="E376" s="50"/>
      <c r="F376" s="5"/>
      <c r="G376" s="5"/>
      <c r="H376" s="5"/>
      <c r="I376" s="5"/>
      <c r="J376" s="5"/>
      <c r="K376" s="50"/>
      <c r="L376" s="50"/>
      <c r="M376" s="50"/>
      <c r="N376" s="50"/>
      <c r="O376" s="50"/>
      <c r="P376" s="50"/>
      <c r="Q376" s="50"/>
      <c r="R376" s="50"/>
      <c r="S376" s="50"/>
      <c r="T376" s="50"/>
      <c r="U376" s="50"/>
      <c r="V376" s="50"/>
      <c r="W376" s="50"/>
      <c r="X376" s="50"/>
      <c r="Y376" s="50"/>
      <c r="Z376" s="50"/>
      <c r="AA376" s="50"/>
      <c r="AB376" s="50"/>
    </row>
    <row r="377" customFormat="false" ht="15.75" hidden="false" customHeight="false" outlineLevel="0" collapsed="false">
      <c r="A377" s="50"/>
      <c r="B377" s="50"/>
      <c r="C377" s="5"/>
      <c r="D377" s="48"/>
      <c r="E377" s="50"/>
      <c r="F377" s="5"/>
      <c r="G377" s="5"/>
      <c r="H377" s="5"/>
      <c r="I377" s="5"/>
      <c r="J377" s="5"/>
      <c r="K377" s="50"/>
      <c r="L377" s="50"/>
      <c r="M377" s="50"/>
      <c r="N377" s="50"/>
      <c r="O377" s="50"/>
      <c r="P377" s="50"/>
      <c r="Q377" s="50"/>
      <c r="R377" s="50"/>
      <c r="S377" s="50"/>
      <c r="T377" s="50"/>
      <c r="U377" s="50"/>
      <c r="V377" s="50"/>
      <c r="W377" s="50"/>
      <c r="X377" s="50"/>
      <c r="Y377" s="50"/>
      <c r="Z377" s="50"/>
      <c r="AA377" s="50"/>
      <c r="AB377" s="50"/>
    </row>
    <row r="378" customFormat="false" ht="15.75" hidden="false" customHeight="false" outlineLevel="0" collapsed="false">
      <c r="A378" s="50"/>
      <c r="B378" s="50"/>
      <c r="C378" s="5"/>
      <c r="D378" s="48"/>
      <c r="E378" s="50"/>
      <c r="F378" s="5"/>
      <c r="G378" s="5"/>
      <c r="H378" s="5"/>
      <c r="I378" s="5"/>
      <c r="J378" s="5"/>
      <c r="K378" s="50"/>
      <c r="L378" s="50"/>
      <c r="M378" s="50"/>
      <c r="N378" s="50"/>
      <c r="O378" s="50"/>
      <c r="P378" s="50"/>
      <c r="Q378" s="50"/>
      <c r="R378" s="50"/>
      <c r="S378" s="50"/>
      <c r="T378" s="50"/>
      <c r="U378" s="50"/>
      <c r="V378" s="50"/>
      <c r="W378" s="50"/>
      <c r="X378" s="50"/>
      <c r="Y378" s="50"/>
      <c r="Z378" s="50"/>
      <c r="AA378" s="50"/>
      <c r="AB378" s="50"/>
    </row>
    <row r="379" customFormat="false" ht="15.75" hidden="false" customHeight="false" outlineLevel="0" collapsed="false">
      <c r="A379" s="50"/>
      <c r="B379" s="50"/>
      <c r="C379" s="5"/>
      <c r="D379" s="48"/>
      <c r="E379" s="50"/>
      <c r="F379" s="5"/>
      <c r="G379" s="5"/>
      <c r="H379" s="5"/>
      <c r="I379" s="5"/>
      <c r="J379" s="5"/>
      <c r="K379" s="50"/>
      <c r="L379" s="50"/>
      <c r="M379" s="50"/>
      <c r="N379" s="50"/>
      <c r="O379" s="50"/>
      <c r="P379" s="50"/>
      <c r="Q379" s="50"/>
      <c r="R379" s="50"/>
      <c r="S379" s="50"/>
      <c r="T379" s="50"/>
      <c r="U379" s="50"/>
      <c r="V379" s="50"/>
      <c r="W379" s="50"/>
      <c r="X379" s="50"/>
      <c r="Y379" s="50"/>
      <c r="Z379" s="50"/>
      <c r="AA379" s="50"/>
      <c r="AB379" s="50"/>
    </row>
    <row r="380" customFormat="false" ht="15.75" hidden="false" customHeight="false" outlineLevel="0" collapsed="false">
      <c r="A380" s="50"/>
      <c r="B380" s="50"/>
      <c r="C380" s="5"/>
      <c r="D380" s="48"/>
      <c r="E380" s="50"/>
      <c r="F380" s="5"/>
      <c r="G380" s="5"/>
      <c r="H380" s="5"/>
      <c r="I380" s="5"/>
      <c r="J380" s="5"/>
      <c r="K380" s="50"/>
      <c r="L380" s="50"/>
      <c r="M380" s="50"/>
      <c r="N380" s="50"/>
      <c r="O380" s="50"/>
      <c r="P380" s="50"/>
      <c r="Q380" s="50"/>
      <c r="R380" s="50"/>
      <c r="S380" s="50"/>
      <c r="T380" s="50"/>
      <c r="U380" s="50"/>
      <c r="V380" s="50"/>
      <c r="W380" s="50"/>
      <c r="X380" s="50"/>
      <c r="Y380" s="50"/>
      <c r="Z380" s="50"/>
      <c r="AA380" s="50"/>
      <c r="AB380" s="50"/>
    </row>
    <row r="381" customFormat="false" ht="15.75" hidden="false" customHeight="false" outlineLevel="0" collapsed="false">
      <c r="A381" s="50"/>
      <c r="B381" s="50"/>
      <c r="C381" s="5"/>
      <c r="D381" s="48"/>
      <c r="E381" s="50"/>
      <c r="F381" s="5"/>
      <c r="G381" s="5"/>
      <c r="H381" s="5"/>
      <c r="I381" s="5"/>
      <c r="J381" s="5"/>
      <c r="K381" s="50"/>
      <c r="L381" s="50"/>
      <c r="M381" s="50"/>
      <c r="N381" s="50"/>
      <c r="O381" s="50"/>
      <c r="P381" s="50"/>
      <c r="Q381" s="50"/>
      <c r="R381" s="50"/>
      <c r="S381" s="50"/>
      <c r="T381" s="50"/>
      <c r="U381" s="50"/>
      <c r="V381" s="50"/>
      <c r="W381" s="50"/>
      <c r="X381" s="50"/>
      <c r="Y381" s="50"/>
      <c r="Z381" s="50"/>
      <c r="AA381" s="50"/>
      <c r="AB381" s="50"/>
    </row>
    <row r="382" customFormat="false" ht="15.75" hidden="false" customHeight="false" outlineLevel="0" collapsed="false">
      <c r="A382" s="50"/>
      <c r="B382" s="50"/>
      <c r="C382" s="5"/>
      <c r="D382" s="48"/>
      <c r="E382" s="50"/>
      <c r="F382" s="5"/>
      <c r="G382" s="5"/>
      <c r="H382" s="5"/>
      <c r="I382" s="5"/>
      <c r="J382" s="5"/>
      <c r="K382" s="50"/>
      <c r="L382" s="50"/>
      <c r="M382" s="50"/>
      <c r="N382" s="50"/>
      <c r="O382" s="50"/>
      <c r="P382" s="50"/>
      <c r="Q382" s="50"/>
      <c r="R382" s="50"/>
      <c r="S382" s="50"/>
      <c r="T382" s="50"/>
      <c r="U382" s="50"/>
      <c r="V382" s="50"/>
      <c r="W382" s="50"/>
      <c r="X382" s="50"/>
      <c r="Y382" s="50"/>
      <c r="Z382" s="50"/>
      <c r="AA382" s="50"/>
      <c r="AB382" s="50"/>
    </row>
    <row r="383" customFormat="false" ht="15.75" hidden="false" customHeight="false" outlineLevel="0" collapsed="false">
      <c r="A383" s="50"/>
      <c r="B383" s="50"/>
      <c r="C383" s="5"/>
      <c r="D383" s="48"/>
      <c r="E383" s="50"/>
      <c r="F383" s="5"/>
      <c r="G383" s="5"/>
      <c r="H383" s="5"/>
      <c r="I383" s="5"/>
      <c r="J383" s="5"/>
      <c r="K383" s="50"/>
      <c r="L383" s="50"/>
      <c r="M383" s="50"/>
      <c r="N383" s="50"/>
      <c r="O383" s="50"/>
      <c r="P383" s="50"/>
      <c r="Q383" s="50"/>
      <c r="R383" s="50"/>
      <c r="S383" s="50"/>
      <c r="T383" s="50"/>
      <c r="U383" s="50"/>
      <c r="V383" s="50"/>
      <c r="W383" s="50"/>
      <c r="X383" s="50"/>
      <c r="Y383" s="50"/>
      <c r="Z383" s="50"/>
      <c r="AA383" s="50"/>
      <c r="AB383" s="50"/>
    </row>
    <row r="384" customFormat="false" ht="15.75" hidden="false" customHeight="false" outlineLevel="0" collapsed="false">
      <c r="A384" s="50"/>
      <c r="B384" s="50"/>
      <c r="C384" s="5"/>
      <c r="D384" s="48"/>
      <c r="E384" s="50"/>
      <c r="F384" s="5"/>
      <c r="G384" s="5"/>
      <c r="H384" s="5"/>
      <c r="I384" s="5"/>
      <c r="J384" s="5"/>
      <c r="K384" s="50"/>
      <c r="L384" s="50"/>
      <c r="M384" s="50"/>
      <c r="N384" s="50"/>
      <c r="O384" s="50"/>
      <c r="P384" s="50"/>
      <c r="Q384" s="50"/>
      <c r="R384" s="50"/>
      <c r="S384" s="50"/>
      <c r="T384" s="50"/>
      <c r="U384" s="50"/>
      <c r="V384" s="50"/>
      <c r="W384" s="50"/>
      <c r="X384" s="50"/>
      <c r="Y384" s="50"/>
      <c r="Z384" s="50"/>
      <c r="AA384" s="50"/>
      <c r="AB384" s="50"/>
    </row>
    <row r="385" customFormat="false" ht="15.75" hidden="false" customHeight="false" outlineLevel="0" collapsed="false">
      <c r="A385" s="50"/>
      <c r="B385" s="50"/>
      <c r="C385" s="5"/>
      <c r="D385" s="48"/>
      <c r="E385" s="50"/>
      <c r="F385" s="5"/>
      <c r="G385" s="5"/>
      <c r="H385" s="5"/>
      <c r="I385" s="5"/>
      <c r="J385" s="5"/>
      <c r="K385" s="50"/>
      <c r="L385" s="50"/>
      <c r="M385" s="50"/>
      <c r="N385" s="50"/>
      <c r="O385" s="50"/>
      <c r="P385" s="50"/>
      <c r="Q385" s="50"/>
      <c r="R385" s="50"/>
      <c r="S385" s="50"/>
      <c r="T385" s="50"/>
      <c r="U385" s="50"/>
      <c r="V385" s="50"/>
      <c r="W385" s="50"/>
      <c r="X385" s="50"/>
      <c r="Y385" s="50"/>
      <c r="Z385" s="50"/>
      <c r="AA385" s="50"/>
      <c r="AB385" s="50"/>
    </row>
    <row r="386" customFormat="false" ht="15.75" hidden="false" customHeight="false" outlineLevel="0" collapsed="false">
      <c r="A386" s="50"/>
      <c r="B386" s="50"/>
      <c r="C386" s="5"/>
      <c r="D386" s="48"/>
      <c r="E386" s="50"/>
      <c r="F386" s="5"/>
      <c r="G386" s="5"/>
      <c r="H386" s="5"/>
      <c r="I386" s="5"/>
      <c r="J386" s="5"/>
      <c r="K386" s="50"/>
      <c r="L386" s="50"/>
      <c r="M386" s="50"/>
      <c r="N386" s="50"/>
      <c r="O386" s="50"/>
      <c r="P386" s="50"/>
      <c r="Q386" s="50"/>
      <c r="R386" s="50"/>
      <c r="S386" s="50"/>
      <c r="T386" s="50"/>
      <c r="U386" s="50"/>
      <c r="V386" s="50"/>
      <c r="W386" s="50"/>
      <c r="X386" s="50"/>
      <c r="Y386" s="50"/>
      <c r="Z386" s="50"/>
      <c r="AA386" s="50"/>
      <c r="AB386" s="50"/>
    </row>
    <row r="387" customFormat="false" ht="15.75" hidden="false" customHeight="false" outlineLevel="0" collapsed="false">
      <c r="A387" s="50"/>
      <c r="B387" s="50"/>
      <c r="C387" s="5"/>
      <c r="D387" s="48"/>
      <c r="E387" s="50"/>
      <c r="F387" s="5"/>
      <c r="G387" s="5"/>
      <c r="H387" s="5"/>
      <c r="I387" s="5"/>
      <c r="J387" s="5"/>
      <c r="K387" s="50"/>
      <c r="L387" s="50"/>
      <c r="M387" s="50"/>
      <c r="N387" s="50"/>
      <c r="O387" s="50"/>
      <c r="P387" s="50"/>
      <c r="Q387" s="50"/>
      <c r="R387" s="50"/>
      <c r="S387" s="50"/>
      <c r="T387" s="50"/>
      <c r="U387" s="50"/>
      <c r="V387" s="50"/>
      <c r="W387" s="50"/>
      <c r="X387" s="50"/>
      <c r="Y387" s="50"/>
      <c r="Z387" s="50"/>
      <c r="AA387" s="50"/>
      <c r="AB387" s="50"/>
    </row>
    <row r="388" customFormat="false" ht="15.75" hidden="false" customHeight="false" outlineLevel="0" collapsed="false">
      <c r="A388" s="50"/>
      <c r="B388" s="50"/>
      <c r="C388" s="5"/>
      <c r="D388" s="48"/>
      <c r="E388" s="50"/>
      <c r="F388" s="5"/>
      <c r="G388" s="5"/>
      <c r="H388" s="5"/>
      <c r="I388" s="5"/>
      <c r="J388" s="5"/>
      <c r="K388" s="50"/>
      <c r="L388" s="50"/>
      <c r="M388" s="50"/>
      <c r="N388" s="50"/>
      <c r="O388" s="50"/>
      <c r="P388" s="50"/>
      <c r="Q388" s="50"/>
      <c r="R388" s="50"/>
      <c r="S388" s="50"/>
      <c r="T388" s="50"/>
      <c r="U388" s="50"/>
      <c r="V388" s="50"/>
      <c r="W388" s="50"/>
      <c r="X388" s="50"/>
      <c r="Y388" s="50"/>
      <c r="Z388" s="50"/>
      <c r="AA388" s="50"/>
      <c r="AB388" s="50"/>
    </row>
    <row r="389" customFormat="false" ht="15.75" hidden="false" customHeight="false" outlineLevel="0" collapsed="false">
      <c r="A389" s="50"/>
      <c r="B389" s="50"/>
      <c r="C389" s="5"/>
      <c r="D389" s="48"/>
      <c r="E389" s="50"/>
      <c r="F389" s="5"/>
      <c r="G389" s="5"/>
      <c r="H389" s="5"/>
      <c r="I389" s="5"/>
      <c r="J389" s="5"/>
      <c r="K389" s="50"/>
      <c r="L389" s="50"/>
      <c r="M389" s="50"/>
      <c r="N389" s="50"/>
      <c r="O389" s="50"/>
      <c r="P389" s="50"/>
      <c r="Q389" s="50"/>
      <c r="R389" s="50"/>
      <c r="S389" s="50"/>
      <c r="T389" s="50"/>
      <c r="U389" s="50"/>
      <c r="V389" s="50"/>
      <c r="W389" s="50"/>
      <c r="X389" s="50"/>
      <c r="Y389" s="50"/>
      <c r="Z389" s="50"/>
      <c r="AA389" s="50"/>
      <c r="AB389" s="50"/>
    </row>
    <row r="390" customFormat="false" ht="15.75" hidden="false" customHeight="false" outlineLevel="0" collapsed="false">
      <c r="A390" s="50"/>
      <c r="B390" s="50"/>
      <c r="C390" s="5"/>
      <c r="D390" s="48"/>
      <c r="E390" s="50"/>
      <c r="F390" s="5"/>
      <c r="G390" s="5"/>
      <c r="H390" s="5"/>
      <c r="I390" s="5"/>
      <c r="J390" s="5"/>
      <c r="K390" s="50"/>
      <c r="L390" s="50"/>
      <c r="M390" s="50"/>
      <c r="N390" s="50"/>
      <c r="O390" s="50"/>
      <c r="P390" s="50"/>
      <c r="Q390" s="50"/>
      <c r="R390" s="50"/>
      <c r="S390" s="50"/>
      <c r="T390" s="50"/>
      <c r="U390" s="50"/>
      <c r="V390" s="50"/>
      <c r="W390" s="50"/>
      <c r="X390" s="50"/>
      <c r="Y390" s="50"/>
      <c r="Z390" s="50"/>
      <c r="AA390" s="50"/>
      <c r="AB390" s="50"/>
    </row>
    <row r="391" customFormat="false" ht="15.75" hidden="false" customHeight="false" outlineLevel="0" collapsed="false">
      <c r="A391" s="50"/>
      <c r="B391" s="50"/>
      <c r="C391" s="5"/>
      <c r="D391" s="48"/>
      <c r="E391" s="50"/>
      <c r="F391" s="5"/>
      <c r="G391" s="5"/>
      <c r="H391" s="5"/>
      <c r="I391" s="5"/>
      <c r="J391" s="5"/>
      <c r="K391" s="50"/>
      <c r="L391" s="50"/>
      <c r="M391" s="50"/>
      <c r="N391" s="50"/>
      <c r="O391" s="50"/>
      <c r="P391" s="50"/>
      <c r="Q391" s="50"/>
      <c r="R391" s="50"/>
      <c r="S391" s="50"/>
      <c r="T391" s="50"/>
      <c r="U391" s="50"/>
      <c r="V391" s="50"/>
      <c r="W391" s="50"/>
      <c r="X391" s="50"/>
      <c r="Y391" s="50"/>
      <c r="Z391" s="50"/>
      <c r="AA391" s="50"/>
      <c r="AB391" s="50"/>
    </row>
    <row r="392" customFormat="false" ht="15.75" hidden="false" customHeight="false" outlineLevel="0" collapsed="false">
      <c r="A392" s="50"/>
      <c r="B392" s="50"/>
      <c r="C392" s="5"/>
      <c r="D392" s="48"/>
      <c r="E392" s="50"/>
      <c r="F392" s="5"/>
      <c r="G392" s="5"/>
      <c r="H392" s="5"/>
      <c r="I392" s="5"/>
      <c r="J392" s="5"/>
      <c r="K392" s="50"/>
      <c r="L392" s="50"/>
      <c r="M392" s="50"/>
      <c r="N392" s="50"/>
      <c r="O392" s="50"/>
      <c r="P392" s="50"/>
      <c r="Q392" s="50"/>
      <c r="R392" s="50"/>
      <c r="S392" s="50"/>
      <c r="T392" s="50"/>
      <c r="U392" s="50"/>
      <c r="V392" s="50"/>
      <c r="W392" s="50"/>
      <c r="X392" s="50"/>
      <c r="Y392" s="50"/>
      <c r="Z392" s="50"/>
      <c r="AA392" s="50"/>
      <c r="AB392" s="50"/>
    </row>
    <row r="393" customFormat="false" ht="15.75" hidden="false" customHeight="false" outlineLevel="0" collapsed="false">
      <c r="A393" s="50"/>
      <c r="B393" s="50"/>
      <c r="C393" s="5"/>
      <c r="D393" s="48"/>
      <c r="E393" s="50"/>
      <c r="F393" s="5"/>
      <c r="G393" s="5"/>
      <c r="H393" s="5"/>
      <c r="I393" s="5"/>
      <c r="J393" s="5"/>
      <c r="K393" s="50"/>
      <c r="L393" s="50"/>
      <c r="M393" s="50"/>
      <c r="N393" s="50"/>
      <c r="O393" s="50"/>
      <c r="P393" s="50"/>
      <c r="Q393" s="50"/>
      <c r="R393" s="50"/>
      <c r="S393" s="50"/>
      <c r="T393" s="50"/>
      <c r="U393" s="50"/>
      <c r="V393" s="50"/>
      <c r="W393" s="50"/>
      <c r="X393" s="50"/>
      <c r="Y393" s="50"/>
      <c r="Z393" s="50"/>
      <c r="AA393" s="50"/>
      <c r="AB393" s="50"/>
    </row>
    <row r="394" customFormat="false" ht="15.75" hidden="false" customHeight="false" outlineLevel="0" collapsed="false">
      <c r="A394" s="50"/>
      <c r="B394" s="50"/>
      <c r="C394" s="5"/>
      <c r="D394" s="48"/>
      <c r="E394" s="50"/>
      <c r="F394" s="5"/>
      <c r="G394" s="5"/>
      <c r="H394" s="5"/>
      <c r="I394" s="5"/>
      <c r="J394" s="5"/>
      <c r="K394" s="50"/>
      <c r="L394" s="50"/>
      <c r="M394" s="50"/>
      <c r="N394" s="50"/>
      <c r="O394" s="50"/>
      <c r="P394" s="50"/>
      <c r="Q394" s="50"/>
      <c r="R394" s="50"/>
      <c r="S394" s="50"/>
      <c r="T394" s="50"/>
      <c r="U394" s="50"/>
      <c r="V394" s="50"/>
      <c r="W394" s="50"/>
      <c r="X394" s="50"/>
      <c r="Y394" s="50"/>
      <c r="Z394" s="50"/>
      <c r="AA394" s="50"/>
      <c r="AB394" s="50"/>
    </row>
    <row r="395" customFormat="false" ht="15.75" hidden="false" customHeight="false" outlineLevel="0" collapsed="false">
      <c r="A395" s="50"/>
      <c r="B395" s="50"/>
      <c r="C395" s="5"/>
      <c r="D395" s="48"/>
      <c r="E395" s="50"/>
      <c r="F395" s="5"/>
      <c r="G395" s="5"/>
      <c r="H395" s="5"/>
      <c r="I395" s="5"/>
      <c r="J395" s="5"/>
      <c r="K395" s="50"/>
      <c r="L395" s="50"/>
      <c r="M395" s="50"/>
      <c r="N395" s="50"/>
      <c r="O395" s="50"/>
      <c r="P395" s="50"/>
      <c r="Q395" s="50"/>
      <c r="R395" s="50"/>
      <c r="S395" s="50"/>
      <c r="T395" s="50"/>
      <c r="U395" s="50"/>
      <c r="V395" s="50"/>
      <c r="W395" s="50"/>
      <c r="X395" s="50"/>
      <c r="Y395" s="50"/>
      <c r="Z395" s="50"/>
      <c r="AA395" s="50"/>
      <c r="AB395" s="50"/>
    </row>
    <row r="396" customFormat="false" ht="15.75" hidden="false" customHeight="false" outlineLevel="0" collapsed="false">
      <c r="A396" s="50"/>
      <c r="B396" s="50"/>
      <c r="C396" s="5"/>
      <c r="D396" s="48"/>
      <c r="E396" s="50"/>
      <c r="F396" s="5"/>
      <c r="G396" s="5"/>
      <c r="H396" s="5"/>
      <c r="I396" s="5"/>
      <c r="J396" s="5"/>
      <c r="K396" s="50"/>
      <c r="L396" s="50"/>
      <c r="M396" s="50"/>
      <c r="N396" s="50"/>
      <c r="O396" s="50"/>
      <c r="P396" s="50"/>
      <c r="Q396" s="50"/>
      <c r="R396" s="50"/>
      <c r="S396" s="50"/>
      <c r="T396" s="50"/>
      <c r="U396" s="50"/>
      <c r="V396" s="50"/>
      <c r="W396" s="50"/>
      <c r="X396" s="50"/>
      <c r="Y396" s="50"/>
      <c r="Z396" s="50"/>
      <c r="AA396" s="50"/>
      <c r="AB396" s="50"/>
    </row>
    <row r="397" customFormat="false" ht="15.75" hidden="false" customHeight="false" outlineLevel="0" collapsed="false">
      <c r="A397" s="50"/>
      <c r="B397" s="50"/>
      <c r="C397" s="5"/>
      <c r="D397" s="48"/>
      <c r="E397" s="50"/>
      <c r="F397" s="5"/>
      <c r="G397" s="5"/>
      <c r="H397" s="5"/>
      <c r="I397" s="5"/>
      <c r="J397" s="5"/>
      <c r="K397" s="50"/>
      <c r="L397" s="50"/>
      <c r="M397" s="50"/>
      <c r="N397" s="50"/>
      <c r="O397" s="50"/>
      <c r="P397" s="50"/>
      <c r="Q397" s="50"/>
      <c r="R397" s="50"/>
      <c r="S397" s="50"/>
      <c r="T397" s="50"/>
      <c r="U397" s="50"/>
      <c r="V397" s="50"/>
      <c r="W397" s="50"/>
      <c r="X397" s="50"/>
      <c r="Y397" s="50"/>
      <c r="Z397" s="50"/>
      <c r="AA397" s="50"/>
      <c r="AB397" s="50"/>
    </row>
    <row r="398" customFormat="false" ht="15.75" hidden="false" customHeight="false" outlineLevel="0" collapsed="false">
      <c r="A398" s="50"/>
      <c r="B398" s="50"/>
      <c r="C398" s="5"/>
      <c r="D398" s="48"/>
      <c r="E398" s="50"/>
      <c r="F398" s="5"/>
      <c r="G398" s="5"/>
      <c r="H398" s="5"/>
      <c r="I398" s="5"/>
      <c r="J398" s="5"/>
      <c r="K398" s="50"/>
      <c r="L398" s="50"/>
      <c r="M398" s="50"/>
      <c r="N398" s="50"/>
      <c r="O398" s="50"/>
      <c r="P398" s="50"/>
      <c r="Q398" s="50"/>
      <c r="R398" s="50"/>
      <c r="S398" s="50"/>
      <c r="T398" s="50"/>
      <c r="U398" s="50"/>
      <c r="V398" s="50"/>
      <c r="W398" s="50"/>
      <c r="X398" s="50"/>
      <c r="Y398" s="50"/>
      <c r="Z398" s="50"/>
      <c r="AA398" s="50"/>
      <c r="AB398" s="50"/>
    </row>
    <row r="399" customFormat="false" ht="15.75" hidden="false" customHeight="false" outlineLevel="0" collapsed="false">
      <c r="A399" s="50"/>
      <c r="B399" s="50"/>
      <c r="C399" s="5"/>
      <c r="D399" s="48"/>
      <c r="E399" s="50"/>
      <c r="F399" s="5"/>
      <c r="G399" s="5"/>
      <c r="H399" s="5"/>
      <c r="I399" s="5"/>
      <c r="J399" s="5"/>
      <c r="K399" s="50"/>
      <c r="L399" s="50"/>
      <c r="M399" s="50"/>
      <c r="N399" s="50"/>
      <c r="O399" s="50"/>
      <c r="P399" s="50"/>
      <c r="Q399" s="50"/>
      <c r="R399" s="50"/>
      <c r="S399" s="50"/>
      <c r="T399" s="50"/>
      <c r="U399" s="50"/>
      <c r="V399" s="50"/>
      <c r="W399" s="50"/>
      <c r="X399" s="50"/>
      <c r="Y399" s="50"/>
      <c r="Z399" s="50"/>
      <c r="AA399" s="50"/>
      <c r="AB399" s="50"/>
    </row>
    <row r="400" customFormat="false" ht="15.75" hidden="false" customHeight="false" outlineLevel="0" collapsed="false">
      <c r="A400" s="50"/>
      <c r="B400" s="50"/>
      <c r="C400" s="5"/>
      <c r="D400" s="48"/>
      <c r="E400" s="50"/>
      <c r="F400" s="5"/>
      <c r="G400" s="5"/>
      <c r="H400" s="5"/>
      <c r="I400" s="5"/>
      <c r="J400" s="5"/>
      <c r="K400" s="50"/>
      <c r="L400" s="50"/>
      <c r="M400" s="50"/>
      <c r="N400" s="50"/>
      <c r="O400" s="50"/>
      <c r="P400" s="50"/>
      <c r="Q400" s="50"/>
      <c r="R400" s="50"/>
      <c r="S400" s="50"/>
      <c r="T400" s="50"/>
      <c r="U400" s="50"/>
      <c r="V400" s="50"/>
      <c r="W400" s="50"/>
      <c r="X400" s="50"/>
      <c r="Y400" s="50"/>
      <c r="Z400" s="50"/>
      <c r="AA400" s="50"/>
      <c r="AB400" s="50"/>
    </row>
    <row r="401" customFormat="false" ht="15.75" hidden="false" customHeight="false" outlineLevel="0" collapsed="false">
      <c r="A401" s="50"/>
      <c r="B401" s="50"/>
      <c r="C401" s="5"/>
      <c r="D401" s="48"/>
      <c r="E401" s="50"/>
      <c r="F401" s="5"/>
      <c r="G401" s="5"/>
      <c r="H401" s="5"/>
      <c r="I401" s="5"/>
      <c r="J401" s="5"/>
      <c r="K401" s="50"/>
      <c r="L401" s="50"/>
      <c r="M401" s="50"/>
      <c r="N401" s="50"/>
      <c r="O401" s="50"/>
      <c r="P401" s="50"/>
      <c r="Q401" s="50"/>
      <c r="R401" s="50"/>
      <c r="S401" s="50"/>
      <c r="T401" s="50"/>
      <c r="U401" s="50"/>
      <c r="V401" s="50"/>
      <c r="W401" s="50"/>
      <c r="X401" s="50"/>
      <c r="Y401" s="50"/>
      <c r="Z401" s="50"/>
      <c r="AA401" s="50"/>
      <c r="AB401" s="50"/>
    </row>
    <row r="402" customFormat="false" ht="15.75" hidden="false" customHeight="false" outlineLevel="0" collapsed="false">
      <c r="A402" s="50"/>
      <c r="B402" s="50"/>
      <c r="C402" s="5"/>
      <c r="D402" s="48"/>
      <c r="E402" s="50"/>
      <c r="F402" s="5"/>
      <c r="G402" s="5"/>
      <c r="H402" s="5"/>
      <c r="I402" s="5"/>
      <c r="J402" s="5"/>
      <c r="K402" s="50"/>
      <c r="L402" s="50"/>
      <c r="M402" s="50"/>
      <c r="N402" s="50"/>
      <c r="O402" s="50"/>
      <c r="P402" s="50"/>
      <c r="Q402" s="50"/>
      <c r="R402" s="50"/>
      <c r="S402" s="50"/>
      <c r="T402" s="50"/>
      <c r="U402" s="50"/>
      <c r="V402" s="50"/>
      <c r="W402" s="50"/>
      <c r="X402" s="50"/>
      <c r="Y402" s="50"/>
      <c r="Z402" s="50"/>
      <c r="AA402" s="50"/>
      <c r="AB402" s="50"/>
    </row>
    <row r="403" customFormat="false" ht="15.75" hidden="false" customHeight="false" outlineLevel="0" collapsed="false">
      <c r="A403" s="50"/>
      <c r="B403" s="50"/>
      <c r="C403" s="5"/>
      <c r="D403" s="48"/>
      <c r="E403" s="50"/>
      <c r="F403" s="5"/>
      <c r="G403" s="5"/>
      <c r="H403" s="5"/>
      <c r="I403" s="5"/>
      <c r="J403" s="5"/>
      <c r="K403" s="50"/>
      <c r="L403" s="50"/>
      <c r="M403" s="50"/>
      <c r="N403" s="50"/>
      <c r="O403" s="50"/>
      <c r="P403" s="50"/>
      <c r="Q403" s="50"/>
      <c r="R403" s="50"/>
      <c r="S403" s="50"/>
      <c r="T403" s="50"/>
      <c r="U403" s="50"/>
      <c r="V403" s="50"/>
      <c r="W403" s="50"/>
      <c r="X403" s="50"/>
      <c r="Y403" s="50"/>
      <c r="Z403" s="50"/>
      <c r="AA403" s="50"/>
      <c r="AB403" s="50"/>
    </row>
    <row r="404" customFormat="false" ht="15.75" hidden="false" customHeight="false" outlineLevel="0" collapsed="false">
      <c r="A404" s="50"/>
      <c r="B404" s="50"/>
      <c r="C404" s="5"/>
      <c r="D404" s="48"/>
      <c r="E404" s="50"/>
      <c r="F404" s="5"/>
      <c r="G404" s="5"/>
      <c r="H404" s="5"/>
      <c r="I404" s="5"/>
      <c r="J404" s="5"/>
      <c r="K404" s="50"/>
      <c r="L404" s="50"/>
      <c r="M404" s="50"/>
      <c r="N404" s="50"/>
      <c r="O404" s="50"/>
      <c r="P404" s="50"/>
      <c r="Q404" s="50"/>
      <c r="R404" s="50"/>
      <c r="S404" s="50"/>
      <c r="T404" s="50"/>
      <c r="U404" s="50"/>
      <c r="V404" s="50"/>
      <c r="W404" s="50"/>
      <c r="X404" s="50"/>
      <c r="Y404" s="50"/>
      <c r="Z404" s="50"/>
      <c r="AA404" s="50"/>
      <c r="AB404" s="50"/>
    </row>
    <row r="405" customFormat="false" ht="15.75" hidden="false" customHeight="false" outlineLevel="0" collapsed="false">
      <c r="A405" s="50"/>
      <c r="B405" s="50"/>
      <c r="C405" s="5"/>
      <c r="D405" s="48"/>
      <c r="E405" s="50"/>
      <c r="F405" s="5"/>
      <c r="G405" s="5"/>
      <c r="H405" s="5"/>
      <c r="I405" s="5"/>
      <c r="J405" s="5"/>
      <c r="K405" s="50"/>
      <c r="L405" s="50"/>
      <c r="M405" s="50"/>
      <c r="N405" s="50"/>
      <c r="O405" s="50"/>
      <c r="P405" s="50"/>
      <c r="Q405" s="50"/>
      <c r="R405" s="50"/>
      <c r="S405" s="50"/>
      <c r="T405" s="50"/>
      <c r="U405" s="50"/>
      <c r="V405" s="50"/>
      <c r="W405" s="50"/>
      <c r="X405" s="50"/>
      <c r="Y405" s="50"/>
      <c r="Z405" s="50"/>
      <c r="AA405" s="50"/>
      <c r="AB405" s="50"/>
    </row>
    <row r="406" customFormat="false" ht="15.75" hidden="false" customHeight="false" outlineLevel="0" collapsed="false">
      <c r="A406" s="50"/>
      <c r="B406" s="50"/>
      <c r="C406" s="5"/>
      <c r="D406" s="48"/>
      <c r="E406" s="50"/>
      <c r="F406" s="5"/>
      <c r="G406" s="5"/>
      <c r="H406" s="5"/>
      <c r="I406" s="5"/>
      <c r="J406" s="5"/>
      <c r="K406" s="50"/>
      <c r="L406" s="50"/>
      <c r="M406" s="50"/>
      <c r="N406" s="50"/>
      <c r="O406" s="50"/>
      <c r="P406" s="50"/>
      <c r="Q406" s="50"/>
      <c r="R406" s="50"/>
      <c r="S406" s="50"/>
      <c r="T406" s="50"/>
      <c r="U406" s="50"/>
      <c r="V406" s="50"/>
      <c r="W406" s="50"/>
      <c r="X406" s="50"/>
      <c r="Y406" s="50"/>
      <c r="Z406" s="50"/>
      <c r="AA406" s="50"/>
      <c r="AB406" s="50"/>
    </row>
    <row r="407" customFormat="false" ht="15.75" hidden="false" customHeight="false" outlineLevel="0" collapsed="false">
      <c r="A407" s="50"/>
      <c r="B407" s="50"/>
      <c r="C407" s="5"/>
      <c r="D407" s="48"/>
      <c r="E407" s="50"/>
      <c r="F407" s="5"/>
      <c r="G407" s="5"/>
      <c r="H407" s="5"/>
      <c r="I407" s="5"/>
      <c r="J407" s="5"/>
      <c r="K407" s="50"/>
      <c r="L407" s="50"/>
      <c r="M407" s="50"/>
      <c r="N407" s="50"/>
      <c r="O407" s="50"/>
      <c r="P407" s="50"/>
      <c r="Q407" s="50"/>
      <c r="R407" s="50"/>
      <c r="S407" s="50"/>
      <c r="T407" s="50"/>
      <c r="U407" s="50"/>
      <c r="V407" s="50"/>
      <c r="W407" s="50"/>
      <c r="X407" s="50"/>
      <c r="Y407" s="50"/>
      <c r="Z407" s="50"/>
      <c r="AA407" s="50"/>
      <c r="AB407" s="50"/>
    </row>
    <row r="408" customFormat="false" ht="15.75" hidden="false" customHeight="false" outlineLevel="0" collapsed="false">
      <c r="A408" s="50"/>
      <c r="B408" s="50"/>
      <c r="C408" s="5"/>
      <c r="D408" s="48"/>
      <c r="E408" s="50"/>
      <c r="F408" s="5"/>
      <c r="G408" s="5"/>
      <c r="H408" s="5"/>
      <c r="I408" s="5"/>
      <c r="J408" s="5"/>
      <c r="K408" s="50"/>
      <c r="L408" s="50"/>
      <c r="M408" s="50"/>
      <c r="N408" s="50"/>
      <c r="O408" s="50"/>
      <c r="P408" s="50"/>
      <c r="Q408" s="50"/>
      <c r="R408" s="50"/>
      <c r="S408" s="50"/>
      <c r="T408" s="50"/>
      <c r="U408" s="50"/>
      <c r="V408" s="50"/>
      <c r="W408" s="50"/>
      <c r="X408" s="50"/>
      <c r="Y408" s="50"/>
      <c r="Z408" s="50"/>
      <c r="AA408" s="50"/>
      <c r="AB408" s="50"/>
    </row>
    <row r="409" customFormat="false" ht="15.75" hidden="false" customHeight="false" outlineLevel="0" collapsed="false">
      <c r="A409" s="50"/>
      <c r="B409" s="50"/>
      <c r="C409" s="5"/>
      <c r="D409" s="48"/>
      <c r="E409" s="50"/>
      <c r="F409" s="5"/>
      <c r="G409" s="5"/>
      <c r="H409" s="5"/>
      <c r="I409" s="5"/>
      <c r="J409" s="5"/>
      <c r="K409" s="50"/>
      <c r="L409" s="50"/>
      <c r="M409" s="50"/>
      <c r="N409" s="50"/>
      <c r="O409" s="50"/>
      <c r="P409" s="50"/>
      <c r="Q409" s="50"/>
      <c r="R409" s="50"/>
      <c r="S409" s="50"/>
      <c r="T409" s="50"/>
      <c r="U409" s="50"/>
      <c r="V409" s="50"/>
      <c r="W409" s="50"/>
      <c r="X409" s="50"/>
      <c r="Y409" s="50"/>
      <c r="Z409" s="50"/>
      <c r="AA409" s="50"/>
      <c r="AB409" s="50"/>
    </row>
    <row r="410" customFormat="false" ht="15.75" hidden="false" customHeight="false" outlineLevel="0" collapsed="false">
      <c r="A410" s="50"/>
      <c r="B410" s="50"/>
      <c r="C410" s="5"/>
      <c r="D410" s="48"/>
      <c r="E410" s="50"/>
      <c r="F410" s="5"/>
      <c r="G410" s="5"/>
      <c r="H410" s="5"/>
      <c r="I410" s="5"/>
      <c r="J410" s="5"/>
      <c r="K410" s="50"/>
      <c r="L410" s="50"/>
      <c r="M410" s="50"/>
      <c r="N410" s="50"/>
      <c r="O410" s="50"/>
      <c r="P410" s="50"/>
      <c r="Q410" s="50"/>
      <c r="R410" s="50"/>
      <c r="S410" s="50"/>
      <c r="T410" s="50"/>
      <c r="U410" s="50"/>
      <c r="V410" s="50"/>
      <c r="W410" s="50"/>
      <c r="X410" s="50"/>
      <c r="Y410" s="50"/>
      <c r="Z410" s="50"/>
      <c r="AA410" s="50"/>
      <c r="AB410" s="50"/>
    </row>
    <row r="411" customFormat="false" ht="15.75" hidden="false" customHeight="false" outlineLevel="0" collapsed="false">
      <c r="A411" s="50"/>
      <c r="B411" s="50"/>
      <c r="C411" s="5"/>
      <c r="D411" s="48"/>
      <c r="E411" s="50"/>
      <c r="F411" s="5"/>
      <c r="G411" s="5"/>
      <c r="H411" s="5"/>
      <c r="I411" s="5"/>
      <c r="J411" s="5"/>
      <c r="K411" s="50"/>
      <c r="L411" s="50"/>
      <c r="M411" s="50"/>
      <c r="N411" s="50"/>
      <c r="O411" s="50"/>
      <c r="P411" s="50"/>
      <c r="Q411" s="50"/>
      <c r="R411" s="50"/>
      <c r="S411" s="50"/>
      <c r="T411" s="50"/>
      <c r="U411" s="50"/>
      <c r="V411" s="50"/>
      <c r="W411" s="50"/>
      <c r="X411" s="50"/>
      <c r="Y411" s="50"/>
      <c r="Z411" s="50"/>
      <c r="AA411" s="50"/>
      <c r="AB411" s="50"/>
    </row>
    <row r="412" customFormat="false" ht="15.75" hidden="false" customHeight="false" outlineLevel="0" collapsed="false">
      <c r="A412" s="50"/>
      <c r="B412" s="50"/>
      <c r="C412" s="5"/>
      <c r="D412" s="48"/>
      <c r="E412" s="50"/>
      <c r="F412" s="5"/>
      <c r="G412" s="5"/>
      <c r="H412" s="5"/>
      <c r="I412" s="5"/>
      <c r="J412" s="5"/>
      <c r="K412" s="50"/>
      <c r="L412" s="50"/>
      <c r="M412" s="50"/>
      <c r="N412" s="50"/>
      <c r="O412" s="50"/>
      <c r="P412" s="50"/>
      <c r="Q412" s="50"/>
      <c r="R412" s="50"/>
      <c r="S412" s="50"/>
      <c r="T412" s="50"/>
      <c r="U412" s="50"/>
      <c r="V412" s="50"/>
      <c r="W412" s="50"/>
      <c r="X412" s="50"/>
      <c r="Y412" s="50"/>
      <c r="Z412" s="50"/>
      <c r="AA412" s="50"/>
      <c r="AB412" s="50"/>
    </row>
    <row r="413" customFormat="false" ht="15.75" hidden="false" customHeight="false" outlineLevel="0" collapsed="false">
      <c r="A413" s="50"/>
      <c r="B413" s="50"/>
      <c r="C413" s="5"/>
      <c r="D413" s="48"/>
      <c r="E413" s="50"/>
      <c r="F413" s="5"/>
      <c r="G413" s="5"/>
      <c r="H413" s="5"/>
      <c r="I413" s="5"/>
      <c r="J413" s="5"/>
      <c r="K413" s="50"/>
      <c r="L413" s="50"/>
      <c r="M413" s="50"/>
      <c r="N413" s="50"/>
      <c r="O413" s="50"/>
      <c r="P413" s="50"/>
      <c r="Q413" s="50"/>
      <c r="R413" s="50"/>
      <c r="S413" s="50"/>
      <c r="T413" s="50"/>
      <c r="U413" s="50"/>
      <c r="V413" s="50"/>
      <c r="W413" s="50"/>
      <c r="X413" s="50"/>
      <c r="Y413" s="50"/>
      <c r="Z413" s="50"/>
      <c r="AA413" s="50"/>
      <c r="AB413" s="50"/>
    </row>
    <row r="414" customFormat="false" ht="15.75" hidden="false" customHeight="false" outlineLevel="0" collapsed="false">
      <c r="A414" s="50"/>
      <c r="B414" s="50"/>
      <c r="C414" s="5"/>
      <c r="D414" s="48"/>
      <c r="E414" s="50"/>
      <c r="F414" s="5"/>
      <c r="G414" s="5"/>
      <c r="H414" s="5"/>
      <c r="I414" s="5"/>
      <c r="J414" s="5"/>
      <c r="K414" s="50"/>
      <c r="L414" s="50"/>
      <c r="M414" s="50"/>
      <c r="N414" s="50"/>
      <c r="O414" s="50"/>
      <c r="P414" s="50"/>
      <c r="Q414" s="50"/>
      <c r="R414" s="50"/>
      <c r="S414" s="50"/>
      <c r="T414" s="50"/>
      <c r="U414" s="50"/>
      <c r="V414" s="50"/>
      <c r="W414" s="50"/>
      <c r="X414" s="50"/>
      <c r="Y414" s="50"/>
      <c r="Z414" s="50"/>
      <c r="AA414" s="50"/>
      <c r="AB414" s="50"/>
    </row>
    <row r="415" customFormat="false" ht="15.75" hidden="false" customHeight="false" outlineLevel="0" collapsed="false">
      <c r="A415" s="50"/>
      <c r="B415" s="50"/>
      <c r="C415" s="5"/>
      <c r="D415" s="48"/>
      <c r="E415" s="50"/>
      <c r="F415" s="5"/>
      <c r="G415" s="5"/>
      <c r="H415" s="5"/>
      <c r="I415" s="5"/>
      <c r="J415" s="5"/>
      <c r="K415" s="50"/>
      <c r="L415" s="50"/>
      <c r="M415" s="50"/>
      <c r="N415" s="50"/>
      <c r="O415" s="50"/>
      <c r="P415" s="50"/>
      <c r="Q415" s="50"/>
      <c r="R415" s="50"/>
      <c r="S415" s="50"/>
      <c r="T415" s="50"/>
      <c r="U415" s="50"/>
      <c r="V415" s="50"/>
      <c r="W415" s="50"/>
      <c r="X415" s="50"/>
      <c r="Y415" s="50"/>
      <c r="Z415" s="50"/>
      <c r="AA415" s="50"/>
      <c r="AB415" s="50"/>
    </row>
    <row r="416" customFormat="false" ht="15.75" hidden="false" customHeight="false" outlineLevel="0" collapsed="false">
      <c r="A416" s="50"/>
      <c r="B416" s="50"/>
      <c r="C416" s="5"/>
      <c r="D416" s="48"/>
      <c r="E416" s="50"/>
      <c r="F416" s="5"/>
      <c r="G416" s="5"/>
      <c r="H416" s="5"/>
      <c r="I416" s="5"/>
      <c r="J416" s="5"/>
      <c r="K416" s="50"/>
      <c r="L416" s="50"/>
      <c r="M416" s="50"/>
      <c r="N416" s="50"/>
      <c r="O416" s="50"/>
      <c r="P416" s="50"/>
      <c r="Q416" s="50"/>
      <c r="R416" s="50"/>
      <c r="S416" s="50"/>
      <c r="T416" s="50"/>
      <c r="U416" s="50"/>
      <c r="V416" s="50"/>
      <c r="W416" s="50"/>
      <c r="X416" s="50"/>
      <c r="Y416" s="50"/>
      <c r="Z416" s="50"/>
      <c r="AA416" s="50"/>
      <c r="AB416" s="50"/>
    </row>
    <row r="417" customFormat="false" ht="15.75" hidden="false" customHeight="false" outlineLevel="0" collapsed="false">
      <c r="A417" s="50"/>
      <c r="B417" s="50"/>
      <c r="C417" s="5"/>
      <c r="D417" s="48"/>
      <c r="E417" s="50"/>
      <c r="F417" s="5"/>
      <c r="G417" s="5"/>
      <c r="H417" s="5"/>
      <c r="I417" s="5"/>
      <c r="J417" s="5"/>
      <c r="K417" s="50"/>
      <c r="L417" s="50"/>
      <c r="M417" s="50"/>
      <c r="N417" s="50"/>
      <c r="O417" s="50"/>
      <c r="P417" s="50"/>
      <c r="Q417" s="50"/>
      <c r="R417" s="50"/>
      <c r="S417" s="50"/>
      <c r="T417" s="50"/>
      <c r="U417" s="50"/>
      <c r="V417" s="50"/>
      <c r="W417" s="50"/>
      <c r="X417" s="50"/>
      <c r="Y417" s="50"/>
      <c r="Z417" s="50"/>
      <c r="AA417" s="50"/>
      <c r="AB417" s="50"/>
    </row>
    <row r="418" customFormat="false" ht="15.75" hidden="false" customHeight="false" outlineLevel="0" collapsed="false">
      <c r="A418" s="50"/>
      <c r="B418" s="50"/>
      <c r="C418" s="5"/>
      <c r="D418" s="48"/>
      <c r="E418" s="50"/>
      <c r="F418" s="5"/>
      <c r="G418" s="5"/>
      <c r="H418" s="5"/>
      <c r="I418" s="5"/>
      <c r="J418" s="5"/>
      <c r="K418" s="50"/>
      <c r="L418" s="50"/>
      <c r="M418" s="50"/>
      <c r="N418" s="50"/>
      <c r="O418" s="50"/>
      <c r="P418" s="50"/>
      <c r="Q418" s="50"/>
      <c r="R418" s="50"/>
      <c r="S418" s="50"/>
      <c r="T418" s="50"/>
      <c r="U418" s="50"/>
      <c r="V418" s="50"/>
      <c r="W418" s="50"/>
      <c r="X418" s="50"/>
      <c r="Y418" s="50"/>
      <c r="Z418" s="50"/>
      <c r="AA418" s="50"/>
      <c r="AB418" s="50"/>
    </row>
    <row r="419" customFormat="false" ht="15.75" hidden="false" customHeight="false" outlineLevel="0" collapsed="false">
      <c r="A419" s="50"/>
      <c r="B419" s="50"/>
      <c r="C419" s="5"/>
      <c r="D419" s="48"/>
      <c r="E419" s="50"/>
      <c r="F419" s="5"/>
      <c r="G419" s="5"/>
      <c r="H419" s="5"/>
      <c r="I419" s="5"/>
      <c r="J419" s="5"/>
      <c r="K419" s="50"/>
      <c r="L419" s="50"/>
      <c r="M419" s="50"/>
      <c r="N419" s="50"/>
      <c r="O419" s="50"/>
      <c r="P419" s="50"/>
      <c r="Q419" s="50"/>
      <c r="R419" s="50"/>
      <c r="S419" s="50"/>
      <c r="T419" s="50"/>
      <c r="U419" s="50"/>
      <c r="V419" s="50"/>
      <c r="W419" s="50"/>
      <c r="X419" s="50"/>
      <c r="Y419" s="50"/>
      <c r="Z419" s="50"/>
      <c r="AA419" s="50"/>
      <c r="AB419" s="50"/>
    </row>
    <row r="420" customFormat="false" ht="15.75" hidden="false" customHeight="false" outlineLevel="0" collapsed="false">
      <c r="A420" s="50"/>
      <c r="B420" s="50"/>
      <c r="C420" s="5"/>
      <c r="D420" s="48"/>
      <c r="E420" s="50"/>
      <c r="F420" s="5"/>
      <c r="G420" s="5"/>
      <c r="H420" s="5"/>
      <c r="I420" s="5"/>
      <c r="J420" s="5"/>
      <c r="K420" s="50"/>
      <c r="L420" s="50"/>
      <c r="M420" s="50"/>
      <c r="N420" s="50"/>
      <c r="O420" s="50"/>
      <c r="P420" s="50"/>
      <c r="Q420" s="50"/>
      <c r="R420" s="50"/>
      <c r="S420" s="50"/>
      <c r="T420" s="50"/>
      <c r="U420" s="50"/>
      <c r="V420" s="50"/>
      <c r="W420" s="50"/>
      <c r="X420" s="50"/>
      <c r="Y420" s="50"/>
      <c r="Z420" s="50"/>
      <c r="AA420" s="50"/>
      <c r="AB420" s="50"/>
    </row>
    <row r="421" customFormat="false" ht="15.75" hidden="false" customHeight="false" outlineLevel="0" collapsed="false">
      <c r="A421" s="50"/>
      <c r="B421" s="50"/>
      <c r="C421" s="5"/>
      <c r="D421" s="48"/>
      <c r="E421" s="50"/>
      <c r="F421" s="5"/>
      <c r="G421" s="5"/>
      <c r="H421" s="5"/>
      <c r="I421" s="5"/>
      <c r="J421" s="5"/>
      <c r="K421" s="50"/>
      <c r="L421" s="50"/>
      <c r="M421" s="50"/>
      <c r="N421" s="50"/>
      <c r="O421" s="50"/>
      <c r="P421" s="50"/>
      <c r="Q421" s="50"/>
      <c r="R421" s="50"/>
      <c r="S421" s="50"/>
      <c r="T421" s="50"/>
      <c r="U421" s="50"/>
      <c r="V421" s="50"/>
      <c r="W421" s="50"/>
      <c r="X421" s="50"/>
      <c r="Y421" s="50"/>
      <c r="Z421" s="50"/>
      <c r="AA421" s="50"/>
      <c r="AB421" s="50"/>
    </row>
    <row r="422" customFormat="false" ht="15.75" hidden="false" customHeight="false" outlineLevel="0" collapsed="false">
      <c r="A422" s="50"/>
      <c r="B422" s="50"/>
      <c r="C422" s="5"/>
      <c r="D422" s="48"/>
      <c r="E422" s="50"/>
      <c r="F422" s="5"/>
      <c r="G422" s="5"/>
      <c r="H422" s="5"/>
      <c r="I422" s="5"/>
      <c r="J422" s="5"/>
      <c r="K422" s="50"/>
      <c r="L422" s="50"/>
      <c r="M422" s="50"/>
      <c r="N422" s="50"/>
      <c r="O422" s="50"/>
      <c r="P422" s="50"/>
      <c r="Q422" s="50"/>
      <c r="R422" s="50"/>
      <c r="S422" s="50"/>
      <c r="T422" s="50"/>
      <c r="U422" s="50"/>
      <c r="V422" s="50"/>
      <c r="W422" s="50"/>
      <c r="X422" s="50"/>
      <c r="Y422" s="50"/>
      <c r="Z422" s="50"/>
      <c r="AA422" s="50"/>
      <c r="AB422" s="50"/>
    </row>
    <row r="423" customFormat="false" ht="15.75" hidden="false" customHeight="false" outlineLevel="0" collapsed="false">
      <c r="A423" s="50"/>
      <c r="B423" s="50"/>
      <c r="C423" s="5"/>
      <c r="D423" s="48"/>
      <c r="E423" s="50"/>
      <c r="F423" s="5"/>
      <c r="G423" s="5"/>
      <c r="H423" s="5"/>
      <c r="I423" s="5"/>
      <c r="J423" s="5"/>
      <c r="K423" s="50"/>
      <c r="L423" s="50"/>
      <c r="M423" s="50"/>
      <c r="N423" s="50"/>
      <c r="O423" s="50"/>
      <c r="P423" s="50"/>
      <c r="Q423" s="50"/>
      <c r="R423" s="50"/>
      <c r="S423" s="50"/>
      <c r="T423" s="50"/>
      <c r="U423" s="50"/>
      <c r="V423" s="50"/>
      <c r="W423" s="50"/>
      <c r="X423" s="50"/>
      <c r="Y423" s="50"/>
      <c r="Z423" s="50"/>
      <c r="AA423" s="50"/>
      <c r="AB423" s="50"/>
    </row>
    <row r="424" customFormat="false" ht="15.75" hidden="false" customHeight="false" outlineLevel="0" collapsed="false">
      <c r="A424" s="50"/>
      <c r="B424" s="50"/>
      <c r="C424" s="5"/>
      <c r="D424" s="48"/>
      <c r="E424" s="50"/>
      <c r="F424" s="5"/>
      <c r="G424" s="5"/>
      <c r="H424" s="5"/>
      <c r="I424" s="5"/>
      <c r="J424" s="5"/>
      <c r="K424" s="50"/>
      <c r="L424" s="50"/>
      <c r="M424" s="50"/>
      <c r="N424" s="50"/>
      <c r="O424" s="50"/>
      <c r="P424" s="50"/>
      <c r="Q424" s="50"/>
      <c r="R424" s="50"/>
      <c r="S424" s="50"/>
      <c r="T424" s="50"/>
      <c r="U424" s="50"/>
      <c r="V424" s="50"/>
      <c r="W424" s="50"/>
      <c r="X424" s="50"/>
      <c r="Y424" s="50"/>
      <c r="Z424" s="50"/>
      <c r="AA424" s="50"/>
      <c r="AB424" s="50"/>
    </row>
    <row r="425" customFormat="false" ht="15.75" hidden="false" customHeight="false" outlineLevel="0" collapsed="false">
      <c r="A425" s="50"/>
      <c r="B425" s="50"/>
      <c r="C425" s="5"/>
      <c r="D425" s="48"/>
      <c r="E425" s="50"/>
      <c r="F425" s="5"/>
      <c r="G425" s="5"/>
      <c r="H425" s="5"/>
      <c r="I425" s="5"/>
      <c r="J425" s="5"/>
      <c r="K425" s="50"/>
      <c r="L425" s="50"/>
      <c r="M425" s="50"/>
      <c r="N425" s="50"/>
      <c r="O425" s="50"/>
      <c r="P425" s="50"/>
      <c r="Q425" s="50"/>
      <c r="R425" s="50"/>
      <c r="S425" s="50"/>
      <c r="T425" s="50"/>
      <c r="U425" s="50"/>
      <c r="V425" s="50"/>
      <c r="W425" s="50"/>
      <c r="X425" s="50"/>
      <c r="Y425" s="50"/>
      <c r="Z425" s="50"/>
      <c r="AA425" s="50"/>
      <c r="AB425" s="50"/>
    </row>
    <row r="426" customFormat="false" ht="15.75" hidden="false" customHeight="false" outlineLevel="0" collapsed="false">
      <c r="A426" s="50"/>
      <c r="B426" s="50"/>
      <c r="C426" s="5"/>
      <c r="D426" s="48"/>
      <c r="E426" s="50"/>
      <c r="F426" s="5"/>
      <c r="G426" s="5"/>
      <c r="H426" s="5"/>
      <c r="I426" s="5"/>
      <c r="J426" s="5"/>
      <c r="K426" s="50"/>
      <c r="L426" s="50"/>
      <c r="M426" s="50"/>
      <c r="N426" s="50"/>
      <c r="O426" s="50"/>
      <c r="P426" s="50"/>
      <c r="Q426" s="50"/>
      <c r="R426" s="50"/>
      <c r="S426" s="50"/>
      <c r="T426" s="50"/>
      <c r="U426" s="50"/>
      <c r="V426" s="50"/>
      <c r="W426" s="50"/>
      <c r="X426" s="50"/>
      <c r="Y426" s="50"/>
      <c r="Z426" s="50"/>
      <c r="AA426" s="50"/>
      <c r="AB426" s="50"/>
    </row>
    <row r="427" customFormat="false" ht="15.75" hidden="false" customHeight="false" outlineLevel="0" collapsed="false">
      <c r="A427" s="50"/>
      <c r="B427" s="50"/>
      <c r="C427" s="5"/>
      <c r="D427" s="48"/>
      <c r="E427" s="50"/>
      <c r="F427" s="5"/>
      <c r="G427" s="5"/>
      <c r="H427" s="5"/>
      <c r="I427" s="5"/>
      <c r="J427" s="5"/>
      <c r="K427" s="50"/>
      <c r="L427" s="50"/>
      <c r="M427" s="50"/>
      <c r="N427" s="50"/>
      <c r="O427" s="50"/>
      <c r="P427" s="50"/>
      <c r="Q427" s="50"/>
      <c r="R427" s="50"/>
      <c r="S427" s="50"/>
      <c r="T427" s="50"/>
      <c r="U427" s="50"/>
      <c r="V427" s="50"/>
      <c r="W427" s="50"/>
      <c r="X427" s="50"/>
      <c r="Y427" s="50"/>
      <c r="Z427" s="50"/>
      <c r="AA427" s="50"/>
      <c r="AB427" s="50"/>
    </row>
    <row r="428" customFormat="false" ht="15.75" hidden="false" customHeight="false" outlineLevel="0" collapsed="false">
      <c r="A428" s="50"/>
      <c r="B428" s="50"/>
      <c r="C428" s="5"/>
      <c r="D428" s="48"/>
      <c r="E428" s="50"/>
      <c r="F428" s="5"/>
      <c r="G428" s="5"/>
      <c r="H428" s="5"/>
      <c r="I428" s="5"/>
      <c r="J428" s="5"/>
      <c r="K428" s="50"/>
      <c r="L428" s="50"/>
      <c r="M428" s="50"/>
      <c r="N428" s="50"/>
      <c r="O428" s="50"/>
      <c r="P428" s="50"/>
      <c r="Q428" s="50"/>
      <c r="R428" s="50"/>
      <c r="S428" s="50"/>
      <c r="T428" s="50"/>
      <c r="U428" s="50"/>
      <c r="V428" s="50"/>
      <c r="W428" s="50"/>
      <c r="X428" s="50"/>
      <c r="Y428" s="50"/>
      <c r="Z428" s="50"/>
      <c r="AA428" s="50"/>
      <c r="AB428" s="50"/>
    </row>
    <row r="429" customFormat="false" ht="15.75" hidden="false" customHeight="false" outlineLevel="0" collapsed="false">
      <c r="A429" s="50"/>
      <c r="B429" s="50"/>
      <c r="C429" s="5"/>
      <c r="D429" s="48"/>
      <c r="E429" s="50"/>
      <c r="F429" s="5"/>
      <c r="G429" s="5"/>
      <c r="H429" s="5"/>
      <c r="I429" s="5"/>
      <c r="J429" s="5"/>
      <c r="K429" s="50"/>
      <c r="L429" s="50"/>
      <c r="M429" s="50"/>
      <c r="N429" s="50"/>
      <c r="O429" s="50"/>
      <c r="P429" s="50"/>
      <c r="Q429" s="50"/>
      <c r="R429" s="50"/>
      <c r="S429" s="50"/>
      <c r="T429" s="50"/>
      <c r="U429" s="50"/>
      <c r="V429" s="50"/>
      <c r="W429" s="50"/>
      <c r="X429" s="50"/>
      <c r="Y429" s="50"/>
      <c r="Z429" s="50"/>
      <c r="AA429" s="50"/>
      <c r="AB429" s="50"/>
    </row>
    <row r="430" customFormat="false" ht="15.75" hidden="false" customHeight="false" outlineLevel="0" collapsed="false">
      <c r="A430" s="50"/>
      <c r="B430" s="50"/>
      <c r="C430" s="5"/>
      <c r="D430" s="48"/>
      <c r="E430" s="50"/>
      <c r="F430" s="5"/>
      <c r="G430" s="5"/>
      <c r="H430" s="5"/>
      <c r="I430" s="5"/>
      <c r="J430" s="5"/>
      <c r="K430" s="50"/>
      <c r="L430" s="50"/>
      <c r="M430" s="50"/>
      <c r="N430" s="50"/>
      <c r="O430" s="50"/>
      <c r="P430" s="50"/>
      <c r="Q430" s="50"/>
      <c r="R430" s="50"/>
      <c r="S430" s="50"/>
      <c r="T430" s="50"/>
      <c r="U430" s="50"/>
      <c r="V430" s="50"/>
      <c r="W430" s="50"/>
      <c r="X430" s="50"/>
      <c r="Y430" s="50"/>
      <c r="Z430" s="50"/>
      <c r="AA430" s="50"/>
      <c r="AB430" s="50"/>
    </row>
    <row r="431" customFormat="false" ht="15.75" hidden="false" customHeight="false" outlineLevel="0" collapsed="false">
      <c r="A431" s="50"/>
      <c r="B431" s="50"/>
      <c r="C431" s="5"/>
      <c r="D431" s="48"/>
      <c r="E431" s="50"/>
      <c r="F431" s="5"/>
      <c r="G431" s="5"/>
      <c r="H431" s="5"/>
      <c r="I431" s="5"/>
      <c r="J431" s="5"/>
      <c r="K431" s="50"/>
      <c r="L431" s="50"/>
      <c r="M431" s="50"/>
      <c r="N431" s="50"/>
      <c r="O431" s="50"/>
      <c r="P431" s="50"/>
      <c r="Q431" s="50"/>
      <c r="R431" s="50"/>
      <c r="S431" s="50"/>
      <c r="T431" s="50"/>
      <c r="U431" s="50"/>
      <c r="V431" s="50"/>
      <c r="W431" s="50"/>
      <c r="X431" s="50"/>
      <c r="Y431" s="50"/>
      <c r="Z431" s="50"/>
      <c r="AA431" s="50"/>
      <c r="AB431" s="50"/>
    </row>
    <row r="432" customFormat="false" ht="15.75" hidden="false" customHeight="false" outlineLevel="0" collapsed="false">
      <c r="A432" s="50"/>
      <c r="B432" s="50"/>
      <c r="C432" s="5"/>
      <c r="D432" s="48"/>
      <c r="E432" s="50"/>
      <c r="F432" s="5"/>
      <c r="G432" s="5"/>
      <c r="H432" s="5"/>
      <c r="I432" s="5"/>
      <c r="J432" s="5"/>
      <c r="K432" s="50"/>
      <c r="L432" s="50"/>
      <c r="M432" s="50"/>
      <c r="N432" s="50"/>
      <c r="O432" s="50"/>
      <c r="P432" s="50"/>
      <c r="Q432" s="50"/>
      <c r="R432" s="50"/>
      <c r="S432" s="50"/>
      <c r="T432" s="50"/>
      <c r="U432" s="50"/>
      <c r="V432" s="50"/>
      <c r="W432" s="50"/>
      <c r="X432" s="50"/>
      <c r="Y432" s="50"/>
      <c r="Z432" s="50"/>
      <c r="AA432" s="50"/>
      <c r="AB432" s="50"/>
    </row>
    <row r="433" customFormat="false" ht="15.75" hidden="false" customHeight="false" outlineLevel="0" collapsed="false">
      <c r="A433" s="50"/>
      <c r="B433" s="50"/>
      <c r="C433" s="5"/>
      <c r="D433" s="48"/>
      <c r="E433" s="50"/>
      <c r="F433" s="5"/>
      <c r="G433" s="5"/>
      <c r="H433" s="5"/>
      <c r="I433" s="5"/>
      <c r="J433" s="5"/>
      <c r="K433" s="50"/>
      <c r="L433" s="50"/>
      <c r="M433" s="50"/>
      <c r="N433" s="50"/>
      <c r="O433" s="50"/>
      <c r="P433" s="50"/>
      <c r="Q433" s="50"/>
      <c r="R433" s="50"/>
      <c r="S433" s="50"/>
      <c r="T433" s="50"/>
      <c r="U433" s="50"/>
      <c r="V433" s="50"/>
      <c r="W433" s="50"/>
      <c r="X433" s="50"/>
      <c r="Y433" s="50"/>
      <c r="Z433" s="50"/>
      <c r="AA433" s="50"/>
      <c r="AB433" s="50"/>
    </row>
    <row r="434" customFormat="false" ht="15.75" hidden="false" customHeight="false" outlineLevel="0" collapsed="false">
      <c r="A434" s="50"/>
      <c r="B434" s="50"/>
      <c r="C434" s="5"/>
      <c r="D434" s="48"/>
      <c r="E434" s="50"/>
      <c r="F434" s="5"/>
      <c r="G434" s="5"/>
      <c r="H434" s="5"/>
      <c r="I434" s="5"/>
      <c r="J434" s="5"/>
      <c r="K434" s="50"/>
      <c r="L434" s="50"/>
      <c r="M434" s="50"/>
      <c r="N434" s="50"/>
      <c r="O434" s="50"/>
      <c r="P434" s="50"/>
      <c r="Q434" s="50"/>
      <c r="R434" s="50"/>
      <c r="S434" s="50"/>
      <c r="T434" s="50"/>
      <c r="U434" s="50"/>
      <c r="V434" s="50"/>
      <c r="W434" s="50"/>
      <c r="X434" s="50"/>
      <c r="Y434" s="50"/>
      <c r="Z434" s="50"/>
      <c r="AA434" s="50"/>
      <c r="AB434" s="50"/>
    </row>
    <row r="435" customFormat="false" ht="15.75" hidden="false" customHeight="false" outlineLevel="0" collapsed="false">
      <c r="A435" s="50"/>
      <c r="B435" s="50"/>
      <c r="C435" s="5"/>
      <c r="D435" s="48"/>
      <c r="E435" s="50"/>
      <c r="F435" s="5"/>
      <c r="G435" s="5"/>
      <c r="H435" s="5"/>
      <c r="I435" s="5"/>
      <c r="J435" s="5"/>
      <c r="K435" s="50"/>
      <c r="L435" s="50"/>
      <c r="M435" s="50"/>
      <c r="N435" s="50"/>
      <c r="O435" s="50"/>
      <c r="P435" s="50"/>
      <c r="Q435" s="50"/>
      <c r="R435" s="50"/>
      <c r="S435" s="50"/>
      <c r="T435" s="50"/>
      <c r="U435" s="50"/>
      <c r="V435" s="50"/>
      <c r="W435" s="50"/>
      <c r="X435" s="50"/>
      <c r="Y435" s="50"/>
      <c r="Z435" s="50"/>
      <c r="AA435" s="50"/>
      <c r="AB435" s="50"/>
    </row>
    <row r="436" customFormat="false" ht="15.75" hidden="false" customHeight="false" outlineLevel="0" collapsed="false">
      <c r="A436" s="50"/>
      <c r="B436" s="50"/>
      <c r="C436" s="5"/>
      <c r="D436" s="48"/>
      <c r="E436" s="50"/>
      <c r="F436" s="5"/>
      <c r="G436" s="5"/>
      <c r="H436" s="5"/>
      <c r="I436" s="5"/>
      <c r="J436" s="5"/>
      <c r="K436" s="50"/>
      <c r="L436" s="50"/>
      <c r="M436" s="50"/>
      <c r="N436" s="50"/>
      <c r="O436" s="50"/>
      <c r="P436" s="50"/>
      <c r="Q436" s="50"/>
      <c r="R436" s="50"/>
      <c r="S436" s="50"/>
      <c r="T436" s="50"/>
      <c r="U436" s="50"/>
      <c r="V436" s="50"/>
      <c r="W436" s="50"/>
      <c r="X436" s="50"/>
      <c r="Y436" s="50"/>
      <c r="Z436" s="50"/>
      <c r="AA436" s="50"/>
      <c r="AB436" s="50"/>
    </row>
    <row r="437" customFormat="false" ht="15.75" hidden="false" customHeight="false" outlineLevel="0" collapsed="false">
      <c r="A437" s="50"/>
      <c r="B437" s="50"/>
      <c r="C437" s="5"/>
      <c r="D437" s="48"/>
      <c r="E437" s="50"/>
      <c r="F437" s="5"/>
      <c r="G437" s="5"/>
      <c r="H437" s="5"/>
      <c r="I437" s="5"/>
      <c r="J437" s="5"/>
      <c r="K437" s="50"/>
      <c r="L437" s="50"/>
      <c r="M437" s="50"/>
      <c r="N437" s="50"/>
      <c r="O437" s="50"/>
      <c r="P437" s="50"/>
      <c r="Q437" s="50"/>
      <c r="R437" s="50"/>
      <c r="S437" s="50"/>
      <c r="T437" s="50"/>
      <c r="U437" s="50"/>
      <c r="V437" s="50"/>
      <c r="W437" s="50"/>
      <c r="X437" s="50"/>
      <c r="Y437" s="50"/>
      <c r="Z437" s="50"/>
      <c r="AA437" s="50"/>
      <c r="AB437" s="50"/>
    </row>
    <row r="438" customFormat="false" ht="15.75" hidden="false" customHeight="false" outlineLevel="0" collapsed="false">
      <c r="A438" s="50"/>
      <c r="B438" s="50"/>
      <c r="C438" s="5"/>
      <c r="D438" s="48"/>
      <c r="E438" s="50"/>
      <c r="F438" s="5"/>
      <c r="G438" s="5"/>
      <c r="H438" s="5"/>
      <c r="I438" s="5"/>
      <c r="J438" s="5"/>
      <c r="K438" s="50"/>
      <c r="L438" s="50"/>
      <c r="M438" s="50"/>
      <c r="N438" s="50"/>
      <c r="O438" s="50"/>
      <c r="P438" s="50"/>
      <c r="Q438" s="50"/>
      <c r="R438" s="50"/>
      <c r="S438" s="50"/>
      <c r="T438" s="50"/>
      <c r="U438" s="50"/>
      <c r="V438" s="50"/>
      <c r="W438" s="50"/>
      <c r="X438" s="50"/>
      <c r="Y438" s="50"/>
      <c r="Z438" s="50"/>
      <c r="AA438" s="50"/>
      <c r="AB438" s="50"/>
    </row>
    <row r="439" customFormat="false" ht="15.75" hidden="false" customHeight="false" outlineLevel="0" collapsed="false">
      <c r="A439" s="50"/>
      <c r="B439" s="50"/>
      <c r="C439" s="5"/>
      <c r="D439" s="48"/>
      <c r="E439" s="50"/>
      <c r="F439" s="5"/>
      <c r="G439" s="5"/>
      <c r="H439" s="5"/>
      <c r="I439" s="5"/>
      <c r="J439" s="5"/>
      <c r="K439" s="50"/>
      <c r="L439" s="50"/>
      <c r="M439" s="50"/>
      <c r="N439" s="50"/>
      <c r="O439" s="50"/>
      <c r="P439" s="50"/>
      <c r="Q439" s="50"/>
      <c r="R439" s="50"/>
      <c r="S439" s="50"/>
      <c r="T439" s="50"/>
      <c r="U439" s="50"/>
      <c r="V439" s="50"/>
      <c r="W439" s="50"/>
      <c r="X439" s="50"/>
      <c r="Y439" s="50"/>
      <c r="Z439" s="50"/>
      <c r="AA439" s="50"/>
      <c r="AB439" s="50"/>
    </row>
    <row r="440" customFormat="false" ht="15.75" hidden="false" customHeight="false" outlineLevel="0" collapsed="false">
      <c r="A440" s="50"/>
      <c r="B440" s="50"/>
      <c r="C440" s="5"/>
      <c r="D440" s="48"/>
      <c r="E440" s="50"/>
      <c r="F440" s="5"/>
      <c r="G440" s="5"/>
      <c r="H440" s="5"/>
      <c r="I440" s="5"/>
      <c r="J440" s="5"/>
      <c r="K440" s="50"/>
      <c r="L440" s="50"/>
      <c r="M440" s="50"/>
      <c r="N440" s="50"/>
      <c r="O440" s="50"/>
      <c r="P440" s="50"/>
      <c r="Q440" s="50"/>
      <c r="R440" s="50"/>
      <c r="S440" s="50"/>
      <c r="T440" s="50"/>
      <c r="U440" s="50"/>
      <c r="V440" s="50"/>
      <c r="W440" s="50"/>
      <c r="X440" s="50"/>
      <c r="Y440" s="50"/>
      <c r="Z440" s="50"/>
      <c r="AA440" s="50"/>
      <c r="AB440" s="50"/>
    </row>
    <row r="441" customFormat="false" ht="15.75" hidden="false" customHeight="false" outlineLevel="0" collapsed="false">
      <c r="A441" s="50"/>
      <c r="B441" s="50"/>
      <c r="C441" s="5"/>
      <c r="D441" s="48"/>
      <c r="E441" s="50"/>
      <c r="F441" s="5"/>
      <c r="G441" s="5"/>
      <c r="H441" s="5"/>
      <c r="I441" s="5"/>
      <c r="J441" s="5"/>
      <c r="K441" s="50"/>
      <c r="L441" s="50"/>
      <c r="M441" s="50"/>
      <c r="N441" s="50"/>
      <c r="O441" s="50"/>
      <c r="P441" s="50"/>
      <c r="Q441" s="50"/>
      <c r="R441" s="50"/>
      <c r="S441" s="50"/>
      <c r="T441" s="50"/>
      <c r="U441" s="50"/>
      <c r="V441" s="50"/>
      <c r="W441" s="50"/>
      <c r="X441" s="50"/>
      <c r="Y441" s="50"/>
      <c r="Z441" s="50"/>
      <c r="AA441" s="50"/>
      <c r="AB441" s="50"/>
    </row>
    <row r="442" customFormat="false" ht="15.75" hidden="false" customHeight="false" outlineLevel="0" collapsed="false">
      <c r="A442" s="50"/>
      <c r="B442" s="50"/>
      <c r="C442" s="5"/>
      <c r="D442" s="48"/>
      <c r="E442" s="50"/>
      <c r="F442" s="5"/>
      <c r="G442" s="5"/>
      <c r="H442" s="5"/>
      <c r="I442" s="5"/>
      <c r="J442" s="5"/>
      <c r="K442" s="50"/>
      <c r="L442" s="50"/>
      <c r="M442" s="50"/>
      <c r="N442" s="50"/>
      <c r="O442" s="50"/>
      <c r="P442" s="50"/>
      <c r="Q442" s="50"/>
      <c r="R442" s="50"/>
      <c r="S442" s="50"/>
      <c r="T442" s="50"/>
      <c r="U442" s="50"/>
      <c r="V442" s="50"/>
      <c r="W442" s="50"/>
      <c r="X442" s="50"/>
      <c r="Y442" s="50"/>
      <c r="Z442" s="50"/>
      <c r="AA442" s="50"/>
      <c r="AB442" s="50"/>
    </row>
    <row r="443" customFormat="false" ht="15.75" hidden="false" customHeight="false" outlineLevel="0" collapsed="false">
      <c r="A443" s="50"/>
      <c r="B443" s="50"/>
      <c r="C443" s="5"/>
      <c r="D443" s="48"/>
      <c r="E443" s="50"/>
      <c r="F443" s="5"/>
      <c r="G443" s="5"/>
      <c r="H443" s="5"/>
      <c r="I443" s="5"/>
      <c r="J443" s="5"/>
      <c r="K443" s="50"/>
      <c r="L443" s="50"/>
      <c r="M443" s="50"/>
      <c r="N443" s="50"/>
      <c r="O443" s="50"/>
      <c r="P443" s="50"/>
      <c r="Q443" s="50"/>
      <c r="R443" s="50"/>
      <c r="S443" s="50"/>
      <c r="T443" s="50"/>
      <c r="U443" s="50"/>
      <c r="V443" s="50"/>
      <c r="W443" s="50"/>
      <c r="X443" s="50"/>
      <c r="Y443" s="50"/>
      <c r="Z443" s="50"/>
      <c r="AA443" s="50"/>
      <c r="AB443" s="50"/>
    </row>
    <row r="444" customFormat="false" ht="15.75" hidden="false" customHeight="false" outlineLevel="0" collapsed="false">
      <c r="A444" s="50"/>
      <c r="B444" s="50"/>
      <c r="C444" s="5"/>
      <c r="D444" s="48"/>
      <c r="E444" s="50"/>
      <c r="F444" s="5"/>
      <c r="G444" s="5"/>
      <c r="H444" s="5"/>
      <c r="I444" s="5"/>
      <c r="J444" s="5"/>
      <c r="K444" s="50"/>
      <c r="L444" s="50"/>
      <c r="M444" s="50"/>
      <c r="N444" s="50"/>
      <c r="O444" s="50"/>
      <c r="P444" s="50"/>
      <c r="Q444" s="50"/>
      <c r="R444" s="50"/>
      <c r="S444" s="50"/>
      <c r="T444" s="50"/>
      <c r="U444" s="50"/>
      <c r="V444" s="50"/>
      <c r="W444" s="50"/>
      <c r="X444" s="50"/>
      <c r="Y444" s="50"/>
      <c r="Z444" s="50"/>
      <c r="AA444" s="50"/>
      <c r="AB444" s="50"/>
    </row>
    <row r="445" customFormat="false" ht="15.75" hidden="false" customHeight="false" outlineLevel="0" collapsed="false">
      <c r="A445" s="50"/>
      <c r="B445" s="50"/>
      <c r="C445" s="5"/>
      <c r="D445" s="48"/>
      <c r="E445" s="50"/>
      <c r="F445" s="5"/>
      <c r="G445" s="5"/>
      <c r="H445" s="5"/>
      <c r="I445" s="5"/>
      <c r="J445" s="5"/>
      <c r="K445" s="50"/>
      <c r="L445" s="50"/>
      <c r="M445" s="50"/>
      <c r="N445" s="50"/>
      <c r="O445" s="50"/>
      <c r="P445" s="50"/>
      <c r="Q445" s="50"/>
      <c r="R445" s="50"/>
      <c r="S445" s="50"/>
      <c r="T445" s="50"/>
      <c r="U445" s="50"/>
      <c r="V445" s="50"/>
      <c r="W445" s="50"/>
      <c r="X445" s="50"/>
      <c r="Y445" s="50"/>
      <c r="Z445" s="50"/>
      <c r="AA445" s="50"/>
      <c r="AB445" s="50"/>
    </row>
    <row r="446" customFormat="false" ht="15.75" hidden="false" customHeight="false" outlineLevel="0" collapsed="false">
      <c r="A446" s="50"/>
      <c r="B446" s="50"/>
      <c r="C446" s="5"/>
      <c r="D446" s="48"/>
      <c r="E446" s="50"/>
      <c r="F446" s="5"/>
      <c r="G446" s="5"/>
      <c r="H446" s="5"/>
      <c r="I446" s="5"/>
      <c r="J446" s="5"/>
      <c r="K446" s="50"/>
      <c r="L446" s="50"/>
      <c r="M446" s="50"/>
      <c r="N446" s="50"/>
      <c r="O446" s="50"/>
      <c r="P446" s="50"/>
      <c r="Q446" s="50"/>
      <c r="R446" s="50"/>
      <c r="S446" s="50"/>
      <c r="T446" s="50"/>
      <c r="U446" s="50"/>
      <c r="V446" s="50"/>
      <c r="W446" s="50"/>
      <c r="X446" s="50"/>
      <c r="Y446" s="50"/>
      <c r="Z446" s="50"/>
      <c r="AA446" s="50"/>
      <c r="AB446" s="50"/>
    </row>
    <row r="447" customFormat="false" ht="15.75" hidden="false" customHeight="false" outlineLevel="0" collapsed="false">
      <c r="A447" s="50"/>
      <c r="B447" s="50"/>
      <c r="C447" s="5"/>
      <c r="D447" s="48"/>
      <c r="E447" s="50"/>
      <c r="F447" s="5"/>
      <c r="G447" s="5"/>
      <c r="H447" s="5"/>
      <c r="I447" s="5"/>
      <c r="J447" s="5"/>
      <c r="K447" s="50"/>
      <c r="L447" s="50"/>
      <c r="M447" s="50"/>
      <c r="N447" s="50"/>
      <c r="O447" s="50"/>
      <c r="P447" s="50"/>
      <c r="Q447" s="50"/>
      <c r="R447" s="50"/>
      <c r="S447" s="50"/>
      <c r="T447" s="50"/>
      <c r="U447" s="50"/>
      <c r="V447" s="50"/>
      <c r="W447" s="50"/>
      <c r="X447" s="50"/>
      <c r="Y447" s="50"/>
      <c r="Z447" s="50"/>
      <c r="AA447" s="50"/>
      <c r="AB447" s="50"/>
    </row>
    <row r="448" customFormat="false" ht="15.75" hidden="false" customHeight="false" outlineLevel="0" collapsed="false">
      <c r="A448" s="50"/>
      <c r="B448" s="50"/>
      <c r="C448" s="5"/>
      <c r="D448" s="48"/>
      <c r="E448" s="50"/>
      <c r="F448" s="5"/>
      <c r="G448" s="5"/>
      <c r="H448" s="5"/>
      <c r="I448" s="5"/>
      <c r="J448" s="5"/>
      <c r="K448" s="50"/>
      <c r="L448" s="50"/>
      <c r="M448" s="50"/>
      <c r="N448" s="50"/>
      <c r="O448" s="50"/>
      <c r="P448" s="50"/>
      <c r="Q448" s="50"/>
      <c r="R448" s="50"/>
      <c r="S448" s="50"/>
      <c r="T448" s="50"/>
      <c r="U448" s="50"/>
      <c r="V448" s="50"/>
      <c r="W448" s="50"/>
      <c r="X448" s="50"/>
      <c r="Y448" s="50"/>
      <c r="Z448" s="50"/>
      <c r="AA448" s="50"/>
      <c r="AB448" s="50"/>
    </row>
    <row r="449" customFormat="false" ht="15.75" hidden="false" customHeight="false" outlineLevel="0" collapsed="false">
      <c r="A449" s="50"/>
      <c r="B449" s="50"/>
      <c r="C449" s="5"/>
      <c r="D449" s="48"/>
      <c r="E449" s="50"/>
      <c r="F449" s="5"/>
      <c r="G449" s="5"/>
      <c r="H449" s="5"/>
      <c r="I449" s="5"/>
      <c r="J449" s="5"/>
      <c r="K449" s="50"/>
      <c r="L449" s="50"/>
      <c r="M449" s="50"/>
      <c r="N449" s="50"/>
      <c r="O449" s="50"/>
      <c r="P449" s="50"/>
      <c r="Q449" s="50"/>
      <c r="R449" s="50"/>
      <c r="S449" s="50"/>
      <c r="T449" s="50"/>
      <c r="U449" s="50"/>
      <c r="V449" s="50"/>
      <c r="W449" s="50"/>
      <c r="X449" s="50"/>
      <c r="Y449" s="50"/>
      <c r="Z449" s="50"/>
      <c r="AA449" s="50"/>
      <c r="AB449" s="50"/>
    </row>
    <row r="450" customFormat="false" ht="15.75" hidden="false" customHeight="false" outlineLevel="0" collapsed="false">
      <c r="A450" s="50"/>
      <c r="B450" s="50"/>
      <c r="C450" s="5"/>
      <c r="D450" s="48"/>
      <c r="E450" s="50"/>
      <c r="F450" s="5"/>
      <c r="G450" s="5"/>
      <c r="H450" s="5"/>
      <c r="I450" s="5"/>
      <c r="J450" s="5"/>
      <c r="K450" s="50"/>
      <c r="L450" s="50"/>
      <c r="M450" s="50"/>
      <c r="N450" s="50"/>
      <c r="O450" s="50"/>
      <c r="P450" s="50"/>
      <c r="Q450" s="50"/>
      <c r="R450" s="50"/>
      <c r="S450" s="50"/>
      <c r="T450" s="50"/>
      <c r="U450" s="50"/>
      <c r="V450" s="50"/>
      <c r="W450" s="50"/>
      <c r="X450" s="50"/>
      <c r="Y450" s="50"/>
      <c r="Z450" s="50"/>
      <c r="AA450" s="50"/>
      <c r="AB450" s="50"/>
    </row>
    <row r="451" customFormat="false" ht="15.75" hidden="false" customHeight="false" outlineLevel="0" collapsed="false">
      <c r="A451" s="50"/>
      <c r="B451" s="50"/>
      <c r="C451" s="5"/>
      <c r="D451" s="48"/>
      <c r="E451" s="50"/>
      <c r="F451" s="5"/>
      <c r="G451" s="5"/>
      <c r="H451" s="5"/>
      <c r="I451" s="5"/>
      <c r="J451" s="5"/>
      <c r="K451" s="50"/>
      <c r="L451" s="50"/>
      <c r="M451" s="50"/>
      <c r="N451" s="50"/>
      <c r="O451" s="50"/>
      <c r="P451" s="50"/>
      <c r="Q451" s="50"/>
      <c r="R451" s="50"/>
      <c r="S451" s="50"/>
      <c r="T451" s="50"/>
      <c r="U451" s="50"/>
      <c r="V451" s="50"/>
      <c r="W451" s="50"/>
      <c r="X451" s="50"/>
      <c r="Y451" s="50"/>
      <c r="Z451" s="50"/>
      <c r="AA451" s="50"/>
      <c r="AB451" s="50"/>
    </row>
    <row r="452" customFormat="false" ht="15.75" hidden="false" customHeight="false" outlineLevel="0" collapsed="false">
      <c r="A452" s="50"/>
      <c r="B452" s="50"/>
      <c r="C452" s="5"/>
      <c r="D452" s="48"/>
      <c r="E452" s="50"/>
      <c r="F452" s="5"/>
      <c r="G452" s="5"/>
      <c r="H452" s="5"/>
      <c r="I452" s="5"/>
      <c r="J452" s="5"/>
      <c r="K452" s="50"/>
      <c r="L452" s="50"/>
      <c r="M452" s="50"/>
      <c r="N452" s="50"/>
      <c r="O452" s="50"/>
      <c r="P452" s="50"/>
      <c r="Q452" s="50"/>
      <c r="R452" s="50"/>
      <c r="S452" s="50"/>
      <c r="T452" s="50"/>
      <c r="U452" s="50"/>
      <c r="V452" s="50"/>
      <c r="W452" s="50"/>
      <c r="X452" s="50"/>
      <c r="Y452" s="50"/>
      <c r="Z452" s="50"/>
      <c r="AA452" s="50"/>
      <c r="AB452" s="50"/>
    </row>
    <row r="453" customFormat="false" ht="15.75" hidden="false" customHeight="false" outlineLevel="0" collapsed="false">
      <c r="A453" s="50"/>
      <c r="B453" s="50"/>
      <c r="C453" s="5"/>
      <c r="D453" s="48"/>
      <c r="E453" s="50"/>
      <c r="F453" s="5"/>
      <c r="G453" s="5"/>
      <c r="H453" s="5"/>
      <c r="I453" s="5"/>
      <c r="J453" s="5"/>
      <c r="K453" s="50"/>
      <c r="L453" s="50"/>
      <c r="M453" s="50"/>
      <c r="N453" s="50"/>
      <c r="O453" s="50"/>
      <c r="P453" s="50"/>
      <c r="Q453" s="50"/>
      <c r="R453" s="50"/>
      <c r="S453" s="50"/>
      <c r="T453" s="50"/>
      <c r="U453" s="50"/>
      <c r="V453" s="50"/>
      <c r="W453" s="50"/>
      <c r="X453" s="50"/>
      <c r="Y453" s="50"/>
      <c r="Z453" s="50"/>
      <c r="AA453" s="50"/>
      <c r="AB453" s="50"/>
    </row>
    <row r="454" customFormat="false" ht="15.75" hidden="false" customHeight="false" outlineLevel="0" collapsed="false">
      <c r="A454" s="50"/>
      <c r="B454" s="50"/>
      <c r="C454" s="5"/>
      <c r="D454" s="48"/>
      <c r="E454" s="50"/>
      <c r="F454" s="5"/>
      <c r="G454" s="5"/>
      <c r="H454" s="5"/>
      <c r="I454" s="5"/>
      <c r="J454" s="5"/>
      <c r="K454" s="50"/>
      <c r="L454" s="50"/>
      <c r="M454" s="50"/>
      <c r="N454" s="50"/>
      <c r="O454" s="50"/>
      <c r="P454" s="50"/>
      <c r="Q454" s="50"/>
      <c r="R454" s="50"/>
      <c r="S454" s="50"/>
      <c r="T454" s="50"/>
      <c r="U454" s="50"/>
      <c r="V454" s="50"/>
      <c r="W454" s="50"/>
      <c r="X454" s="50"/>
      <c r="Y454" s="50"/>
      <c r="Z454" s="50"/>
      <c r="AA454" s="50"/>
      <c r="AB454" s="50"/>
    </row>
    <row r="455" customFormat="false" ht="15.75" hidden="false" customHeight="false" outlineLevel="0" collapsed="false">
      <c r="A455" s="50"/>
      <c r="B455" s="50"/>
      <c r="C455" s="5"/>
      <c r="D455" s="48"/>
      <c r="E455" s="50"/>
      <c r="F455" s="5"/>
      <c r="G455" s="5"/>
      <c r="H455" s="5"/>
      <c r="I455" s="5"/>
      <c r="J455" s="5"/>
      <c r="K455" s="50"/>
      <c r="L455" s="50"/>
      <c r="M455" s="50"/>
      <c r="N455" s="50"/>
      <c r="O455" s="50"/>
      <c r="P455" s="50"/>
      <c r="Q455" s="50"/>
      <c r="R455" s="50"/>
      <c r="S455" s="50"/>
      <c r="T455" s="50"/>
      <c r="U455" s="50"/>
      <c r="V455" s="50"/>
      <c r="W455" s="50"/>
      <c r="X455" s="50"/>
      <c r="Y455" s="50"/>
      <c r="Z455" s="50"/>
      <c r="AA455" s="50"/>
      <c r="AB455" s="50"/>
    </row>
    <row r="456" customFormat="false" ht="15.75" hidden="false" customHeight="false" outlineLevel="0" collapsed="false">
      <c r="A456" s="50"/>
      <c r="B456" s="50"/>
      <c r="C456" s="5"/>
      <c r="D456" s="48"/>
      <c r="E456" s="50"/>
      <c r="F456" s="5"/>
      <c r="G456" s="5"/>
      <c r="H456" s="5"/>
      <c r="I456" s="5"/>
      <c r="J456" s="5"/>
      <c r="K456" s="50"/>
      <c r="L456" s="50"/>
      <c r="M456" s="50"/>
      <c r="N456" s="50"/>
      <c r="O456" s="50"/>
      <c r="P456" s="50"/>
      <c r="Q456" s="50"/>
      <c r="R456" s="50"/>
      <c r="S456" s="50"/>
      <c r="T456" s="50"/>
      <c r="U456" s="50"/>
      <c r="V456" s="50"/>
      <c r="W456" s="50"/>
      <c r="X456" s="50"/>
      <c r="Y456" s="50"/>
      <c r="Z456" s="50"/>
      <c r="AA456" s="50"/>
      <c r="AB456" s="50"/>
    </row>
    <row r="457" customFormat="false" ht="15.75" hidden="false" customHeight="false" outlineLevel="0" collapsed="false">
      <c r="A457" s="50"/>
      <c r="B457" s="50"/>
      <c r="C457" s="5"/>
      <c r="D457" s="48"/>
      <c r="E457" s="50"/>
      <c r="F457" s="5"/>
      <c r="G457" s="5"/>
      <c r="H457" s="5"/>
      <c r="I457" s="5"/>
      <c r="J457" s="5"/>
      <c r="K457" s="50"/>
      <c r="L457" s="50"/>
      <c r="M457" s="50"/>
      <c r="N457" s="50"/>
      <c r="O457" s="50"/>
      <c r="P457" s="50"/>
      <c r="Q457" s="50"/>
      <c r="R457" s="50"/>
      <c r="S457" s="50"/>
      <c r="T457" s="50"/>
      <c r="U457" s="50"/>
      <c r="V457" s="50"/>
      <c r="W457" s="50"/>
      <c r="X457" s="50"/>
      <c r="Y457" s="50"/>
      <c r="Z457" s="50"/>
      <c r="AA457" s="50"/>
      <c r="AB457" s="50"/>
    </row>
    <row r="458" customFormat="false" ht="15.75" hidden="false" customHeight="false" outlineLevel="0" collapsed="false">
      <c r="A458" s="50"/>
      <c r="B458" s="50"/>
      <c r="C458" s="5"/>
      <c r="D458" s="48"/>
      <c r="E458" s="50"/>
      <c r="F458" s="5"/>
      <c r="G458" s="5"/>
      <c r="H458" s="5"/>
      <c r="I458" s="5"/>
      <c r="J458" s="5"/>
      <c r="K458" s="50"/>
      <c r="L458" s="50"/>
      <c r="M458" s="50"/>
      <c r="N458" s="50"/>
      <c r="O458" s="50"/>
      <c r="P458" s="50"/>
      <c r="Q458" s="50"/>
      <c r="R458" s="50"/>
      <c r="S458" s="50"/>
      <c r="T458" s="50"/>
      <c r="U458" s="50"/>
      <c r="V458" s="50"/>
      <c r="W458" s="50"/>
      <c r="X458" s="50"/>
      <c r="Y458" s="50"/>
      <c r="Z458" s="50"/>
      <c r="AA458" s="50"/>
      <c r="AB458" s="50"/>
    </row>
    <row r="459" customFormat="false" ht="15.75" hidden="false" customHeight="false" outlineLevel="0" collapsed="false">
      <c r="A459" s="50"/>
      <c r="B459" s="50"/>
      <c r="C459" s="5"/>
      <c r="D459" s="48"/>
      <c r="E459" s="50"/>
      <c r="F459" s="5"/>
      <c r="G459" s="5"/>
      <c r="H459" s="5"/>
      <c r="I459" s="5"/>
      <c r="J459" s="5"/>
      <c r="K459" s="50"/>
      <c r="L459" s="50"/>
      <c r="M459" s="50"/>
      <c r="N459" s="50"/>
      <c r="O459" s="50"/>
      <c r="P459" s="50"/>
      <c r="Q459" s="50"/>
      <c r="R459" s="50"/>
      <c r="S459" s="50"/>
      <c r="T459" s="50"/>
      <c r="U459" s="50"/>
      <c r="V459" s="50"/>
      <c r="W459" s="50"/>
      <c r="X459" s="50"/>
      <c r="Y459" s="50"/>
      <c r="Z459" s="50"/>
      <c r="AA459" s="50"/>
      <c r="AB459" s="50"/>
    </row>
    <row r="460" customFormat="false" ht="15.75" hidden="false" customHeight="false" outlineLevel="0" collapsed="false">
      <c r="A460" s="50"/>
      <c r="B460" s="50"/>
      <c r="C460" s="5"/>
      <c r="D460" s="48"/>
      <c r="E460" s="50"/>
      <c r="F460" s="5"/>
      <c r="G460" s="5"/>
      <c r="H460" s="5"/>
      <c r="I460" s="5"/>
      <c r="J460" s="5"/>
      <c r="K460" s="50"/>
      <c r="L460" s="50"/>
      <c r="M460" s="50"/>
      <c r="N460" s="50"/>
      <c r="O460" s="50"/>
      <c r="P460" s="50"/>
      <c r="Q460" s="50"/>
      <c r="R460" s="50"/>
      <c r="S460" s="50"/>
      <c r="T460" s="50"/>
      <c r="U460" s="50"/>
      <c r="V460" s="50"/>
      <c r="W460" s="50"/>
      <c r="X460" s="50"/>
      <c r="Y460" s="50"/>
      <c r="Z460" s="50"/>
      <c r="AA460" s="50"/>
      <c r="AB460" s="50"/>
    </row>
    <row r="461" customFormat="false" ht="15.75" hidden="false" customHeight="false" outlineLevel="0" collapsed="false">
      <c r="A461" s="50"/>
      <c r="B461" s="50"/>
      <c r="C461" s="5"/>
      <c r="D461" s="48"/>
      <c r="E461" s="50"/>
      <c r="F461" s="5"/>
      <c r="G461" s="5"/>
      <c r="H461" s="5"/>
      <c r="I461" s="5"/>
      <c r="J461" s="5"/>
      <c r="K461" s="50"/>
      <c r="L461" s="50"/>
      <c r="M461" s="50"/>
      <c r="N461" s="50"/>
      <c r="O461" s="50"/>
      <c r="P461" s="50"/>
      <c r="Q461" s="50"/>
      <c r="R461" s="50"/>
      <c r="S461" s="50"/>
      <c r="T461" s="50"/>
      <c r="U461" s="50"/>
      <c r="V461" s="50"/>
      <c r="W461" s="50"/>
      <c r="X461" s="50"/>
      <c r="Y461" s="50"/>
      <c r="Z461" s="50"/>
      <c r="AA461" s="50"/>
      <c r="AB461" s="50"/>
    </row>
    <row r="462" customFormat="false" ht="15.75" hidden="false" customHeight="false" outlineLevel="0" collapsed="false">
      <c r="A462" s="50"/>
      <c r="B462" s="50"/>
      <c r="C462" s="5"/>
      <c r="D462" s="48"/>
      <c r="E462" s="50"/>
      <c r="F462" s="5"/>
      <c r="G462" s="5"/>
      <c r="H462" s="5"/>
      <c r="I462" s="5"/>
      <c r="J462" s="5"/>
      <c r="K462" s="50"/>
      <c r="L462" s="50"/>
      <c r="M462" s="50"/>
      <c r="N462" s="50"/>
      <c r="O462" s="50"/>
      <c r="P462" s="50"/>
      <c r="Q462" s="50"/>
      <c r="R462" s="50"/>
      <c r="S462" s="50"/>
      <c r="T462" s="50"/>
      <c r="U462" s="50"/>
      <c r="V462" s="50"/>
      <c r="W462" s="50"/>
      <c r="X462" s="50"/>
      <c r="Y462" s="50"/>
      <c r="Z462" s="50"/>
      <c r="AA462" s="50"/>
      <c r="AB462" s="50"/>
    </row>
    <row r="463" customFormat="false" ht="15.75" hidden="false" customHeight="false" outlineLevel="0" collapsed="false">
      <c r="A463" s="50"/>
      <c r="B463" s="50"/>
      <c r="C463" s="5"/>
      <c r="D463" s="48"/>
      <c r="E463" s="50"/>
      <c r="F463" s="5"/>
      <c r="G463" s="5"/>
      <c r="H463" s="5"/>
      <c r="I463" s="5"/>
      <c r="J463" s="5"/>
      <c r="K463" s="50"/>
      <c r="L463" s="50"/>
      <c r="M463" s="50"/>
      <c r="N463" s="50"/>
      <c r="O463" s="50"/>
      <c r="P463" s="50"/>
      <c r="Q463" s="50"/>
      <c r="R463" s="50"/>
      <c r="S463" s="50"/>
      <c r="T463" s="50"/>
      <c r="U463" s="50"/>
      <c r="V463" s="50"/>
      <c r="W463" s="50"/>
      <c r="X463" s="50"/>
      <c r="Y463" s="50"/>
      <c r="Z463" s="50"/>
      <c r="AA463" s="50"/>
      <c r="AB463" s="50"/>
    </row>
    <row r="464" customFormat="false" ht="15.75" hidden="false" customHeight="false" outlineLevel="0" collapsed="false">
      <c r="A464" s="50"/>
      <c r="B464" s="50"/>
      <c r="C464" s="5"/>
      <c r="D464" s="48"/>
      <c r="E464" s="50"/>
      <c r="F464" s="5"/>
      <c r="G464" s="5"/>
      <c r="H464" s="5"/>
      <c r="I464" s="5"/>
      <c r="J464" s="5"/>
      <c r="K464" s="50"/>
      <c r="L464" s="50"/>
      <c r="M464" s="50"/>
      <c r="N464" s="50"/>
      <c r="O464" s="50"/>
      <c r="P464" s="50"/>
      <c r="Q464" s="50"/>
      <c r="R464" s="50"/>
      <c r="S464" s="50"/>
      <c r="T464" s="50"/>
      <c r="U464" s="50"/>
      <c r="V464" s="50"/>
      <c r="W464" s="50"/>
      <c r="X464" s="50"/>
      <c r="Y464" s="50"/>
      <c r="Z464" s="50"/>
      <c r="AA464" s="50"/>
      <c r="AB464" s="50"/>
    </row>
    <row r="465" customFormat="false" ht="15.75" hidden="false" customHeight="false" outlineLevel="0" collapsed="false">
      <c r="A465" s="50"/>
      <c r="B465" s="50"/>
      <c r="C465" s="5"/>
      <c r="D465" s="48"/>
      <c r="E465" s="50"/>
      <c r="F465" s="5"/>
      <c r="G465" s="5"/>
      <c r="H465" s="5"/>
      <c r="I465" s="5"/>
      <c r="J465" s="5"/>
      <c r="K465" s="50"/>
      <c r="L465" s="50"/>
      <c r="M465" s="50"/>
      <c r="N465" s="50"/>
      <c r="O465" s="50"/>
      <c r="P465" s="50"/>
      <c r="Q465" s="50"/>
      <c r="R465" s="50"/>
      <c r="S465" s="50"/>
      <c r="T465" s="50"/>
      <c r="U465" s="50"/>
      <c r="V465" s="50"/>
      <c r="W465" s="50"/>
      <c r="X465" s="50"/>
      <c r="Y465" s="50"/>
      <c r="Z465" s="50"/>
      <c r="AA465" s="50"/>
      <c r="AB465" s="50"/>
    </row>
    <row r="466" customFormat="false" ht="15.75" hidden="false" customHeight="false" outlineLevel="0" collapsed="false">
      <c r="A466" s="50"/>
      <c r="B466" s="50"/>
      <c r="C466" s="5"/>
      <c r="D466" s="48"/>
      <c r="E466" s="50"/>
      <c r="F466" s="5"/>
      <c r="G466" s="5"/>
      <c r="H466" s="5"/>
      <c r="I466" s="5"/>
      <c r="J466" s="5"/>
      <c r="K466" s="50"/>
      <c r="L466" s="50"/>
      <c r="M466" s="50"/>
      <c r="N466" s="50"/>
      <c r="O466" s="50"/>
      <c r="P466" s="50"/>
      <c r="Q466" s="50"/>
      <c r="R466" s="50"/>
      <c r="S466" s="50"/>
      <c r="T466" s="50"/>
      <c r="U466" s="50"/>
      <c r="V466" s="50"/>
      <c r="W466" s="50"/>
      <c r="X466" s="50"/>
      <c r="Y466" s="50"/>
      <c r="Z466" s="50"/>
      <c r="AA466" s="50"/>
      <c r="AB466" s="50"/>
    </row>
    <row r="467" customFormat="false" ht="15.75" hidden="false" customHeight="false" outlineLevel="0" collapsed="false">
      <c r="A467" s="50"/>
      <c r="B467" s="50"/>
      <c r="C467" s="5"/>
      <c r="D467" s="48"/>
      <c r="E467" s="50"/>
      <c r="F467" s="5"/>
      <c r="G467" s="5"/>
      <c r="H467" s="5"/>
      <c r="I467" s="5"/>
      <c r="J467" s="5"/>
      <c r="K467" s="50"/>
      <c r="L467" s="50"/>
      <c r="M467" s="50"/>
      <c r="N467" s="50"/>
      <c r="O467" s="50"/>
      <c r="P467" s="50"/>
      <c r="Q467" s="50"/>
      <c r="R467" s="50"/>
      <c r="S467" s="50"/>
      <c r="T467" s="50"/>
      <c r="U467" s="50"/>
      <c r="V467" s="50"/>
      <c r="W467" s="50"/>
      <c r="X467" s="50"/>
      <c r="Y467" s="50"/>
      <c r="Z467" s="50"/>
      <c r="AA467" s="50"/>
      <c r="AB467" s="50"/>
    </row>
    <row r="468" customFormat="false" ht="15.75" hidden="false" customHeight="false" outlineLevel="0" collapsed="false">
      <c r="A468" s="50"/>
      <c r="B468" s="50"/>
      <c r="C468" s="5"/>
      <c r="D468" s="48"/>
      <c r="E468" s="50"/>
      <c r="F468" s="5"/>
      <c r="G468" s="5"/>
      <c r="H468" s="5"/>
      <c r="I468" s="5"/>
      <c r="J468" s="5"/>
      <c r="K468" s="50"/>
      <c r="L468" s="50"/>
      <c r="M468" s="50"/>
      <c r="N468" s="50"/>
      <c r="O468" s="50"/>
      <c r="P468" s="50"/>
      <c r="Q468" s="50"/>
      <c r="R468" s="50"/>
      <c r="S468" s="50"/>
      <c r="T468" s="50"/>
      <c r="U468" s="50"/>
      <c r="V468" s="50"/>
      <c r="W468" s="50"/>
      <c r="X468" s="50"/>
      <c r="Y468" s="50"/>
      <c r="Z468" s="50"/>
      <c r="AA468" s="50"/>
      <c r="AB468" s="50"/>
    </row>
    <row r="469" customFormat="false" ht="15.75" hidden="false" customHeight="false" outlineLevel="0" collapsed="false">
      <c r="A469" s="50"/>
      <c r="B469" s="50"/>
      <c r="C469" s="5"/>
      <c r="D469" s="48"/>
      <c r="E469" s="50"/>
      <c r="F469" s="5"/>
      <c r="G469" s="5"/>
      <c r="H469" s="5"/>
      <c r="I469" s="5"/>
      <c r="J469" s="5"/>
      <c r="K469" s="50"/>
      <c r="L469" s="50"/>
      <c r="M469" s="50"/>
      <c r="N469" s="50"/>
      <c r="O469" s="50"/>
      <c r="P469" s="50"/>
      <c r="Q469" s="50"/>
      <c r="R469" s="50"/>
      <c r="S469" s="50"/>
      <c r="T469" s="50"/>
      <c r="U469" s="50"/>
      <c r="V469" s="50"/>
      <c r="W469" s="50"/>
      <c r="X469" s="50"/>
      <c r="Y469" s="50"/>
      <c r="Z469" s="50"/>
      <c r="AA469" s="50"/>
      <c r="AB469" s="50"/>
    </row>
    <row r="470" customFormat="false" ht="15.75" hidden="false" customHeight="false" outlineLevel="0" collapsed="false">
      <c r="A470" s="50"/>
      <c r="B470" s="50"/>
      <c r="C470" s="5"/>
      <c r="D470" s="48"/>
      <c r="E470" s="50"/>
      <c r="F470" s="5"/>
      <c r="G470" s="5"/>
      <c r="H470" s="5"/>
      <c r="I470" s="5"/>
      <c r="J470" s="5"/>
      <c r="K470" s="50"/>
      <c r="L470" s="50"/>
      <c r="M470" s="50"/>
      <c r="N470" s="50"/>
      <c r="O470" s="50"/>
      <c r="P470" s="50"/>
      <c r="Q470" s="50"/>
      <c r="R470" s="50"/>
      <c r="S470" s="50"/>
      <c r="T470" s="50"/>
      <c r="U470" s="50"/>
      <c r="V470" s="50"/>
      <c r="W470" s="50"/>
      <c r="X470" s="50"/>
      <c r="Y470" s="50"/>
      <c r="Z470" s="50"/>
      <c r="AA470" s="50"/>
      <c r="AB470" s="50"/>
    </row>
    <row r="471" customFormat="false" ht="15.75" hidden="false" customHeight="false" outlineLevel="0" collapsed="false">
      <c r="A471" s="50"/>
      <c r="B471" s="50"/>
      <c r="C471" s="5"/>
      <c r="D471" s="48"/>
      <c r="E471" s="50"/>
      <c r="F471" s="5"/>
      <c r="G471" s="5"/>
      <c r="H471" s="5"/>
      <c r="I471" s="5"/>
      <c r="J471" s="5"/>
      <c r="K471" s="50"/>
      <c r="L471" s="50"/>
      <c r="M471" s="50"/>
      <c r="N471" s="50"/>
      <c r="O471" s="50"/>
      <c r="P471" s="50"/>
      <c r="Q471" s="50"/>
      <c r="R471" s="50"/>
      <c r="S471" s="50"/>
      <c r="T471" s="50"/>
      <c r="U471" s="50"/>
      <c r="V471" s="50"/>
      <c r="W471" s="50"/>
      <c r="X471" s="50"/>
      <c r="Y471" s="50"/>
      <c r="Z471" s="50"/>
      <c r="AA471" s="50"/>
      <c r="AB471" s="50"/>
    </row>
    <row r="472" customFormat="false" ht="15.75" hidden="false" customHeight="false" outlineLevel="0" collapsed="false">
      <c r="A472" s="50"/>
      <c r="B472" s="50"/>
      <c r="C472" s="5"/>
      <c r="D472" s="48"/>
      <c r="E472" s="50"/>
      <c r="F472" s="5"/>
      <c r="G472" s="5"/>
      <c r="H472" s="5"/>
      <c r="I472" s="5"/>
      <c r="J472" s="5"/>
      <c r="K472" s="50"/>
      <c r="L472" s="50"/>
      <c r="M472" s="50"/>
      <c r="N472" s="50"/>
      <c r="O472" s="50"/>
      <c r="P472" s="50"/>
      <c r="Q472" s="50"/>
      <c r="R472" s="50"/>
      <c r="S472" s="50"/>
      <c r="T472" s="50"/>
      <c r="U472" s="50"/>
      <c r="V472" s="50"/>
      <c r="W472" s="50"/>
      <c r="X472" s="50"/>
      <c r="Y472" s="50"/>
      <c r="Z472" s="50"/>
      <c r="AA472" s="50"/>
      <c r="AB472" s="50"/>
    </row>
    <row r="473" customFormat="false" ht="15.75" hidden="false" customHeight="false" outlineLevel="0" collapsed="false">
      <c r="A473" s="50"/>
      <c r="B473" s="50"/>
      <c r="C473" s="5"/>
      <c r="D473" s="48"/>
      <c r="E473" s="50"/>
      <c r="F473" s="5"/>
      <c r="G473" s="5"/>
      <c r="H473" s="5"/>
      <c r="I473" s="5"/>
      <c r="J473" s="5"/>
      <c r="K473" s="50"/>
      <c r="L473" s="50"/>
      <c r="M473" s="50"/>
      <c r="N473" s="50"/>
      <c r="O473" s="50"/>
      <c r="P473" s="50"/>
      <c r="Q473" s="50"/>
      <c r="R473" s="50"/>
      <c r="S473" s="50"/>
      <c r="T473" s="50"/>
      <c r="U473" s="50"/>
      <c r="V473" s="50"/>
      <c r="W473" s="50"/>
      <c r="X473" s="50"/>
      <c r="Y473" s="50"/>
      <c r="Z473" s="50"/>
      <c r="AA473" s="50"/>
      <c r="AB473" s="50"/>
    </row>
    <row r="474" customFormat="false" ht="15.75" hidden="false" customHeight="false" outlineLevel="0" collapsed="false">
      <c r="A474" s="50"/>
      <c r="B474" s="50"/>
      <c r="C474" s="5"/>
      <c r="D474" s="48"/>
      <c r="E474" s="50"/>
      <c r="F474" s="5"/>
      <c r="G474" s="5"/>
      <c r="H474" s="5"/>
      <c r="I474" s="5"/>
      <c r="J474" s="5"/>
      <c r="K474" s="50"/>
      <c r="L474" s="50"/>
      <c r="M474" s="50"/>
      <c r="N474" s="50"/>
      <c r="O474" s="50"/>
      <c r="P474" s="50"/>
      <c r="Q474" s="50"/>
      <c r="R474" s="50"/>
      <c r="S474" s="50"/>
      <c r="T474" s="50"/>
      <c r="U474" s="50"/>
      <c r="V474" s="50"/>
      <c r="W474" s="50"/>
      <c r="X474" s="50"/>
      <c r="Y474" s="50"/>
      <c r="Z474" s="50"/>
      <c r="AA474" s="50"/>
      <c r="AB474" s="50"/>
    </row>
    <row r="475" customFormat="false" ht="15.75" hidden="false" customHeight="false" outlineLevel="0" collapsed="false">
      <c r="A475" s="50"/>
      <c r="B475" s="50"/>
      <c r="C475" s="5"/>
      <c r="D475" s="48"/>
      <c r="E475" s="50"/>
      <c r="F475" s="5"/>
      <c r="G475" s="5"/>
      <c r="H475" s="5"/>
      <c r="I475" s="5"/>
      <c r="J475" s="5"/>
      <c r="K475" s="50"/>
      <c r="L475" s="50"/>
      <c r="M475" s="50"/>
      <c r="N475" s="50"/>
      <c r="O475" s="50"/>
      <c r="P475" s="50"/>
      <c r="Q475" s="50"/>
      <c r="R475" s="50"/>
      <c r="S475" s="50"/>
      <c r="T475" s="50"/>
      <c r="U475" s="50"/>
      <c r="V475" s="50"/>
      <c r="W475" s="50"/>
      <c r="X475" s="50"/>
      <c r="Y475" s="50"/>
      <c r="Z475" s="50"/>
      <c r="AA475" s="50"/>
      <c r="AB475" s="50"/>
    </row>
    <row r="476" customFormat="false" ht="15.75" hidden="false" customHeight="false" outlineLevel="0" collapsed="false">
      <c r="A476" s="50"/>
      <c r="B476" s="50"/>
      <c r="C476" s="5"/>
      <c r="D476" s="48"/>
      <c r="E476" s="50"/>
      <c r="F476" s="5"/>
      <c r="G476" s="5"/>
      <c r="H476" s="5"/>
      <c r="I476" s="5"/>
      <c r="J476" s="5"/>
      <c r="K476" s="50"/>
      <c r="L476" s="50"/>
      <c r="M476" s="50"/>
      <c r="N476" s="50"/>
      <c r="O476" s="50"/>
      <c r="P476" s="50"/>
      <c r="Q476" s="50"/>
      <c r="R476" s="50"/>
      <c r="S476" s="50"/>
      <c r="T476" s="50"/>
      <c r="U476" s="50"/>
      <c r="V476" s="50"/>
      <c r="W476" s="50"/>
      <c r="X476" s="50"/>
      <c r="Y476" s="50"/>
      <c r="Z476" s="50"/>
      <c r="AA476" s="50"/>
      <c r="AB476" s="50"/>
    </row>
    <row r="477" customFormat="false" ht="15.75" hidden="false" customHeight="false" outlineLevel="0" collapsed="false">
      <c r="A477" s="50"/>
      <c r="B477" s="50"/>
      <c r="C477" s="5"/>
      <c r="D477" s="48"/>
      <c r="E477" s="50"/>
      <c r="F477" s="5"/>
      <c r="G477" s="5"/>
      <c r="H477" s="5"/>
      <c r="I477" s="5"/>
      <c r="J477" s="5"/>
      <c r="K477" s="50"/>
      <c r="L477" s="50"/>
      <c r="M477" s="50"/>
      <c r="N477" s="50"/>
      <c r="O477" s="50"/>
      <c r="P477" s="50"/>
      <c r="Q477" s="50"/>
      <c r="R477" s="50"/>
      <c r="S477" s="50"/>
      <c r="T477" s="50"/>
      <c r="U477" s="50"/>
      <c r="V477" s="50"/>
      <c r="W477" s="50"/>
      <c r="X477" s="50"/>
      <c r="Y477" s="50"/>
      <c r="Z477" s="50"/>
      <c r="AA477" s="50"/>
      <c r="AB477" s="50"/>
    </row>
    <row r="478" customFormat="false" ht="15.75" hidden="false" customHeight="false" outlineLevel="0" collapsed="false">
      <c r="A478" s="50"/>
      <c r="B478" s="50"/>
      <c r="C478" s="5"/>
      <c r="D478" s="48"/>
      <c r="E478" s="50"/>
      <c r="F478" s="5"/>
      <c r="G478" s="5"/>
      <c r="H478" s="5"/>
      <c r="I478" s="5"/>
      <c r="J478" s="5"/>
      <c r="K478" s="50"/>
      <c r="L478" s="50"/>
      <c r="M478" s="50"/>
      <c r="N478" s="50"/>
      <c r="O478" s="50"/>
      <c r="P478" s="50"/>
      <c r="Q478" s="50"/>
      <c r="R478" s="50"/>
      <c r="S478" s="50"/>
      <c r="T478" s="50"/>
      <c r="U478" s="50"/>
      <c r="V478" s="50"/>
      <c r="W478" s="50"/>
      <c r="X478" s="50"/>
      <c r="Y478" s="50"/>
      <c r="Z478" s="50"/>
      <c r="AA478" s="50"/>
      <c r="AB478" s="50"/>
    </row>
    <row r="479" customFormat="false" ht="15.75" hidden="false" customHeight="false" outlineLevel="0" collapsed="false">
      <c r="A479" s="50"/>
      <c r="B479" s="50"/>
      <c r="C479" s="5"/>
      <c r="D479" s="48"/>
      <c r="E479" s="50"/>
      <c r="F479" s="5"/>
      <c r="G479" s="5"/>
      <c r="H479" s="5"/>
      <c r="I479" s="5"/>
      <c r="J479" s="5"/>
      <c r="K479" s="50"/>
      <c r="L479" s="50"/>
      <c r="M479" s="50"/>
      <c r="N479" s="50"/>
      <c r="O479" s="50"/>
      <c r="P479" s="50"/>
      <c r="Q479" s="50"/>
      <c r="R479" s="50"/>
      <c r="S479" s="50"/>
      <c r="T479" s="50"/>
      <c r="U479" s="50"/>
      <c r="V479" s="50"/>
      <c r="W479" s="50"/>
      <c r="X479" s="50"/>
      <c r="Y479" s="50"/>
      <c r="Z479" s="50"/>
      <c r="AA479" s="50"/>
      <c r="AB479" s="50"/>
    </row>
    <row r="480" customFormat="false" ht="15.75" hidden="false" customHeight="false" outlineLevel="0" collapsed="false">
      <c r="A480" s="50"/>
      <c r="B480" s="50"/>
      <c r="C480" s="5"/>
      <c r="D480" s="48"/>
      <c r="E480" s="50"/>
      <c r="F480" s="5"/>
      <c r="G480" s="5"/>
      <c r="H480" s="5"/>
      <c r="I480" s="5"/>
      <c r="J480" s="5"/>
      <c r="K480" s="50"/>
      <c r="L480" s="50"/>
      <c r="M480" s="50"/>
      <c r="N480" s="50"/>
      <c r="O480" s="50"/>
      <c r="P480" s="50"/>
      <c r="Q480" s="50"/>
      <c r="R480" s="50"/>
      <c r="S480" s="50"/>
      <c r="T480" s="50"/>
      <c r="U480" s="50"/>
      <c r="V480" s="50"/>
      <c r="W480" s="50"/>
      <c r="X480" s="50"/>
      <c r="Y480" s="50"/>
      <c r="Z480" s="50"/>
      <c r="AA480" s="50"/>
      <c r="AB480" s="50"/>
    </row>
    <row r="481" customFormat="false" ht="15.75" hidden="false" customHeight="false" outlineLevel="0" collapsed="false">
      <c r="A481" s="50"/>
      <c r="B481" s="50"/>
      <c r="C481" s="5"/>
      <c r="D481" s="48"/>
      <c r="E481" s="50"/>
      <c r="F481" s="5"/>
      <c r="G481" s="5"/>
      <c r="H481" s="5"/>
      <c r="I481" s="5"/>
      <c r="J481" s="5"/>
      <c r="K481" s="50"/>
      <c r="L481" s="50"/>
      <c r="M481" s="50"/>
      <c r="N481" s="50"/>
      <c r="O481" s="50"/>
      <c r="P481" s="50"/>
      <c r="Q481" s="50"/>
      <c r="R481" s="50"/>
      <c r="S481" s="50"/>
      <c r="T481" s="50"/>
      <c r="U481" s="50"/>
      <c r="V481" s="50"/>
      <c r="W481" s="50"/>
      <c r="X481" s="50"/>
      <c r="Y481" s="50"/>
      <c r="Z481" s="50"/>
      <c r="AA481" s="50"/>
      <c r="AB481" s="50"/>
    </row>
    <row r="482" customFormat="false" ht="15.75" hidden="false" customHeight="false" outlineLevel="0" collapsed="false">
      <c r="A482" s="50"/>
      <c r="B482" s="50"/>
      <c r="C482" s="5"/>
      <c r="D482" s="48"/>
      <c r="E482" s="50"/>
      <c r="F482" s="5"/>
      <c r="G482" s="5"/>
      <c r="H482" s="5"/>
      <c r="I482" s="5"/>
      <c r="J482" s="5"/>
      <c r="K482" s="50"/>
      <c r="L482" s="50"/>
      <c r="M482" s="50"/>
      <c r="N482" s="50"/>
      <c r="O482" s="50"/>
      <c r="P482" s="50"/>
      <c r="Q482" s="50"/>
      <c r="R482" s="50"/>
      <c r="S482" s="50"/>
      <c r="T482" s="50"/>
      <c r="U482" s="50"/>
      <c r="V482" s="50"/>
      <c r="W482" s="50"/>
      <c r="X482" s="50"/>
      <c r="Y482" s="50"/>
      <c r="Z482" s="50"/>
      <c r="AA482" s="50"/>
      <c r="AB482" s="50"/>
    </row>
    <row r="483" customFormat="false" ht="15.75" hidden="false" customHeight="false" outlineLevel="0" collapsed="false">
      <c r="A483" s="50"/>
      <c r="B483" s="50"/>
      <c r="C483" s="5"/>
      <c r="D483" s="48"/>
      <c r="E483" s="50"/>
      <c r="F483" s="5"/>
      <c r="G483" s="5"/>
      <c r="H483" s="5"/>
      <c r="I483" s="5"/>
      <c r="J483" s="5"/>
      <c r="K483" s="50"/>
      <c r="L483" s="50"/>
      <c r="M483" s="50"/>
      <c r="N483" s="50"/>
      <c r="O483" s="50"/>
      <c r="P483" s="50"/>
      <c r="Q483" s="50"/>
      <c r="R483" s="50"/>
      <c r="S483" s="50"/>
      <c r="T483" s="50"/>
      <c r="U483" s="50"/>
      <c r="V483" s="50"/>
      <c r="W483" s="50"/>
      <c r="X483" s="50"/>
      <c r="Y483" s="50"/>
      <c r="Z483" s="50"/>
      <c r="AA483" s="50"/>
      <c r="AB483" s="50"/>
    </row>
    <row r="484" customFormat="false" ht="15.75" hidden="false" customHeight="false" outlineLevel="0" collapsed="false">
      <c r="A484" s="50"/>
      <c r="B484" s="50"/>
      <c r="C484" s="5"/>
      <c r="D484" s="48"/>
      <c r="E484" s="50"/>
      <c r="F484" s="5"/>
      <c r="G484" s="5"/>
      <c r="H484" s="5"/>
      <c r="I484" s="5"/>
      <c r="J484" s="5"/>
      <c r="K484" s="50"/>
      <c r="L484" s="50"/>
      <c r="M484" s="50"/>
      <c r="N484" s="50"/>
      <c r="O484" s="50"/>
      <c r="P484" s="50"/>
      <c r="Q484" s="50"/>
      <c r="R484" s="50"/>
      <c r="S484" s="50"/>
      <c r="T484" s="50"/>
      <c r="U484" s="50"/>
      <c r="V484" s="50"/>
      <c r="W484" s="50"/>
      <c r="X484" s="50"/>
      <c r="Y484" s="50"/>
      <c r="Z484" s="50"/>
      <c r="AA484" s="50"/>
      <c r="AB484" s="50"/>
    </row>
    <row r="485" customFormat="false" ht="15.75" hidden="false" customHeight="false" outlineLevel="0" collapsed="false">
      <c r="A485" s="50"/>
      <c r="B485" s="50"/>
      <c r="C485" s="5"/>
      <c r="D485" s="48"/>
      <c r="E485" s="50"/>
      <c r="F485" s="5"/>
      <c r="G485" s="5"/>
      <c r="H485" s="5"/>
      <c r="I485" s="5"/>
      <c r="J485" s="5"/>
      <c r="K485" s="50"/>
      <c r="L485" s="50"/>
      <c r="M485" s="50"/>
      <c r="N485" s="50"/>
      <c r="O485" s="50"/>
      <c r="P485" s="50"/>
      <c r="Q485" s="50"/>
      <c r="R485" s="50"/>
      <c r="S485" s="50"/>
      <c r="T485" s="50"/>
      <c r="U485" s="50"/>
      <c r="V485" s="50"/>
      <c r="W485" s="50"/>
      <c r="X485" s="50"/>
      <c r="Y485" s="50"/>
      <c r="Z485" s="50"/>
      <c r="AA485" s="50"/>
      <c r="AB485" s="50"/>
    </row>
    <row r="486" customFormat="false" ht="15.75" hidden="false" customHeight="false" outlineLevel="0" collapsed="false">
      <c r="A486" s="50"/>
      <c r="B486" s="50"/>
      <c r="C486" s="5"/>
      <c r="D486" s="48"/>
      <c r="E486" s="50"/>
      <c r="F486" s="5"/>
      <c r="G486" s="5"/>
      <c r="H486" s="5"/>
      <c r="I486" s="5"/>
      <c r="J486" s="5"/>
      <c r="K486" s="50"/>
      <c r="L486" s="50"/>
      <c r="M486" s="50"/>
      <c r="N486" s="50"/>
      <c r="O486" s="50"/>
      <c r="P486" s="50"/>
      <c r="Q486" s="50"/>
      <c r="R486" s="50"/>
      <c r="S486" s="50"/>
      <c r="T486" s="50"/>
      <c r="U486" s="50"/>
      <c r="V486" s="50"/>
      <c r="W486" s="50"/>
      <c r="X486" s="50"/>
      <c r="Y486" s="50"/>
      <c r="Z486" s="50"/>
      <c r="AA486" s="50"/>
      <c r="AB486" s="50"/>
    </row>
    <row r="487" customFormat="false" ht="15.75" hidden="false" customHeight="false" outlineLevel="0" collapsed="false">
      <c r="A487" s="50"/>
      <c r="B487" s="50"/>
      <c r="C487" s="5"/>
      <c r="D487" s="48"/>
      <c r="E487" s="50"/>
      <c r="F487" s="5"/>
      <c r="G487" s="5"/>
      <c r="H487" s="5"/>
      <c r="I487" s="5"/>
      <c r="J487" s="5"/>
      <c r="K487" s="50"/>
      <c r="L487" s="50"/>
      <c r="M487" s="50"/>
      <c r="N487" s="50"/>
      <c r="O487" s="50"/>
      <c r="P487" s="50"/>
      <c r="Q487" s="50"/>
      <c r="R487" s="50"/>
      <c r="S487" s="50"/>
      <c r="T487" s="50"/>
      <c r="U487" s="50"/>
      <c r="V487" s="50"/>
      <c r="W487" s="50"/>
      <c r="X487" s="50"/>
      <c r="Y487" s="50"/>
      <c r="Z487" s="50"/>
      <c r="AA487" s="50"/>
      <c r="AB487" s="50"/>
    </row>
    <row r="488" customFormat="false" ht="15.75" hidden="false" customHeight="false" outlineLevel="0" collapsed="false">
      <c r="A488" s="50"/>
      <c r="B488" s="50"/>
      <c r="C488" s="5"/>
      <c r="D488" s="48"/>
      <c r="E488" s="50"/>
      <c r="F488" s="5"/>
      <c r="G488" s="5"/>
      <c r="H488" s="5"/>
      <c r="I488" s="5"/>
      <c r="J488" s="5"/>
      <c r="K488" s="50"/>
      <c r="L488" s="50"/>
      <c r="M488" s="50"/>
      <c r="N488" s="50"/>
      <c r="O488" s="50"/>
      <c r="P488" s="50"/>
      <c r="Q488" s="50"/>
      <c r="R488" s="50"/>
      <c r="S488" s="50"/>
      <c r="T488" s="50"/>
      <c r="U488" s="50"/>
      <c r="V488" s="50"/>
      <c r="W488" s="50"/>
      <c r="X488" s="50"/>
      <c r="Y488" s="50"/>
      <c r="Z488" s="50"/>
      <c r="AA488" s="50"/>
      <c r="AB488" s="50"/>
    </row>
    <row r="489" customFormat="false" ht="15.75" hidden="false" customHeight="false" outlineLevel="0" collapsed="false">
      <c r="A489" s="50"/>
      <c r="B489" s="50"/>
      <c r="C489" s="5"/>
      <c r="D489" s="48"/>
      <c r="E489" s="50"/>
      <c r="F489" s="5"/>
      <c r="G489" s="5"/>
      <c r="H489" s="5"/>
      <c r="I489" s="5"/>
      <c r="J489" s="5"/>
      <c r="K489" s="50"/>
      <c r="L489" s="50"/>
      <c r="M489" s="50"/>
      <c r="N489" s="50"/>
      <c r="O489" s="50"/>
      <c r="P489" s="50"/>
      <c r="Q489" s="50"/>
      <c r="R489" s="50"/>
      <c r="S489" s="50"/>
      <c r="T489" s="50"/>
      <c r="U489" s="50"/>
      <c r="V489" s="50"/>
      <c r="W489" s="50"/>
      <c r="X489" s="50"/>
      <c r="Y489" s="50"/>
      <c r="Z489" s="50"/>
      <c r="AA489" s="50"/>
      <c r="AB489" s="50"/>
    </row>
    <row r="490" customFormat="false" ht="15.75" hidden="false" customHeight="false" outlineLevel="0" collapsed="false">
      <c r="A490" s="50"/>
      <c r="B490" s="50"/>
      <c r="C490" s="5"/>
      <c r="D490" s="48"/>
      <c r="E490" s="50"/>
      <c r="F490" s="5"/>
      <c r="G490" s="5"/>
      <c r="H490" s="5"/>
      <c r="I490" s="5"/>
      <c r="J490" s="5"/>
      <c r="K490" s="50"/>
      <c r="L490" s="50"/>
      <c r="M490" s="50"/>
      <c r="N490" s="50"/>
      <c r="O490" s="50"/>
      <c r="P490" s="50"/>
      <c r="Q490" s="50"/>
      <c r="R490" s="50"/>
      <c r="S490" s="50"/>
      <c r="T490" s="50"/>
      <c r="U490" s="50"/>
      <c r="V490" s="50"/>
      <c r="W490" s="50"/>
      <c r="X490" s="50"/>
      <c r="Y490" s="50"/>
      <c r="Z490" s="50"/>
      <c r="AA490" s="50"/>
      <c r="AB490" s="50"/>
    </row>
    <row r="491" customFormat="false" ht="15.75" hidden="false" customHeight="false" outlineLevel="0" collapsed="false">
      <c r="A491" s="50"/>
      <c r="B491" s="50"/>
      <c r="C491" s="5"/>
      <c r="D491" s="48"/>
      <c r="E491" s="50"/>
      <c r="F491" s="5"/>
      <c r="G491" s="5"/>
      <c r="H491" s="5"/>
      <c r="I491" s="5"/>
      <c r="J491" s="5"/>
      <c r="K491" s="50"/>
      <c r="L491" s="50"/>
      <c r="M491" s="50"/>
      <c r="N491" s="50"/>
      <c r="O491" s="50"/>
      <c r="P491" s="50"/>
      <c r="Q491" s="50"/>
      <c r="R491" s="50"/>
      <c r="S491" s="50"/>
      <c r="T491" s="50"/>
      <c r="U491" s="50"/>
      <c r="V491" s="50"/>
      <c r="W491" s="50"/>
      <c r="X491" s="50"/>
      <c r="Y491" s="50"/>
      <c r="Z491" s="50"/>
      <c r="AA491" s="50"/>
      <c r="AB491" s="50"/>
    </row>
    <row r="492" customFormat="false" ht="15.75" hidden="false" customHeight="false" outlineLevel="0" collapsed="false">
      <c r="A492" s="50"/>
      <c r="B492" s="50"/>
      <c r="C492" s="5"/>
      <c r="D492" s="48"/>
      <c r="E492" s="50"/>
      <c r="F492" s="5"/>
      <c r="G492" s="5"/>
      <c r="H492" s="5"/>
      <c r="I492" s="5"/>
      <c r="J492" s="5"/>
      <c r="K492" s="50"/>
      <c r="L492" s="50"/>
      <c r="M492" s="50"/>
      <c r="N492" s="50"/>
      <c r="O492" s="50"/>
      <c r="P492" s="50"/>
      <c r="Q492" s="50"/>
      <c r="R492" s="50"/>
      <c r="S492" s="50"/>
      <c r="T492" s="50"/>
      <c r="U492" s="50"/>
      <c r="V492" s="50"/>
      <c r="W492" s="50"/>
      <c r="X492" s="50"/>
      <c r="Y492" s="50"/>
      <c r="Z492" s="50"/>
      <c r="AA492" s="50"/>
      <c r="AB492" s="50"/>
    </row>
    <row r="493" customFormat="false" ht="15.75" hidden="false" customHeight="false" outlineLevel="0" collapsed="false">
      <c r="A493" s="50"/>
      <c r="B493" s="50"/>
      <c r="C493" s="5"/>
      <c r="D493" s="48"/>
      <c r="E493" s="50"/>
      <c r="F493" s="5"/>
      <c r="G493" s="5"/>
      <c r="H493" s="5"/>
      <c r="I493" s="5"/>
      <c r="J493" s="5"/>
      <c r="K493" s="50"/>
      <c r="L493" s="50"/>
      <c r="M493" s="50"/>
      <c r="N493" s="50"/>
      <c r="O493" s="50"/>
      <c r="P493" s="50"/>
      <c r="Q493" s="50"/>
      <c r="R493" s="50"/>
      <c r="S493" s="50"/>
      <c r="T493" s="50"/>
      <c r="U493" s="50"/>
      <c r="V493" s="50"/>
      <c r="W493" s="50"/>
      <c r="X493" s="50"/>
      <c r="Y493" s="50"/>
      <c r="Z493" s="50"/>
      <c r="AA493" s="50"/>
      <c r="AB493" s="50"/>
    </row>
    <row r="494" customFormat="false" ht="15.75" hidden="false" customHeight="false" outlineLevel="0" collapsed="false">
      <c r="A494" s="50"/>
      <c r="B494" s="50"/>
      <c r="C494" s="5"/>
      <c r="D494" s="48"/>
      <c r="E494" s="50"/>
      <c r="F494" s="5"/>
      <c r="G494" s="5"/>
      <c r="H494" s="5"/>
      <c r="I494" s="5"/>
      <c r="J494" s="5"/>
      <c r="K494" s="50"/>
      <c r="L494" s="50"/>
      <c r="M494" s="50"/>
      <c r="N494" s="50"/>
      <c r="O494" s="50"/>
      <c r="P494" s="50"/>
      <c r="Q494" s="50"/>
      <c r="R494" s="50"/>
      <c r="S494" s="50"/>
      <c r="T494" s="50"/>
      <c r="U494" s="50"/>
      <c r="V494" s="50"/>
      <c r="W494" s="50"/>
      <c r="X494" s="50"/>
      <c r="Y494" s="50"/>
      <c r="Z494" s="50"/>
      <c r="AA494" s="50"/>
      <c r="AB494" s="50"/>
    </row>
    <row r="495" customFormat="false" ht="15.75" hidden="false" customHeight="false" outlineLevel="0" collapsed="false">
      <c r="A495" s="50"/>
      <c r="B495" s="50"/>
      <c r="C495" s="5"/>
      <c r="D495" s="48"/>
      <c r="E495" s="50"/>
      <c r="F495" s="5"/>
      <c r="G495" s="5"/>
      <c r="H495" s="5"/>
      <c r="I495" s="5"/>
      <c r="J495" s="5"/>
      <c r="K495" s="50"/>
      <c r="L495" s="50"/>
      <c r="M495" s="50"/>
      <c r="N495" s="50"/>
      <c r="O495" s="50"/>
      <c r="P495" s="50"/>
      <c r="Q495" s="50"/>
      <c r="R495" s="50"/>
      <c r="S495" s="50"/>
      <c r="T495" s="50"/>
      <c r="U495" s="50"/>
      <c r="V495" s="50"/>
      <c r="W495" s="50"/>
      <c r="X495" s="50"/>
      <c r="Y495" s="50"/>
      <c r="Z495" s="50"/>
      <c r="AA495" s="50"/>
      <c r="AB495" s="50"/>
    </row>
    <row r="496" customFormat="false" ht="15.75" hidden="false" customHeight="false" outlineLevel="0" collapsed="false">
      <c r="A496" s="50"/>
      <c r="B496" s="50"/>
      <c r="C496" s="5"/>
      <c r="D496" s="48"/>
      <c r="E496" s="50"/>
      <c r="F496" s="5"/>
      <c r="G496" s="5"/>
      <c r="H496" s="5"/>
      <c r="I496" s="5"/>
      <c r="J496" s="5"/>
      <c r="K496" s="50"/>
      <c r="L496" s="50"/>
      <c r="M496" s="50"/>
      <c r="N496" s="50"/>
      <c r="O496" s="50"/>
      <c r="P496" s="50"/>
      <c r="Q496" s="50"/>
      <c r="R496" s="50"/>
      <c r="S496" s="50"/>
      <c r="T496" s="50"/>
      <c r="U496" s="50"/>
      <c r="V496" s="50"/>
      <c r="W496" s="50"/>
      <c r="X496" s="50"/>
      <c r="Y496" s="50"/>
      <c r="Z496" s="50"/>
      <c r="AA496" s="50"/>
      <c r="AB496" s="50"/>
    </row>
    <row r="497" customFormat="false" ht="15.75" hidden="false" customHeight="false" outlineLevel="0" collapsed="false">
      <c r="A497" s="50"/>
      <c r="B497" s="50"/>
      <c r="C497" s="5"/>
      <c r="D497" s="48"/>
      <c r="E497" s="50"/>
      <c r="F497" s="5"/>
      <c r="G497" s="5"/>
      <c r="H497" s="5"/>
      <c r="I497" s="5"/>
      <c r="J497" s="5"/>
      <c r="K497" s="50"/>
      <c r="L497" s="50"/>
      <c r="M497" s="50"/>
      <c r="N497" s="50"/>
      <c r="O497" s="50"/>
      <c r="P497" s="50"/>
      <c r="Q497" s="50"/>
      <c r="R497" s="50"/>
      <c r="S497" s="50"/>
      <c r="T497" s="50"/>
      <c r="U497" s="50"/>
      <c r="V497" s="50"/>
      <c r="W497" s="50"/>
      <c r="X497" s="50"/>
      <c r="Y497" s="50"/>
      <c r="Z497" s="50"/>
      <c r="AA497" s="50"/>
      <c r="AB497" s="50"/>
    </row>
    <row r="498" customFormat="false" ht="15.75" hidden="false" customHeight="false" outlineLevel="0" collapsed="false">
      <c r="A498" s="50"/>
      <c r="B498" s="50"/>
      <c r="C498" s="5"/>
      <c r="D498" s="48"/>
      <c r="E498" s="50"/>
      <c r="F498" s="5"/>
      <c r="G498" s="5"/>
      <c r="H498" s="5"/>
      <c r="I498" s="5"/>
      <c r="J498" s="5"/>
      <c r="K498" s="50"/>
      <c r="L498" s="50"/>
      <c r="M498" s="50"/>
      <c r="N498" s="50"/>
      <c r="O498" s="50"/>
      <c r="P498" s="50"/>
      <c r="Q498" s="50"/>
      <c r="R498" s="50"/>
      <c r="S498" s="50"/>
      <c r="T498" s="50"/>
      <c r="U498" s="50"/>
      <c r="V498" s="50"/>
      <c r="W498" s="50"/>
      <c r="X498" s="50"/>
      <c r="Y498" s="50"/>
      <c r="Z498" s="50"/>
      <c r="AA498" s="50"/>
      <c r="AB498" s="50"/>
    </row>
    <row r="499" customFormat="false" ht="15.75" hidden="false" customHeight="false" outlineLevel="0" collapsed="false">
      <c r="A499" s="50"/>
      <c r="B499" s="50"/>
      <c r="C499" s="5"/>
      <c r="D499" s="48"/>
      <c r="E499" s="50"/>
      <c r="F499" s="5"/>
      <c r="G499" s="5"/>
      <c r="H499" s="5"/>
      <c r="I499" s="5"/>
      <c r="J499" s="5"/>
      <c r="K499" s="50"/>
      <c r="L499" s="50"/>
      <c r="M499" s="50"/>
      <c r="N499" s="50"/>
      <c r="O499" s="50"/>
      <c r="P499" s="50"/>
      <c r="Q499" s="50"/>
      <c r="R499" s="50"/>
      <c r="S499" s="50"/>
      <c r="T499" s="50"/>
      <c r="U499" s="50"/>
      <c r="V499" s="50"/>
      <c r="W499" s="50"/>
      <c r="X499" s="50"/>
      <c r="Y499" s="50"/>
      <c r="Z499" s="50"/>
      <c r="AA499" s="50"/>
      <c r="AB499" s="50"/>
    </row>
    <row r="500" customFormat="false" ht="15.75" hidden="false" customHeight="false" outlineLevel="0" collapsed="false">
      <c r="A500" s="50"/>
      <c r="B500" s="50"/>
      <c r="C500" s="5"/>
      <c r="D500" s="48"/>
      <c r="E500" s="50"/>
      <c r="F500" s="5"/>
      <c r="G500" s="5"/>
      <c r="H500" s="5"/>
      <c r="I500" s="5"/>
      <c r="J500" s="5"/>
      <c r="K500" s="50"/>
      <c r="L500" s="50"/>
      <c r="M500" s="50"/>
      <c r="N500" s="50"/>
      <c r="O500" s="50"/>
      <c r="P500" s="50"/>
      <c r="Q500" s="50"/>
      <c r="R500" s="50"/>
      <c r="S500" s="50"/>
      <c r="T500" s="50"/>
      <c r="U500" s="50"/>
      <c r="V500" s="50"/>
      <c r="W500" s="50"/>
      <c r="X500" s="50"/>
      <c r="Y500" s="50"/>
      <c r="Z500" s="50"/>
      <c r="AA500" s="50"/>
      <c r="AB500" s="50"/>
    </row>
    <row r="501" customFormat="false" ht="15.75" hidden="false" customHeight="false" outlineLevel="0" collapsed="false">
      <c r="A501" s="50"/>
      <c r="B501" s="50"/>
      <c r="C501" s="5"/>
      <c r="D501" s="48"/>
      <c r="E501" s="50"/>
      <c r="F501" s="5"/>
      <c r="G501" s="5"/>
      <c r="H501" s="5"/>
      <c r="I501" s="5"/>
      <c r="J501" s="5"/>
      <c r="K501" s="50"/>
      <c r="L501" s="50"/>
      <c r="M501" s="50"/>
      <c r="N501" s="50"/>
      <c r="O501" s="50"/>
      <c r="P501" s="50"/>
      <c r="Q501" s="50"/>
      <c r="R501" s="50"/>
      <c r="S501" s="50"/>
      <c r="T501" s="50"/>
      <c r="U501" s="50"/>
      <c r="V501" s="50"/>
      <c r="W501" s="50"/>
      <c r="X501" s="50"/>
      <c r="Y501" s="50"/>
      <c r="Z501" s="50"/>
      <c r="AA501" s="50"/>
      <c r="AB501" s="50"/>
    </row>
    <row r="502" customFormat="false" ht="15.75" hidden="false" customHeight="false" outlineLevel="0" collapsed="false">
      <c r="A502" s="50"/>
      <c r="B502" s="50"/>
      <c r="C502" s="5"/>
      <c r="D502" s="48"/>
      <c r="E502" s="50"/>
      <c r="F502" s="5"/>
      <c r="G502" s="5"/>
      <c r="H502" s="5"/>
      <c r="I502" s="5"/>
      <c r="J502" s="5"/>
      <c r="K502" s="50"/>
      <c r="L502" s="50"/>
      <c r="M502" s="50"/>
      <c r="N502" s="50"/>
      <c r="O502" s="50"/>
      <c r="P502" s="50"/>
      <c r="Q502" s="50"/>
      <c r="R502" s="50"/>
      <c r="S502" s="50"/>
      <c r="T502" s="50"/>
      <c r="U502" s="50"/>
      <c r="V502" s="50"/>
      <c r="W502" s="50"/>
      <c r="X502" s="50"/>
      <c r="Y502" s="50"/>
      <c r="Z502" s="50"/>
      <c r="AA502" s="50"/>
      <c r="AB502" s="50"/>
    </row>
    <row r="503" customFormat="false" ht="15.75" hidden="false" customHeight="false" outlineLevel="0" collapsed="false">
      <c r="A503" s="50"/>
      <c r="B503" s="50"/>
      <c r="C503" s="5"/>
      <c r="D503" s="48"/>
      <c r="E503" s="50"/>
      <c r="F503" s="5"/>
      <c r="G503" s="5"/>
      <c r="H503" s="5"/>
      <c r="I503" s="5"/>
      <c r="J503" s="5"/>
      <c r="K503" s="50"/>
      <c r="L503" s="50"/>
      <c r="M503" s="50"/>
      <c r="N503" s="50"/>
      <c r="O503" s="50"/>
      <c r="P503" s="50"/>
      <c r="Q503" s="50"/>
      <c r="R503" s="50"/>
      <c r="S503" s="50"/>
      <c r="T503" s="50"/>
      <c r="U503" s="50"/>
      <c r="V503" s="50"/>
      <c r="W503" s="50"/>
      <c r="X503" s="50"/>
      <c r="Y503" s="50"/>
      <c r="Z503" s="50"/>
      <c r="AA503" s="50"/>
      <c r="AB503" s="50"/>
    </row>
    <row r="504" customFormat="false" ht="15.75" hidden="false" customHeight="false" outlineLevel="0" collapsed="false">
      <c r="A504" s="50"/>
      <c r="B504" s="50"/>
      <c r="C504" s="5"/>
      <c r="D504" s="48"/>
      <c r="E504" s="50"/>
      <c r="F504" s="5"/>
      <c r="G504" s="5"/>
      <c r="H504" s="5"/>
      <c r="I504" s="5"/>
      <c r="J504" s="5"/>
      <c r="K504" s="50"/>
      <c r="L504" s="50"/>
      <c r="M504" s="50"/>
      <c r="N504" s="50"/>
      <c r="O504" s="50"/>
      <c r="P504" s="50"/>
      <c r="Q504" s="50"/>
      <c r="R504" s="50"/>
      <c r="S504" s="50"/>
      <c r="T504" s="50"/>
      <c r="U504" s="50"/>
      <c r="V504" s="50"/>
      <c r="W504" s="50"/>
      <c r="X504" s="50"/>
      <c r="Y504" s="50"/>
      <c r="Z504" s="50"/>
      <c r="AA504" s="50"/>
      <c r="AB504" s="50"/>
    </row>
    <row r="505" customFormat="false" ht="15.75" hidden="false" customHeight="false" outlineLevel="0" collapsed="false">
      <c r="A505" s="50"/>
      <c r="B505" s="50"/>
      <c r="C505" s="5"/>
      <c r="D505" s="48"/>
      <c r="E505" s="50"/>
      <c r="F505" s="5"/>
      <c r="G505" s="5"/>
      <c r="H505" s="5"/>
      <c r="I505" s="5"/>
      <c r="J505" s="5"/>
      <c r="K505" s="50"/>
      <c r="L505" s="50"/>
      <c r="M505" s="50"/>
      <c r="N505" s="50"/>
      <c r="O505" s="50"/>
      <c r="P505" s="50"/>
      <c r="Q505" s="50"/>
      <c r="R505" s="50"/>
      <c r="S505" s="50"/>
      <c r="T505" s="50"/>
      <c r="U505" s="50"/>
      <c r="V505" s="50"/>
      <c r="W505" s="50"/>
      <c r="X505" s="50"/>
      <c r="Y505" s="50"/>
      <c r="Z505" s="50"/>
      <c r="AA505" s="50"/>
      <c r="AB505" s="50"/>
    </row>
    <row r="506" customFormat="false" ht="15.75" hidden="false" customHeight="false" outlineLevel="0" collapsed="false">
      <c r="A506" s="50"/>
      <c r="B506" s="50"/>
      <c r="C506" s="5"/>
      <c r="D506" s="48"/>
      <c r="E506" s="50"/>
      <c r="F506" s="5"/>
      <c r="G506" s="5"/>
      <c r="H506" s="5"/>
      <c r="I506" s="5"/>
      <c r="J506" s="5"/>
      <c r="K506" s="50"/>
      <c r="L506" s="50"/>
      <c r="M506" s="50"/>
      <c r="N506" s="50"/>
      <c r="O506" s="50"/>
      <c r="P506" s="50"/>
      <c r="Q506" s="50"/>
      <c r="R506" s="50"/>
      <c r="S506" s="50"/>
      <c r="T506" s="50"/>
      <c r="U506" s="50"/>
      <c r="V506" s="50"/>
      <c r="W506" s="50"/>
      <c r="X506" s="50"/>
      <c r="Y506" s="50"/>
      <c r="Z506" s="50"/>
      <c r="AA506" s="50"/>
      <c r="AB506" s="50"/>
    </row>
    <row r="507" customFormat="false" ht="15.75" hidden="false" customHeight="false" outlineLevel="0" collapsed="false">
      <c r="A507" s="50"/>
      <c r="B507" s="50"/>
      <c r="C507" s="5"/>
      <c r="D507" s="48"/>
      <c r="E507" s="50"/>
      <c r="F507" s="5"/>
      <c r="G507" s="5"/>
      <c r="H507" s="5"/>
      <c r="I507" s="5"/>
      <c r="J507" s="5"/>
      <c r="K507" s="50"/>
      <c r="L507" s="50"/>
      <c r="M507" s="50"/>
      <c r="N507" s="50"/>
      <c r="O507" s="50"/>
      <c r="P507" s="50"/>
      <c r="Q507" s="50"/>
      <c r="R507" s="50"/>
      <c r="S507" s="50"/>
      <c r="T507" s="50"/>
      <c r="U507" s="50"/>
      <c r="V507" s="50"/>
      <c r="W507" s="50"/>
      <c r="X507" s="50"/>
      <c r="Y507" s="50"/>
      <c r="Z507" s="50"/>
      <c r="AA507" s="50"/>
      <c r="AB507" s="50"/>
    </row>
    <row r="508" customFormat="false" ht="15.75" hidden="false" customHeight="false" outlineLevel="0" collapsed="false">
      <c r="A508" s="50"/>
      <c r="B508" s="50"/>
      <c r="C508" s="5"/>
      <c r="D508" s="48"/>
      <c r="E508" s="50"/>
      <c r="F508" s="5"/>
      <c r="G508" s="5"/>
      <c r="H508" s="5"/>
      <c r="I508" s="5"/>
      <c r="J508" s="5"/>
      <c r="K508" s="50"/>
      <c r="L508" s="50"/>
      <c r="M508" s="50"/>
      <c r="N508" s="50"/>
      <c r="O508" s="50"/>
      <c r="P508" s="50"/>
      <c r="Q508" s="50"/>
      <c r="R508" s="50"/>
      <c r="S508" s="50"/>
      <c r="T508" s="50"/>
      <c r="U508" s="50"/>
      <c r="V508" s="50"/>
      <c r="W508" s="50"/>
      <c r="X508" s="50"/>
      <c r="Y508" s="50"/>
      <c r="Z508" s="50"/>
      <c r="AA508" s="50"/>
      <c r="AB508" s="50"/>
    </row>
    <row r="509" customFormat="false" ht="15.75" hidden="false" customHeight="false" outlineLevel="0" collapsed="false">
      <c r="A509" s="50"/>
      <c r="B509" s="50"/>
      <c r="C509" s="5"/>
      <c r="D509" s="48"/>
      <c r="E509" s="50"/>
      <c r="F509" s="5"/>
      <c r="G509" s="5"/>
      <c r="H509" s="5"/>
      <c r="I509" s="5"/>
      <c r="J509" s="5"/>
      <c r="K509" s="50"/>
      <c r="L509" s="50"/>
      <c r="M509" s="50"/>
      <c r="N509" s="50"/>
      <c r="O509" s="50"/>
      <c r="P509" s="50"/>
      <c r="Q509" s="50"/>
      <c r="R509" s="50"/>
      <c r="S509" s="50"/>
      <c r="T509" s="50"/>
      <c r="U509" s="50"/>
      <c r="V509" s="50"/>
      <c r="W509" s="50"/>
      <c r="X509" s="50"/>
      <c r="Y509" s="50"/>
      <c r="Z509" s="50"/>
      <c r="AA509" s="50"/>
      <c r="AB509" s="50"/>
    </row>
    <row r="510" customFormat="false" ht="15.75" hidden="false" customHeight="false" outlineLevel="0" collapsed="false">
      <c r="A510" s="50"/>
      <c r="B510" s="50"/>
      <c r="C510" s="5"/>
      <c r="D510" s="48"/>
      <c r="E510" s="50"/>
      <c r="F510" s="5"/>
      <c r="G510" s="5"/>
      <c r="H510" s="5"/>
      <c r="I510" s="5"/>
      <c r="J510" s="5"/>
      <c r="K510" s="50"/>
      <c r="L510" s="50"/>
      <c r="M510" s="50"/>
      <c r="N510" s="50"/>
      <c r="O510" s="50"/>
      <c r="P510" s="50"/>
      <c r="Q510" s="50"/>
      <c r="R510" s="50"/>
      <c r="S510" s="50"/>
      <c r="T510" s="50"/>
      <c r="U510" s="50"/>
      <c r="V510" s="50"/>
      <c r="W510" s="50"/>
      <c r="X510" s="50"/>
      <c r="Y510" s="50"/>
      <c r="Z510" s="50"/>
      <c r="AA510" s="50"/>
      <c r="AB510" s="50"/>
    </row>
    <row r="511" customFormat="false" ht="15.75" hidden="false" customHeight="false" outlineLevel="0" collapsed="false">
      <c r="A511" s="50"/>
      <c r="B511" s="50"/>
      <c r="C511" s="5"/>
      <c r="D511" s="48"/>
      <c r="E511" s="50"/>
      <c r="F511" s="5"/>
      <c r="G511" s="5"/>
      <c r="H511" s="5"/>
      <c r="I511" s="5"/>
      <c r="J511" s="5"/>
      <c r="K511" s="50"/>
      <c r="L511" s="50"/>
      <c r="M511" s="50"/>
      <c r="N511" s="50"/>
      <c r="O511" s="50"/>
      <c r="P511" s="50"/>
      <c r="Q511" s="50"/>
      <c r="R511" s="50"/>
      <c r="S511" s="50"/>
      <c r="T511" s="50"/>
      <c r="U511" s="50"/>
      <c r="V511" s="50"/>
      <c r="W511" s="50"/>
      <c r="X511" s="50"/>
      <c r="Y511" s="50"/>
      <c r="Z511" s="50"/>
      <c r="AA511" s="50"/>
      <c r="AB511" s="50"/>
    </row>
    <row r="512" customFormat="false" ht="15.75" hidden="false" customHeight="false" outlineLevel="0" collapsed="false">
      <c r="A512" s="50"/>
      <c r="B512" s="50"/>
      <c r="C512" s="5"/>
      <c r="D512" s="48"/>
      <c r="E512" s="50"/>
      <c r="F512" s="5"/>
      <c r="G512" s="5"/>
      <c r="H512" s="5"/>
      <c r="I512" s="5"/>
      <c r="J512" s="5"/>
      <c r="K512" s="50"/>
      <c r="L512" s="50"/>
      <c r="M512" s="50"/>
      <c r="N512" s="50"/>
      <c r="O512" s="50"/>
      <c r="P512" s="50"/>
      <c r="Q512" s="50"/>
      <c r="R512" s="50"/>
      <c r="S512" s="50"/>
      <c r="T512" s="50"/>
      <c r="U512" s="50"/>
      <c r="V512" s="50"/>
      <c r="W512" s="50"/>
      <c r="X512" s="50"/>
      <c r="Y512" s="50"/>
      <c r="Z512" s="50"/>
      <c r="AA512" s="50"/>
      <c r="AB512" s="50"/>
    </row>
    <row r="513" customFormat="false" ht="15.75" hidden="false" customHeight="false" outlineLevel="0" collapsed="false">
      <c r="A513" s="50"/>
      <c r="B513" s="50"/>
      <c r="C513" s="5"/>
      <c r="D513" s="48"/>
      <c r="E513" s="50"/>
      <c r="F513" s="5"/>
      <c r="G513" s="5"/>
      <c r="H513" s="5"/>
      <c r="I513" s="5"/>
      <c r="J513" s="5"/>
      <c r="K513" s="50"/>
      <c r="L513" s="50"/>
      <c r="M513" s="50"/>
      <c r="N513" s="50"/>
      <c r="O513" s="50"/>
      <c r="P513" s="50"/>
      <c r="Q513" s="50"/>
      <c r="R513" s="50"/>
      <c r="S513" s="50"/>
      <c r="T513" s="50"/>
      <c r="U513" s="50"/>
      <c r="V513" s="50"/>
      <c r="W513" s="50"/>
      <c r="X513" s="50"/>
      <c r="Y513" s="50"/>
      <c r="Z513" s="50"/>
      <c r="AA513" s="50"/>
      <c r="AB513" s="50"/>
    </row>
    <row r="514" customFormat="false" ht="15.75" hidden="false" customHeight="false" outlineLevel="0" collapsed="false">
      <c r="A514" s="50"/>
      <c r="B514" s="50"/>
      <c r="C514" s="5"/>
      <c r="D514" s="48"/>
      <c r="E514" s="50"/>
      <c r="F514" s="5"/>
      <c r="G514" s="5"/>
      <c r="H514" s="5"/>
      <c r="I514" s="5"/>
      <c r="J514" s="5"/>
      <c r="K514" s="50"/>
      <c r="L514" s="50"/>
      <c r="M514" s="50"/>
      <c r="N514" s="50"/>
      <c r="O514" s="50"/>
      <c r="P514" s="50"/>
      <c r="Q514" s="50"/>
      <c r="R514" s="50"/>
      <c r="S514" s="50"/>
      <c r="T514" s="50"/>
      <c r="U514" s="50"/>
      <c r="V514" s="50"/>
      <c r="W514" s="50"/>
      <c r="X514" s="50"/>
      <c r="Y514" s="50"/>
      <c r="Z514" s="50"/>
      <c r="AA514" s="50"/>
      <c r="AB514" s="50"/>
    </row>
    <row r="515" customFormat="false" ht="15.75" hidden="false" customHeight="false" outlineLevel="0" collapsed="false">
      <c r="A515" s="50"/>
      <c r="B515" s="50"/>
      <c r="C515" s="5"/>
      <c r="D515" s="48"/>
      <c r="E515" s="50"/>
      <c r="F515" s="5"/>
      <c r="G515" s="5"/>
      <c r="H515" s="5"/>
      <c r="I515" s="5"/>
      <c r="J515" s="5"/>
      <c r="K515" s="50"/>
      <c r="L515" s="50"/>
      <c r="M515" s="50"/>
      <c r="N515" s="50"/>
      <c r="O515" s="50"/>
      <c r="P515" s="50"/>
      <c r="Q515" s="50"/>
      <c r="R515" s="50"/>
      <c r="S515" s="50"/>
      <c r="T515" s="50"/>
      <c r="U515" s="50"/>
      <c r="V515" s="50"/>
      <c r="W515" s="50"/>
      <c r="X515" s="50"/>
      <c r="Y515" s="50"/>
      <c r="Z515" s="50"/>
      <c r="AA515" s="50"/>
      <c r="AB515" s="50"/>
    </row>
    <row r="516" customFormat="false" ht="15.75" hidden="false" customHeight="false" outlineLevel="0" collapsed="false">
      <c r="A516" s="50"/>
      <c r="B516" s="50"/>
      <c r="C516" s="5"/>
      <c r="D516" s="48"/>
      <c r="E516" s="50"/>
      <c r="F516" s="5"/>
      <c r="G516" s="5"/>
      <c r="H516" s="5"/>
      <c r="I516" s="5"/>
      <c r="J516" s="5"/>
      <c r="K516" s="50"/>
      <c r="L516" s="50"/>
      <c r="M516" s="50"/>
      <c r="N516" s="50"/>
      <c r="O516" s="50"/>
      <c r="P516" s="50"/>
      <c r="Q516" s="50"/>
      <c r="R516" s="50"/>
      <c r="S516" s="50"/>
      <c r="T516" s="50"/>
      <c r="U516" s="50"/>
      <c r="V516" s="50"/>
      <c r="W516" s="50"/>
      <c r="X516" s="50"/>
      <c r="Y516" s="50"/>
      <c r="Z516" s="50"/>
      <c r="AA516" s="50"/>
      <c r="AB516" s="50"/>
    </row>
    <row r="517" customFormat="false" ht="15.75" hidden="false" customHeight="false" outlineLevel="0" collapsed="false">
      <c r="A517" s="50"/>
      <c r="B517" s="50"/>
      <c r="C517" s="5"/>
      <c r="D517" s="48"/>
      <c r="E517" s="50"/>
      <c r="F517" s="5"/>
      <c r="G517" s="5"/>
      <c r="H517" s="5"/>
      <c r="I517" s="5"/>
      <c r="J517" s="5"/>
      <c r="K517" s="50"/>
      <c r="L517" s="50"/>
      <c r="M517" s="50"/>
      <c r="N517" s="50"/>
      <c r="O517" s="50"/>
      <c r="P517" s="50"/>
      <c r="Q517" s="50"/>
      <c r="R517" s="50"/>
      <c r="S517" s="50"/>
      <c r="T517" s="50"/>
      <c r="U517" s="50"/>
      <c r="V517" s="50"/>
      <c r="W517" s="50"/>
      <c r="X517" s="50"/>
      <c r="Y517" s="50"/>
      <c r="Z517" s="50"/>
      <c r="AA517" s="50"/>
      <c r="AB517" s="50"/>
    </row>
    <row r="518" customFormat="false" ht="15.75" hidden="false" customHeight="false" outlineLevel="0" collapsed="false">
      <c r="A518" s="50"/>
      <c r="B518" s="50"/>
      <c r="C518" s="5"/>
      <c r="D518" s="48"/>
      <c r="E518" s="50"/>
      <c r="F518" s="5"/>
      <c r="G518" s="5"/>
      <c r="H518" s="5"/>
      <c r="I518" s="5"/>
      <c r="J518" s="5"/>
      <c r="K518" s="50"/>
      <c r="L518" s="50"/>
      <c r="M518" s="50"/>
      <c r="N518" s="50"/>
      <c r="O518" s="50"/>
      <c r="P518" s="50"/>
      <c r="Q518" s="50"/>
      <c r="R518" s="50"/>
      <c r="S518" s="50"/>
      <c r="T518" s="50"/>
      <c r="U518" s="50"/>
      <c r="V518" s="50"/>
      <c r="W518" s="50"/>
      <c r="X518" s="50"/>
      <c r="Y518" s="50"/>
      <c r="Z518" s="50"/>
      <c r="AA518" s="50"/>
      <c r="AB518" s="50"/>
    </row>
    <row r="519" customFormat="false" ht="15.75" hidden="false" customHeight="false" outlineLevel="0" collapsed="false">
      <c r="A519" s="50"/>
      <c r="B519" s="50"/>
      <c r="C519" s="5"/>
      <c r="D519" s="48"/>
      <c r="E519" s="50"/>
      <c r="F519" s="5"/>
      <c r="G519" s="5"/>
      <c r="H519" s="5"/>
      <c r="I519" s="5"/>
      <c r="J519" s="5"/>
      <c r="K519" s="50"/>
      <c r="L519" s="50"/>
      <c r="M519" s="50"/>
      <c r="N519" s="50"/>
      <c r="O519" s="50"/>
      <c r="P519" s="50"/>
      <c r="Q519" s="50"/>
      <c r="R519" s="50"/>
      <c r="S519" s="50"/>
      <c r="T519" s="50"/>
      <c r="U519" s="50"/>
      <c r="V519" s="50"/>
      <c r="W519" s="50"/>
      <c r="X519" s="50"/>
      <c r="Y519" s="50"/>
      <c r="Z519" s="50"/>
      <c r="AA519" s="50"/>
      <c r="AB519" s="50"/>
    </row>
    <row r="520" customFormat="false" ht="15.75" hidden="false" customHeight="false" outlineLevel="0" collapsed="false">
      <c r="A520" s="50"/>
      <c r="B520" s="50"/>
      <c r="C520" s="5"/>
      <c r="D520" s="48"/>
      <c r="E520" s="50"/>
      <c r="F520" s="5"/>
      <c r="G520" s="5"/>
      <c r="H520" s="5"/>
      <c r="I520" s="5"/>
      <c r="J520" s="5"/>
      <c r="K520" s="50"/>
      <c r="L520" s="50"/>
      <c r="M520" s="50"/>
      <c r="N520" s="50"/>
      <c r="O520" s="50"/>
      <c r="P520" s="50"/>
      <c r="Q520" s="50"/>
      <c r="R520" s="50"/>
      <c r="S520" s="50"/>
      <c r="T520" s="50"/>
      <c r="U520" s="50"/>
      <c r="V520" s="50"/>
      <c r="W520" s="50"/>
      <c r="X520" s="50"/>
      <c r="Y520" s="50"/>
      <c r="Z520" s="50"/>
      <c r="AA520" s="50"/>
      <c r="AB520" s="50"/>
    </row>
    <row r="521" customFormat="false" ht="15.75" hidden="false" customHeight="false" outlineLevel="0" collapsed="false">
      <c r="A521" s="50"/>
      <c r="B521" s="50"/>
      <c r="C521" s="5"/>
      <c r="D521" s="48"/>
      <c r="E521" s="50"/>
      <c r="F521" s="5"/>
      <c r="G521" s="5"/>
      <c r="H521" s="5"/>
      <c r="I521" s="5"/>
      <c r="J521" s="5"/>
      <c r="K521" s="50"/>
      <c r="L521" s="50"/>
      <c r="M521" s="50"/>
      <c r="N521" s="50"/>
      <c r="O521" s="50"/>
      <c r="P521" s="50"/>
      <c r="Q521" s="50"/>
      <c r="R521" s="50"/>
      <c r="S521" s="50"/>
      <c r="T521" s="50"/>
      <c r="U521" s="50"/>
      <c r="V521" s="50"/>
      <c r="W521" s="50"/>
      <c r="X521" s="50"/>
      <c r="Y521" s="50"/>
      <c r="Z521" s="50"/>
      <c r="AA521" s="50"/>
      <c r="AB521" s="50"/>
    </row>
    <row r="522" customFormat="false" ht="15.75" hidden="false" customHeight="false" outlineLevel="0" collapsed="false">
      <c r="A522" s="50"/>
      <c r="B522" s="50"/>
      <c r="C522" s="5"/>
      <c r="D522" s="48"/>
      <c r="E522" s="50"/>
      <c r="F522" s="5"/>
      <c r="G522" s="5"/>
      <c r="H522" s="5"/>
      <c r="I522" s="5"/>
      <c r="J522" s="5"/>
      <c r="K522" s="50"/>
      <c r="L522" s="50"/>
      <c r="M522" s="50"/>
      <c r="N522" s="50"/>
      <c r="O522" s="50"/>
      <c r="P522" s="50"/>
      <c r="Q522" s="50"/>
      <c r="R522" s="50"/>
      <c r="S522" s="50"/>
      <c r="T522" s="50"/>
      <c r="U522" s="50"/>
      <c r="V522" s="50"/>
      <c r="W522" s="50"/>
      <c r="X522" s="50"/>
      <c r="Y522" s="50"/>
      <c r="Z522" s="50"/>
      <c r="AA522" s="50"/>
      <c r="AB522" s="50"/>
    </row>
    <row r="523" customFormat="false" ht="15.75" hidden="false" customHeight="false" outlineLevel="0" collapsed="false">
      <c r="A523" s="50"/>
      <c r="B523" s="50"/>
      <c r="C523" s="5"/>
      <c r="D523" s="48"/>
      <c r="E523" s="50"/>
      <c r="F523" s="5"/>
      <c r="G523" s="5"/>
      <c r="H523" s="5"/>
      <c r="I523" s="5"/>
      <c r="J523" s="5"/>
      <c r="K523" s="50"/>
      <c r="L523" s="50"/>
      <c r="M523" s="50"/>
      <c r="N523" s="50"/>
      <c r="O523" s="50"/>
      <c r="P523" s="50"/>
      <c r="Q523" s="50"/>
      <c r="R523" s="50"/>
      <c r="S523" s="50"/>
      <c r="T523" s="50"/>
      <c r="U523" s="50"/>
      <c r="V523" s="50"/>
      <c r="W523" s="50"/>
      <c r="X523" s="50"/>
      <c r="Y523" s="50"/>
      <c r="Z523" s="50"/>
      <c r="AA523" s="50"/>
      <c r="AB523" s="50"/>
    </row>
    <row r="524" customFormat="false" ht="15.75" hidden="false" customHeight="false" outlineLevel="0" collapsed="false">
      <c r="A524" s="50"/>
      <c r="B524" s="50"/>
      <c r="C524" s="5"/>
      <c r="D524" s="48"/>
      <c r="E524" s="50"/>
      <c r="F524" s="5"/>
      <c r="G524" s="5"/>
      <c r="H524" s="5"/>
      <c r="I524" s="5"/>
      <c r="J524" s="5"/>
      <c r="K524" s="50"/>
      <c r="L524" s="50"/>
      <c r="M524" s="50"/>
      <c r="N524" s="50"/>
      <c r="O524" s="50"/>
      <c r="P524" s="50"/>
      <c r="Q524" s="50"/>
      <c r="R524" s="50"/>
      <c r="S524" s="50"/>
      <c r="T524" s="50"/>
      <c r="U524" s="50"/>
      <c r="V524" s="50"/>
      <c r="W524" s="50"/>
      <c r="X524" s="50"/>
      <c r="Y524" s="50"/>
      <c r="Z524" s="50"/>
      <c r="AA524" s="50"/>
      <c r="AB524" s="50"/>
    </row>
    <row r="525" customFormat="false" ht="15.75" hidden="false" customHeight="false" outlineLevel="0" collapsed="false">
      <c r="A525" s="50"/>
      <c r="B525" s="50"/>
      <c r="C525" s="5"/>
      <c r="D525" s="48"/>
      <c r="E525" s="50"/>
      <c r="F525" s="5"/>
      <c r="G525" s="5"/>
      <c r="H525" s="5"/>
      <c r="I525" s="5"/>
      <c r="J525" s="5"/>
      <c r="K525" s="50"/>
      <c r="L525" s="50"/>
      <c r="M525" s="50"/>
      <c r="N525" s="50"/>
      <c r="O525" s="50"/>
      <c r="P525" s="50"/>
      <c r="Q525" s="50"/>
      <c r="R525" s="50"/>
      <c r="S525" s="50"/>
      <c r="T525" s="50"/>
      <c r="U525" s="50"/>
      <c r="V525" s="50"/>
      <c r="W525" s="50"/>
      <c r="X525" s="50"/>
      <c r="Y525" s="50"/>
      <c r="Z525" s="50"/>
      <c r="AA525" s="50"/>
      <c r="AB525" s="50"/>
    </row>
    <row r="526" customFormat="false" ht="15.75" hidden="false" customHeight="false" outlineLevel="0" collapsed="false">
      <c r="A526" s="50"/>
      <c r="B526" s="50"/>
      <c r="C526" s="5"/>
      <c r="D526" s="48"/>
      <c r="E526" s="50"/>
      <c r="F526" s="5"/>
      <c r="G526" s="5"/>
      <c r="H526" s="5"/>
      <c r="I526" s="5"/>
      <c r="J526" s="5"/>
      <c r="K526" s="50"/>
      <c r="L526" s="50"/>
      <c r="M526" s="50"/>
      <c r="N526" s="50"/>
      <c r="O526" s="50"/>
      <c r="P526" s="50"/>
      <c r="Q526" s="50"/>
      <c r="R526" s="50"/>
      <c r="S526" s="50"/>
      <c r="T526" s="50"/>
      <c r="U526" s="50"/>
      <c r="V526" s="50"/>
      <c r="W526" s="50"/>
      <c r="X526" s="50"/>
      <c r="Y526" s="50"/>
      <c r="Z526" s="50"/>
      <c r="AA526" s="50"/>
      <c r="AB526" s="50"/>
    </row>
    <row r="527" customFormat="false" ht="15.75" hidden="false" customHeight="false" outlineLevel="0" collapsed="false">
      <c r="A527" s="50"/>
      <c r="B527" s="50"/>
      <c r="C527" s="5"/>
      <c r="D527" s="48"/>
      <c r="E527" s="50"/>
      <c r="F527" s="5"/>
      <c r="G527" s="5"/>
      <c r="H527" s="5"/>
      <c r="I527" s="5"/>
      <c r="J527" s="5"/>
      <c r="K527" s="50"/>
      <c r="L527" s="50"/>
      <c r="M527" s="50"/>
      <c r="N527" s="50"/>
      <c r="O527" s="50"/>
      <c r="P527" s="50"/>
      <c r="Q527" s="50"/>
      <c r="R527" s="50"/>
      <c r="S527" s="50"/>
      <c r="T527" s="50"/>
      <c r="U527" s="50"/>
      <c r="V527" s="50"/>
      <c r="W527" s="50"/>
      <c r="X527" s="50"/>
      <c r="Y527" s="50"/>
      <c r="Z527" s="50"/>
      <c r="AA527" s="50"/>
      <c r="AB527" s="50"/>
    </row>
    <row r="528" customFormat="false" ht="15.75" hidden="false" customHeight="false" outlineLevel="0" collapsed="false">
      <c r="A528" s="50"/>
      <c r="B528" s="50"/>
      <c r="C528" s="5"/>
      <c r="D528" s="48"/>
      <c r="E528" s="50"/>
      <c r="F528" s="5"/>
      <c r="G528" s="5"/>
      <c r="H528" s="5"/>
      <c r="I528" s="5"/>
      <c r="J528" s="5"/>
      <c r="K528" s="50"/>
      <c r="L528" s="50"/>
      <c r="M528" s="50"/>
      <c r="N528" s="50"/>
      <c r="O528" s="50"/>
      <c r="P528" s="50"/>
      <c r="Q528" s="50"/>
      <c r="R528" s="50"/>
      <c r="S528" s="50"/>
      <c r="T528" s="50"/>
      <c r="U528" s="50"/>
      <c r="V528" s="50"/>
      <c r="W528" s="50"/>
      <c r="X528" s="50"/>
      <c r="Y528" s="50"/>
      <c r="Z528" s="50"/>
      <c r="AA528" s="50"/>
      <c r="AB528" s="50"/>
    </row>
    <row r="529" customFormat="false" ht="15.75" hidden="false" customHeight="false" outlineLevel="0" collapsed="false">
      <c r="A529" s="50"/>
      <c r="B529" s="50"/>
      <c r="C529" s="5"/>
      <c r="D529" s="48"/>
      <c r="E529" s="50"/>
      <c r="F529" s="5"/>
      <c r="G529" s="5"/>
      <c r="H529" s="5"/>
      <c r="I529" s="5"/>
      <c r="J529" s="5"/>
      <c r="K529" s="50"/>
      <c r="L529" s="50"/>
      <c r="M529" s="50"/>
      <c r="N529" s="50"/>
      <c r="O529" s="50"/>
      <c r="P529" s="50"/>
      <c r="Q529" s="50"/>
      <c r="R529" s="50"/>
      <c r="S529" s="50"/>
      <c r="T529" s="50"/>
      <c r="U529" s="50"/>
      <c r="V529" s="50"/>
      <c r="W529" s="50"/>
      <c r="X529" s="50"/>
      <c r="Y529" s="50"/>
      <c r="Z529" s="50"/>
      <c r="AA529" s="50"/>
      <c r="AB529" s="50"/>
    </row>
    <row r="530" customFormat="false" ht="15.75" hidden="false" customHeight="false" outlineLevel="0" collapsed="false">
      <c r="A530" s="50"/>
      <c r="B530" s="50"/>
      <c r="C530" s="5"/>
      <c r="D530" s="48"/>
      <c r="E530" s="50"/>
      <c r="F530" s="5"/>
      <c r="G530" s="5"/>
      <c r="H530" s="5"/>
      <c r="I530" s="5"/>
      <c r="J530" s="5"/>
      <c r="K530" s="50"/>
      <c r="L530" s="50"/>
      <c r="M530" s="50"/>
      <c r="N530" s="50"/>
      <c r="O530" s="50"/>
      <c r="P530" s="50"/>
      <c r="Q530" s="50"/>
      <c r="R530" s="50"/>
      <c r="S530" s="50"/>
      <c r="T530" s="50"/>
      <c r="U530" s="50"/>
      <c r="V530" s="50"/>
      <c r="W530" s="50"/>
      <c r="X530" s="50"/>
      <c r="Y530" s="50"/>
      <c r="Z530" s="50"/>
      <c r="AA530" s="50"/>
      <c r="AB530" s="50"/>
    </row>
    <row r="531" customFormat="false" ht="15.75" hidden="false" customHeight="false" outlineLevel="0" collapsed="false">
      <c r="A531" s="50"/>
      <c r="B531" s="50"/>
      <c r="C531" s="5"/>
      <c r="D531" s="48"/>
      <c r="E531" s="50"/>
      <c r="F531" s="5"/>
      <c r="G531" s="5"/>
      <c r="H531" s="5"/>
      <c r="I531" s="5"/>
      <c r="J531" s="5"/>
      <c r="K531" s="50"/>
      <c r="L531" s="50"/>
      <c r="M531" s="50"/>
      <c r="N531" s="50"/>
      <c r="O531" s="50"/>
      <c r="P531" s="50"/>
      <c r="Q531" s="50"/>
      <c r="R531" s="50"/>
      <c r="S531" s="50"/>
      <c r="T531" s="50"/>
      <c r="U531" s="50"/>
      <c r="V531" s="50"/>
      <c r="W531" s="50"/>
      <c r="X531" s="50"/>
      <c r="Y531" s="50"/>
      <c r="Z531" s="50"/>
      <c r="AA531" s="50"/>
      <c r="AB531" s="50"/>
    </row>
    <row r="532" customFormat="false" ht="15.75" hidden="false" customHeight="false" outlineLevel="0" collapsed="false">
      <c r="A532" s="50"/>
      <c r="B532" s="50"/>
      <c r="C532" s="5"/>
      <c r="D532" s="48"/>
      <c r="E532" s="50"/>
      <c r="F532" s="5"/>
      <c r="G532" s="5"/>
      <c r="H532" s="5"/>
      <c r="I532" s="5"/>
      <c r="J532" s="5"/>
      <c r="K532" s="50"/>
      <c r="L532" s="50"/>
      <c r="M532" s="50"/>
      <c r="N532" s="50"/>
      <c r="O532" s="50"/>
      <c r="P532" s="50"/>
      <c r="Q532" s="50"/>
      <c r="R532" s="50"/>
      <c r="S532" s="50"/>
      <c r="T532" s="50"/>
      <c r="U532" s="50"/>
      <c r="V532" s="50"/>
      <c r="W532" s="50"/>
      <c r="X532" s="50"/>
      <c r="Y532" s="50"/>
      <c r="Z532" s="50"/>
      <c r="AA532" s="50"/>
      <c r="AB532" s="50"/>
    </row>
    <row r="533" customFormat="false" ht="15.75" hidden="false" customHeight="false" outlineLevel="0" collapsed="false">
      <c r="A533" s="50"/>
      <c r="B533" s="50"/>
      <c r="C533" s="5"/>
      <c r="D533" s="48"/>
      <c r="E533" s="50"/>
      <c r="F533" s="5"/>
      <c r="G533" s="5"/>
      <c r="H533" s="5"/>
      <c r="I533" s="5"/>
      <c r="J533" s="5"/>
      <c r="K533" s="50"/>
      <c r="L533" s="50"/>
      <c r="M533" s="50"/>
      <c r="N533" s="50"/>
      <c r="O533" s="50"/>
      <c r="P533" s="50"/>
      <c r="Q533" s="50"/>
      <c r="R533" s="50"/>
      <c r="S533" s="50"/>
      <c r="T533" s="50"/>
      <c r="U533" s="50"/>
      <c r="V533" s="50"/>
      <c r="W533" s="50"/>
      <c r="X533" s="50"/>
      <c r="Y533" s="50"/>
      <c r="Z533" s="50"/>
      <c r="AA533" s="50"/>
      <c r="AB533" s="50"/>
    </row>
    <row r="534" customFormat="false" ht="15.75" hidden="false" customHeight="false" outlineLevel="0" collapsed="false">
      <c r="A534" s="50"/>
      <c r="B534" s="50"/>
      <c r="C534" s="5"/>
      <c r="D534" s="48"/>
      <c r="E534" s="50"/>
      <c r="F534" s="5"/>
      <c r="G534" s="5"/>
      <c r="H534" s="5"/>
      <c r="I534" s="5"/>
      <c r="J534" s="5"/>
      <c r="K534" s="50"/>
      <c r="L534" s="50"/>
      <c r="M534" s="50"/>
      <c r="N534" s="50"/>
      <c r="O534" s="50"/>
      <c r="P534" s="50"/>
      <c r="Q534" s="50"/>
      <c r="R534" s="50"/>
      <c r="S534" s="50"/>
      <c r="T534" s="50"/>
      <c r="U534" s="50"/>
      <c r="V534" s="50"/>
      <c r="W534" s="50"/>
      <c r="X534" s="50"/>
      <c r="Y534" s="50"/>
      <c r="Z534" s="50"/>
      <c r="AA534" s="50"/>
      <c r="AB534" s="50"/>
    </row>
    <row r="535" customFormat="false" ht="15.75" hidden="false" customHeight="false" outlineLevel="0" collapsed="false">
      <c r="A535" s="50"/>
      <c r="B535" s="50"/>
      <c r="C535" s="5"/>
      <c r="D535" s="48"/>
      <c r="E535" s="50"/>
      <c r="F535" s="5"/>
      <c r="G535" s="5"/>
      <c r="H535" s="5"/>
      <c r="I535" s="5"/>
      <c r="J535" s="5"/>
      <c r="K535" s="50"/>
      <c r="L535" s="50"/>
      <c r="M535" s="50"/>
      <c r="N535" s="50"/>
      <c r="O535" s="50"/>
      <c r="P535" s="50"/>
      <c r="Q535" s="50"/>
      <c r="R535" s="50"/>
      <c r="S535" s="50"/>
      <c r="T535" s="50"/>
      <c r="U535" s="50"/>
      <c r="V535" s="50"/>
      <c r="W535" s="50"/>
      <c r="X535" s="50"/>
      <c r="Y535" s="50"/>
      <c r="Z535" s="50"/>
      <c r="AA535" s="50"/>
      <c r="AB535" s="50"/>
    </row>
    <row r="536" customFormat="false" ht="15.75" hidden="false" customHeight="false" outlineLevel="0" collapsed="false">
      <c r="A536" s="50"/>
      <c r="B536" s="50"/>
      <c r="C536" s="5"/>
      <c r="D536" s="48"/>
      <c r="E536" s="50"/>
      <c r="F536" s="5"/>
      <c r="G536" s="5"/>
      <c r="H536" s="5"/>
      <c r="I536" s="5"/>
      <c r="J536" s="5"/>
      <c r="K536" s="50"/>
      <c r="L536" s="50"/>
      <c r="M536" s="50"/>
      <c r="N536" s="50"/>
      <c r="O536" s="50"/>
      <c r="P536" s="50"/>
      <c r="Q536" s="50"/>
      <c r="R536" s="50"/>
      <c r="S536" s="50"/>
      <c r="T536" s="50"/>
      <c r="U536" s="50"/>
      <c r="V536" s="50"/>
      <c r="W536" s="50"/>
      <c r="X536" s="50"/>
      <c r="Y536" s="50"/>
      <c r="Z536" s="50"/>
      <c r="AA536" s="50"/>
      <c r="AB536" s="50"/>
    </row>
    <row r="537" customFormat="false" ht="15.75" hidden="false" customHeight="false" outlineLevel="0" collapsed="false">
      <c r="A537" s="50"/>
      <c r="B537" s="50"/>
      <c r="C537" s="5"/>
      <c r="D537" s="48"/>
      <c r="E537" s="50"/>
      <c r="F537" s="5"/>
      <c r="G537" s="5"/>
      <c r="H537" s="5"/>
      <c r="I537" s="5"/>
      <c r="J537" s="5"/>
      <c r="K537" s="50"/>
      <c r="L537" s="50"/>
      <c r="M537" s="50"/>
      <c r="N537" s="50"/>
      <c r="O537" s="50"/>
      <c r="P537" s="50"/>
      <c r="Q537" s="50"/>
      <c r="R537" s="50"/>
      <c r="S537" s="50"/>
      <c r="T537" s="50"/>
      <c r="U537" s="50"/>
      <c r="V537" s="50"/>
      <c r="W537" s="50"/>
      <c r="X537" s="50"/>
      <c r="Y537" s="50"/>
      <c r="Z537" s="50"/>
      <c r="AA537" s="50"/>
      <c r="AB537" s="50"/>
    </row>
    <row r="538" customFormat="false" ht="15.75" hidden="false" customHeight="false" outlineLevel="0" collapsed="false">
      <c r="A538" s="50"/>
      <c r="B538" s="50"/>
      <c r="C538" s="5"/>
      <c r="D538" s="48"/>
      <c r="E538" s="50"/>
      <c r="F538" s="5"/>
      <c r="G538" s="5"/>
      <c r="H538" s="5"/>
      <c r="I538" s="5"/>
      <c r="J538" s="5"/>
      <c r="K538" s="50"/>
      <c r="L538" s="50"/>
      <c r="M538" s="50"/>
      <c r="N538" s="50"/>
      <c r="O538" s="50"/>
      <c r="P538" s="50"/>
      <c r="Q538" s="50"/>
      <c r="R538" s="50"/>
      <c r="S538" s="50"/>
      <c r="T538" s="50"/>
      <c r="U538" s="50"/>
      <c r="V538" s="50"/>
      <c r="W538" s="50"/>
      <c r="X538" s="50"/>
      <c r="Y538" s="50"/>
      <c r="Z538" s="50"/>
      <c r="AA538" s="50"/>
      <c r="AB538" s="50"/>
    </row>
    <row r="539" customFormat="false" ht="15.75" hidden="false" customHeight="false" outlineLevel="0" collapsed="false">
      <c r="A539" s="50"/>
      <c r="B539" s="50"/>
      <c r="C539" s="5"/>
      <c r="D539" s="48"/>
      <c r="E539" s="50"/>
      <c r="F539" s="5"/>
      <c r="G539" s="5"/>
      <c r="H539" s="5"/>
      <c r="I539" s="5"/>
      <c r="J539" s="5"/>
      <c r="K539" s="50"/>
      <c r="L539" s="50"/>
      <c r="M539" s="50"/>
      <c r="N539" s="50"/>
      <c r="O539" s="50"/>
      <c r="P539" s="50"/>
      <c r="Q539" s="50"/>
      <c r="R539" s="50"/>
      <c r="S539" s="50"/>
      <c r="T539" s="50"/>
      <c r="U539" s="50"/>
      <c r="V539" s="50"/>
      <c r="W539" s="50"/>
      <c r="X539" s="50"/>
      <c r="Y539" s="50"/>
      <c r="Z539" s="50"/>
      <c r="AA539" s="50"/>
      <c r="AB539" s="50"/>
    </row>
    <row r="540" customFormat="false" ht="15.75" hidden="false" customHeight="false" outlineLevel="0" collapsed="false">
      <c r="A540" s="50"/>
      <c r="B540" s="50"/>
      <c r="C540" s="5"/>
      <c r="D540" s="48"/>
      <c r="E540" s="50"/>
      <c r="F540" s="5"/>
      <c r="G540" s="5"/>
      <c r="H540" s="5"/>
      <c r="I540" s="5"/>
      <c r="J540" s="5"/>
      <c r="K540" s="50"/>
      <c r="L540" s="50"/>
      <c r="M540" s="50"/>
      <c r="N540" s="50"/>
      <c r="O540" s="50"/>
      <c r="P540" s="50"/>
      <c r="Q540" s="50"/>
      <c r="R540" s="50"/>
      <c r="S540" s="50"/>
      <c r="T540" s="50"/>
      <c r="U540" s="50"/>
      <c r="V540" s="50"/>
      <c r="W540" s="50"/>
      <c r="X540" s="50"/>
      <c r="Y540" s="50"/>
      <c r="Z540" s="50"/>
      <c r="AA540" s="50"/>
      <c r="AB540" s="50"/>
    </row>
    <row r="541" customFormat="false" ht="15.75" hidden="false" customHeight="false" outlineLevel="0" collapsed="false">
      <c r="A541" s="50"/>
      <c r="B541" s="50"/>
      <c r="C541" s="5"/>
      <c r="D541" s="48"/>
      <c r="E541" s="50"/>
      <c r="F541" s="5"/>
      <c r="G541" s="5"/>
      <c r="H541" s="5"/>
      <c r="I541" s="5"/>
      <c r="J541" s="5"/>
      <c r="K541" s="50"/>
      <c r="L541" s="50"/>
      <c r="M541" s="50"/>
      <c r="N541" s="50"/>
      <c r="O541" s="50"/>
      <c r="P541" s="50"/>
      <c r="Q541" s="50"/>
      <c r="R541" s="50"/>
      <c r="S541" s="50"/>
      <c r="T541" s="50"/>
      <c r="U541" s="50"/>
      <c r="V541" s="50"/>
      <c r="W541" s="50"/>
      <c r="X541" s="50"/>
      <c r="Y541" s="50"/>
      <c r="Z541" s="50"/>
      <c r="AA541" s="50"/>
      <c r="AB541" s="50"/>
    </row>
    <row r="542" customFormat="false" ht="15.75" hidden="false" customHeight="false" outlineLevel="0" collapsed="false">
      <c r="A542" s="50"/>
      <c r="B542" s="50"/>
      <c r="C542" s="5"/>
      <c r="D542" s="48"/>
      <c r="E542" s="50"/>
      <c r="F542" s="5"/>
      <c r="G542" s="5"/>
      <c r="H542" s="5"/>
      <c r="I542" s="5"/>
      <c r="J542" s="5"/>
      <c r="K542" s="50"/>
      <c r="L542" s="50"/>
      <c r="M542" s="50"/>
      <c r="N542" s="50"/>
      <c r="O542" s="50"/>
      <c r="P542" s="50"/>
      <c r="Q542" s="50"/>
      <c r="R542" s="50"/>
      <c r="S542" s="50"/>
      <c r="T542" s="50"/>
      <c r="U542" s="50"/>
      <c r="V542" s="50"/>
      <c r="W542" s="50"/>
      <c r="X542" s="50"/>
      <c r="Y542" s="50"/>
      <c r="Z542" s="50"/>
      <c r="AA542" s="50"/>
      <c r="AB542" s="50"/>
    </row>
    <row r="543" customFormat="false" ht="15.75" hidden="false" customHeight="false" outlineLevel="0" collapsed="false">
      <c r="A543" s="50"/>
      <c r="B543" s="50"/>
      <c r="C543" s="5"/>
      <c r="D543" s="48"/>
      <c r="E543" s="50"/>
      <c r="F543" s="5"/>
      <c r="G543" s="5"/>
      <c r="H543" s="5"/>
      <c r="I543" s="5"/>
      <c r="J543" s="5"/>
      <c r="K543" s="50"/>
      <c r="L543" s="50"/>
      <c r="M543" s="50"/>
      <c r="N543" s="50"/>
      <c r="O543" s="50"/>
      <c r="P543" s="50"/>
      <c r="Q543" s="50"/>
      <c r="R543" s="50"/>
      <c r="S543" s="50"/>
      <c r="T543" s="50"/>
      <c r="U543" s="50"/>
      <c r="V543" s="50"/>
      <c r="W543" s="50"/>
      <c r="X543" s="50"/>
      <c r="Y543" s="50"/>
      <c r="Z543" s="50"/>
      <c r="AA543" s="50"/>
      <c r="AB543" s="50"/>
    </row>
    <row r="544" customFormat="false" ht="15.75" hidden="false" customHeight="false" outlineLevel="0" collapsed="false">
      <c r="A544" s="50"/>
      <c r="B544" s="50"/>
      <c r="C544" s="5"/>
      <c r="D544" s="48"/>
      <c r="E544" s="50"/>
      <c r="F544" s="5"/>
      <c r="G544" s="5"/>
      <c r="H544" s="5"/>
      <c r="I544" s="5"/>
      <c r="J544" s="5"/>
      <c r="K544" s="50"/>
      <c r="L544" s="50"/>
      <c r="M544" s="50"/>
      <c r="N544" s="50"/>
      <c r="O544" s="50"/>
      <c r="P544" s="50"/>
      <c r="Q544" s="50"/>
      <c r="R544" s="50"/>
      <c r="S544" s="50"/>
      <c r="T544" s="50"/>
      <c r="U544" s="50"/>
      <c r="V544" s="50"/>
      <c r="W544" s="50"/>
      <c r="X544" s="50"/>
      <c r="Y544" s="50"/>
      <c r="Z544" s="50"/>
      <c r="AA544" s="50"/>
      <c r="AB544" s="50"/>
    </row>
    <row r="545" customFormat="false" ht="15.75" hidden="false" customHeight="false" outlineLevel="0" collapsed="false">
      <c r="A545" s="50"/>
      <c r="B545" s="50"/>
      <c r="C545" s="5"/>
      <c r="D545" s="48"/>
      <c r="E545" s="50"/>
      <c r="F545" s="5"/>
      <c r="G545" s="5"/>
      <c r="H545" s="5"/>
      <c r="I545" s="5"/>
      <c r="J545" s="5"/>
      <c r="K545" s="50"/>
      <c r="L545" s="50"/>
      <c r="M545" s="50"/>
      <c r="N545" s="50"/>
      <c r="O545" s="50"/>
      <c r="P545" s="50"/>
      <c r="Q545" s="50"/>
      <c r="R545" s="50"/>
      <c r="S545" s="50"/>
      <c r="T545" s="50"/>
      <c r="U545" s="50"/>
      <c r="V545" s="50"/>
      <c r="W545" s="50"/>
      <c r="X545" s="50"/>
      <c r="Y545" s="50"/>
      <c r="Z545" s="50"/>
      <c r="AA545" s="50"/>
      <c r="AB545" s="50"/>
    </row>
    <row r="546" customFormat="false" ht="15.75" hidden="false" customHeight="false" outlineLevel="0" collapsed="false">
      <c r="A546" s="50"/>
      <c r="B546" s="50"/>
      <c r="C546" s="5"/>
      <c r="D546" s="48"/>
      <c r="E546" s="50"/>
      <c r="F546" s="5"/>
      <c r="G546" s="5"/>
      <c r="H546" s="5"/>
      <c r="I546" s="5"/>
      <c r="J546" s="5"/>
      <c r="K546" s="50"/>
      <c r="L546" s="50"/>
      <c r="M546" s="50"/>
      <c r="N546" s="50"/>
      <c r="O546" s="50"/>
      <c r="P546" s="50"/>
      <c r="Q546" s="50"/>
      <c r="R546" s="50"/>
      <c r="S546" s="50"/>
      <c r="T546" s="50"/>
      <c r="U546" s="50"/>
      <c r="V546" s="50"/>
      <c r="W546" s="50"/>
      <c r="X546" s="50"/>
      <c r="Y546" s="50"/>
      <c r="Z546" s="50"/>
      <c r="AA546" s="50"/>
      <c r="AB546" s="50"/>
    </row>
    <row r="547" customFormat="false" ht="15.75" hidden="false" customHeight="false" outlineLevel="0" collapsed="false">
      <c r="A547" s="50"/>
      <c r="B547" s="50"/>
      <c r="C547" s="5"/>
      <c r="D547" s="48"/>
      <c r="E547" s="50"/>
      <c r="F547" s="5"/>
      <c r="G547" s="5"/>
      <c r="H547" s="5"/>
      <c r="I547" s="5"/>
      <c r="J547" s="5"/>
      <c r="K547" s="50"/>
      <c r="L547" s="50"/>
      <c r="M547" s="50"/>
      <c r="N547" s="50"/>
      <c r="O547" s="50"/>
      <c r="P547" s="50"/>
      <c r="Q547" s="50"/>
      <c r="R547" s="50"/>
      <c r="S547" s="50"/>
      <c r="T547" s="50"/>
      <c r="U547" s="50"/>
      <c r="V547" s="50"/>
      <c r="W547" s="50"/>
      <c r="X547" s="50"/>
      <c r="Y547" s="50"/>
      <c r="Z547" s="50"/>
      <c r="AA547" s="50"/>
      <c r="AB547" s="50"/>
    </row>
    <row r="548" customFormat="false" ht="15.75" hidden="false" customHeight="false" outlineLevel="0" collapsed="false">
      <c r="A548" s="50"/>
      <c r="B548" s="50"/>
      <c r="C548" s="5"/>
      <c r="D548" s="48"/>
      <c r="E548" s="50"/>
      <c r="F548" s="5"/>
      <c r="G548" s="5"/>
      <c r="H548" s="5"/>
      <c r="I548" s="5"/>
      <c r="J548" s="5"/>
      <c r="K548" s="50"/>
      <c r="L548" s="50"/>
      <c r="M548" s="50"/>
      <c r="N548" s="50"/>
      <c r="O548" s="50"/>
      <c r="P548" s="50"/>
      <c r="Q548" s="50"/>
      <c r="R548" s="50"/>
      <c r="S548" s="50"/>
      <c r="T548" s="50"/>
      <c r="U548" s="50"/>
      <c r="V548" s="50"/>
      <c r="W548" s="50"/>
      <c r="X548" s="50"/>
      <c r="Y548" s="50"/>
      <c r="Z548" s="50"/>
      <c r="AA548" s="50"/>
      <c r="AB548" s="50"/>
    </row>
    <row r="549" customFormat="false" ht="15.75" hidden="false" customHeight="false" outlineLevel="0" collapsed="false">
      <c r="A549" s="50"/>
      <c r="B549" s="50"/>
      <c r="C549" s="5"/>
      <c r="D549" s="48"/>
      <c r="E549" s="50"/>
      <c r="F549" s="5"/>
      <c r="G549" s="5"/>
      <c r="H549" s="5"/>
      <c r="I549" s="5"/>
      <c r="J549" s="5"/>
      <c r="K549" s="50"/>
      <c r="L549" s="50"/>
      <c r="M549" s="50"/>
      <c r="N549" s="50"/>
      <c r="O549" s="50"/>
      <c r="P549" s="50"/>
      <c r="Q549" s="50"/>
      <c r="R549" s="50"/>
      <c r="S549" s="50"/>
      <c r="T549" s="50"/>
      <c r="U549" s="50"/>
      <c r="V549" s="50"/>
      <c r="W549" s="50"/>
      <c r="X549" s="50"/>
      <c r="Y549" s="50"/>
      <c r="Z549" s="50"/>
      <c r="AA549" s="50"/>
      <c r="AB549" s="50"/>
    </row>
    <row r="550" customFormat="false" ht="15.75" hidden="false" customHeight="false" outlineLevel="0" collapsed="false">
      <c r="A550" s="50"/>
      <c r="B550" s="50"/>
      <c r="C550" s="5"/>
      <c r="D550" s="48"/>
      <c r="E550" s="50"/>
      <c r="F550" s="5"/>
      <c r="G550" s="5"/>
      <c r="H550" s="5"/>
      <c r="I550" s="5"/>
      <c r="J550" s="5"/>
      <c r="K550" s="50"/>
      <c r="L550" s="50"/>
      <c r="M550" s="50"/>
      <c r="N550" s="50"/>
      <c r="O550" s="50"/>
      <c r="P550" s="50"/>
      <c r="Q550" s="50"/>
      <c r="R550" s="50"/>
      <c r="S550" s="50"/>
      <c r="T550" s="50"/>
      <c r="U550" s="50"/>
      <c r="V550" s="50"/>
      <c r="W550" s="50"/>
      <c r="X550" s="50"/>
      <c r="Y550" s="50"/>
      <c r="Z550" s="50"/>
      <c r="AA550" s="50"/>
      <c r="AB550" s="50"/>
    </row>
    <row r="551" customFormat="false" ht="15.75" hidden="false" customHeight="false" outlineLevel="0" collapsed="false">
      <c r="A551" s="50"/>
      <c r="B551" s="50"/>
      <c r="C551" s="5"/>
      <c r="D551" s="48"/>
      <c r="E551" s="50"/>
      <c r="F551" s="5"/>
      <c r="G551" s="5"/>
      <c r="H551" s="5"/>
      <c r="I551" s="5"/>
      <c r="J551" s="5"/>
      <c r="K551" s="50"/>
      <c r="L551" s="50"/>
      <c r="M551" s="50"/>
      <c r="N551" s="50"/>
      <c r="O551" s="50"/>
      <c r="P551" s="50"/>
      <c r="Q551" s="50"/>
      <c r="R551" s="50"/>
      <c r="S551" s="50"/>
      <c r="T551" s="50"/>
      <c r="U551" s="50"/>
      <c r="V551" s="50"/>
      <c r="W551" s="50"/>
      <c r="X551" s="50"/>
      <c r="Y551" s="50"/>
      <c r="Z551" s="50"/>
      <c r="AA551" s="50"/>
      <c r="AB551" s="50"/>
    </row>
    <row r="552" customFormat="false" ht="15.75" hidden="false" customHeight="false" outlineLevel="0" collapsed="false">
      <c r="A552" s="50"/>
      <c r="B552" s="50"/>
      <c r="C552" s="5"/>
      <c r="D552" s="48"/>
      <c r="E552" s="50"/>
      <c r="F552" s="5"/>
      <c r="G552" s="5"/>
      <c r="H552" s="5"/>
      <c r="I552" s="5"/>
      <c r="J552" s="5"/>
      <c r="K552" s="50"/>
      <c r="L552" s="50"/>
      <c r="M552" s="50"/>
      <c r="N552" s="50"/>
      <c r="O552" s="50"/>
      <c r="P552" s="50"/>
      <c r="Q552" s="50"/>
      <c r="R552" s="50"/>
      <c r="S552" s="50"/>
      <c r="T552" s="50"/>
      <c r="U552" s="50"/>
      <c r="V552" s="50"/>
      <c r="W552" s="50"/>
      <c r="X552" s="50"/>
      <c r="Y552" s="50"/>
      <c r="Z552" s="50"/>
      <c r="AA552" s="50"/>
      <c r="AB552" s="50"/>
    </row>
    <row r="553" customFormat="false" ht="15.75" hidden="false" customHeight="false" outlineLevel="0" collapsed="false">
      <c r="A553" s="50"/>
      <c r="B553" s="50"/>
      <c r="C553" s="5"/>
      <c r="D553" s="48"/>
      <c r="E553" s="50"/>
      <c r="F553" s="5"/>
      <c r="G553" s="5"/>
      <c r="H553" s="5"/>
      <c r="I553" s="5"/>
      <c r="J553" s="5"/>
      <c r="K553" s="50"/>
      <c r="L553" s="50"/>
      <c r="M553" s="50"/>
      <c r="N553" s="50"/>
      <c r="O553" s="50"/>
      <c r="P553" s="50"/>
      <c r="Q553" s="50"/>
      <c r="R553" s="50"/>
      <c r="S553" s="50"/>
      <c r="T553" s="50"/>
      <c r="U553" s="50"/>
      <c r="V553" s="50"/>
      <c r="W553" s="50"/>
      <c r="X553" s="50"/>
      <c r="Y553" s="50"/>
      <c r="Z553" s="50"/>
      <c r="AA553" s="50"/>
      <c r="AB553" s="50"/>
    </row>
    <row r="554" customFormat="false" ht="15.75" hidden="false" customHeight="false" outlineLevel="0" collapsed="false">
      <c r="A554" s="50"/>
      <c r="B554" s="50"/>
      <c r="C554" s="5"/>
      <c r="D554" s="48"/>
      <c r="E554" s="50"/>
      <c r="F554" s="5"/>
      <c r="G554" s="5"/>
      <c r="H554" s="5"/>
      <c r="I554" s="5"/>
      <c r="J554" s="5"/>
      <c r="K554" s="50"/>
      <c r="L554" s="50"/>
      <c r="M554" s="50"/>
      <c r="N554" s="50"/>
      <c r="O554" s="50"/>
      <c r="P554" s="50"/>
      <c r="Q554" s="50"/>
      <c r="R554" s="50"/>
      <c r="S554" s="50"/>
      <c r="T554" s="50"/>
      <c r="U554" s="50"/>
      <c r="V554" s="50"/>
      <c r="W554" s="50"/>
      <c r="X554" s="50"/>
      <c r="Y554" s="50"/>
      <c r="Z554" s="50"/>
      <c r="AA554" s="50"/>
      <c r="AB554" s="50"/>
    </row>
    <row r="555" customFormat="false" ht="15.75" hidden="false" customHeight="false" outlineLevel="0" collapsed="false">
      <c r="A555" s="50"/>
      <c r="B555" s="50"/>
      <c r="C555" s="5"/>
      <c r="D555" s="48"/>
      <c r="E555" s="50"/>
      <c r="F555" s="5"/>
      <c r="G555" s="5"/>
      <c r="H555" s="5"/>
      <c r="I555" s="5"/>
      <c r="J555" s="5"/>
      <c r="K555" s="50"/>
      <c r="L555" s="50"/>
      <c r="M555" s="50"/>
      <c r="N555" s="50"/>
      <c r="O555" s="50"/>
      <c r="P555" s="50"/>
      <c r="Q555" s="50"/>
      <c r="R555" s="50"/>
      <c r="S555" s="50"/>
      <c r="T555" s="50"/>
      <c r="U555" s="50"/>
      <c r="V555" s="50"/>
      <c r="W555" s="50"/>
      <c r="X555" s="50"/>
      <c r="Y555" s="50"/>
      <c r="Z555" s="50"/>
      <c r="AA555" s="50"/>
      <c r="AB555" s="50"/>
    </row>
    <row r="556" customFormat="false" ht="15.75" hidden="false" customHeight="false" outlineLevel="0" collapsed="false">
      <c r="A556" s="50"/>
      <c r="B556" s="50"/>
      <c r="C556" s="5"/>
      <c r="D556" s="48"/>
      <c r="E556" s="50"/>
      <c r="F556" s="5"/>
      <c r="G556" s="5"/>
      <c r="H556" s="5"/>
      <c r="I556" s="5"/>
      <c r="J556" s="5"/>
      <c r="K556" s="50"/>
      <c r="L556" s="50"/>
      <c r="M556" s="50"/>
      <c r="N556" s="50"/>
      <c r="O556" s="50"/>
      <c r="P556" s="50"/>
      <c r="Q556" s="50"/>
      <c r="R556" s="50"/>
      <c r="S556" s="50"/>
      <c r="T556" s="50"/>
      <c r="U556" s="50"/>
      <c r="V556" s="50"/>
      <c r="W556" s="50"/>
      <c r="X556" s="50"/>
      <c r="Y556" s="50"/>
      <c r="Z556" s="50"/>
      <c r="AA556" s="50"/>
      <c r="AB556" s="50"/>
    </row>
    <row r="557" customFormat="false" ht="15.75" hidden="false" customHeight="false" outlineLevel="0" collapsed="false">
      <c r="A557" s="50"/>
      <c r="B557" s="50"/>
      <c r="C557" s="5"/>
      <c r="D557" s="48"/>
      <c r="E557" s="50"/>
      <c r="F557" s="5"/>
      <c r="G557" s="5"/>
      <c r="H557" s="5"/>
      <c r="I557" s="5"/>
      <c r="J557" s="5"/>
      <c r="K557" s="50"/>
      <c r="L557" s="50"/>
      <c r="M557" s="50"/>
      <c r="N557" s="50"/>
      <c r="O557" s="50"/>
      <c r="P557" s="50"/>
      <c r="Q557" s="50"/>
      <c r="R557" s="50"/>
      <c r="S557" s="50"/>
      <c r="T557" s="50"/>
      <c r="U557" s="50"/>
      <c r="V557" s="50"/>
      <c r="W557" s="50"/>
      <c r="X557" s="50"/>
      <c r="Y557" s="50"/>
      <c r="Z557" s="50"/>
      <c r="AA557" s="50"/>
      <c r="AB557" s="50"/>
    </row>
    <row r="558" customFormat="false" ht="15.75" hidden="false" customHeight="false" outlineLevel="0" collapsed="false">
      <c r="A558" s="50"/>
      <c r="B558" s="50"/>
      <c r="C558" s="5"/>
      <c r="D558" s="48"/>
      <c r="E558" s="50"/>
      <c r="F558" s="5"/>
      <c r="G558" s="5"/>
      <c r="H558" s="5"/>
      <c r="I558" s="5"/>
      <c r="J558" s="5"/>
      <c r="K558" s="50"/>
      <c r="L558" s="50"/>
      <c r="M558" s="50"/>
      <c r="N558" s="50"/>
      <c r="O558" s="50"/>
      <c r="P558" s="50"/>
      <c r="Q558" s="50"/>
      <c r="R558" s="50"/>
      <c r="S558" s="50"/>
      <c r="T558" s="50"/>
      <c r="U558" s="50"/>
      <c r="V558" s="50"/>
      <c r="W558" s="50"/>
      <c r="X558" s="50"/>
      <c r="Y558" s="50"/>
      <c r="Z558" s="50"/>
      <c r="AA558" s="50"/>
      <c r="AB558" s="50"/>
    </row>
    <row r="559" customFormat="false" ht="15.75" hidden="false" customHeight="false" outlineLevel="0" collapsed="false">
      <c r="A559" s="50"/>
      <c r="B559" s="50"/>
      <c r="C559" s="5"/>
      <c r="D559" s="48"/>
      <c r="E559" s="50"/>
      <c r="F559" s="5"/>
      <c r="G559" s="5"/>
      <c r="H559" s="5"/>
      <c r="I559" s="5"/>
      <c r="J559" s="5"/>
      <c r="K559" s="50"/>
      <c r="L559" s="50"/>
      <c r="M559" s="50"/>
      <c r="N559" s="50"/>
      <c r="O559" s="50"/>
      <c r="P559" s="50"/>
      <c r="Q559" s="50"/>
      <c r="R559" s="50"/>
      <c r="S559" s="50"/>
      <c r="T559" s="50"/>
      <c r="U559" s="50"/>
      <c r="V559" s="50"/>
      <c r="W559" s="50"/>
      <c r="X559" s="50"/>
      <c r="Y559" s="50"/>
      <c r="Z559" s="50"/>
      <c r="AA559" s="50"/>
      <c r="AB559" s="50"/>
    </row>
    <row r="560" customFormat="false" ht="15.75" hidden="false" customHeight="false" outlineLevel="0" collapsed="false">
      <c r="A560" s="50"/>
      <c r="B560" s="50"/>
      <c r="C560" s="5"/>
      <c r="D560" s="48"/>
      <c r="E560" s="50"/>
      <c r="F560" s="5"/>
      <c r="G560" s="5"/>
      <c r="H560" s="5"/>
      <c r="I560" s="5"/>
      <c r="J560" s="5"/>
      <c r="K560" s="50"/>
      <c r="L560" s="50"/>
      <c r="M560" s="50"/>
      <c r="N560" s="50"/>
      <c r="O560" s="50"/>
      <c r="P560" s="50"/>
      <c r="Q560" s="50"/>
      <c r="R560" s="50"/>
      <c r="S560" s="50"/>
      <c r="T560" s="50"/>
      <c r="U560" s="50"/>
      <c r="V560" s="50"/>
      <c r="W560" s="50"/>
      <c r="X560" s="50"/>
      <c r="Y560" s="50"/>
      <c r="Z560" s="50"/>
      <c r="AA560" s="50"/>
      <c r="AB560" s="50"/>
    </row>
    <row r="561" customFormat="false" ht="15.75" hidden="false" customHeight="false" outlineLevel="0" collapsed="false">
      <c r="A561" s="50"/>
      <c r="B561" s="50"/>
      <c r="C561" s="5"/>
      <c r="D561" s="48"/>
      <c r="E561" s="50"/>
      <c r="F561" s="5"/>
      <c r="G561" s="5"/>
      <c r="H561" s="5"/>
      <c r="I561" s="5"/>
      <c r="J561" s="5"/>
      <c r="K561" s="50"/>
      <c r="L561" s="50"/>
      <c r="M561" s="50"/>
      <c r="N561" s="50"/>
      <c r="O561" s="50"/>
      <c r="P561" s="50"/>
      <c r="Q561" s="50"/>
      <c r="R561" s="50"/>
      <c r="S561" s="50"/>
      <c r="T561" s="50"/>
      <c r="U561" s="50"/>
      <c r="V561" s="50"/>
      <c r="W561" s="50"/>
      <c r="X561" s="50"/>
      <c r="Y561" s="50"/>
      <c r="Z561" s="50"/>
      <c r="AA561" s="50"/>
      <c r="AB561" s="50"/>
    </row>
    <row r="562" customFormat="false" ht="15.75" hidden="false" customHeight="false" outlineLevel="0" collapsed="false">
      <c r="A562" s="50"/>
      <c r="B562" s="50"/>
      <c r="C562" s="5"/>
      <c r="D562" s="48"/>
      <c r="E562" s="50"/>
      <c r="F562" s="5"/>
      <c r="G562" s="5"/>
      <c r="H562" s="5"/>
      <c r="I562" s="5"/>
      <c r="J562" s="5"/>
      <c r="K562" s="50"/>
      <c r="L562" s="50"/>
      <c r="M562" s="50"/>
      <c r="N562" s="50"/>
      <c r="O562" s="50"/>
      <c r="P562" s="50"/>
      <c r="Q562" s="50"/>
      <c r="R562" s="50"/>
      <c r="S562" s="50"/>
      <c r="T562" s="50"/>
      <c r="U562" s="50"/>
      <c r="V562" s="50"/>
      <c r="W562" s="50"/>
      <c r="X562" s="50"/>
      <c r="Y562" s="50"/>
      <c r="Z562" s="50"/>
      <c r="AA562" s="50"/>
      <c r="AB562" s="50"/>
    </row>
    <row r="563" customFormat="false" ht="15.75" hidden="false" customHeight="false" outlineLevel="0" collapsed="false">
      <c r="A563" s="50"/>
      <c r="B563" s="50"/>
      <c r="C563" s="5"/>
      <c r="D563" s="48"/>
      <c r="E563" s="50"/>
      <c r="F563" s="5"/>
      <c r="G563" s="5"/>
      <c r="H563" s="5"/>
      <c r="I563" s="5"/>
      <c r="J563" s="5"/>
      <c r="K563" s="50"/>
      <c r="L563" s="50"/>
      <c r="M563" s="50"/>
      <c r="N563" s="50"/>
      <c r="O563" s="50"/>
      <c r="P563" s="50"/>
      <c r="Q563" s="50"/>
      <c r="R563" s="50"/>
      <c r="S563" s="50"/>
      <c r="T563" s="50"/>
      <c r="U563" s="50"/>
      <c r="V563" s="50"/>
      <c r="W563" s="50"/>
      <c r="X563" s="50"/>
      <c r="Y563" s="50"/>
      <c r="Z563" s="50"/>
      <c r="AA563" s="50"/>
      <c r="AB563" s="50"/>
    </row>
    <row r="564" customFormat="false" ht="15.75" hidden="false" customHeight="false" outlineLevel="0" collapsed="false">
      <c r="A564" s="50"/>
      <c r="B564" s="50"/>
      <c r="C564" s="5"/>
      <c r="D564" s="48"/>
      <c r="E564" s="50"/>
      <c r="F564" s="5"/>
      <c r="G564" s="5"/>
      <c r="H564" s="5"/>
      <c r="I564" s="5"/>
      <c r="J564" s="5"/>
      <c r="K564" s="50"/>
      <c r="L564" s="50"/>
      <c r="M564" s="50"/>
      <c r="N564" s="50"/>
      <c r="O564" s="50"/>
      <c r="P564" s="50"/>
      <c r="Q564" s="50"/>
      <c r="R564" s="50"/>
      <c r="S564" s="50"/>
      <c r="T564" s="50"/>
      <c r="U564" s="50"/>
      <c r="V564" s="50"/>
      <c r="W564" s="50"/>
      <c r="X564" s="50"/>
      <c r="Y564" s="50"/>
      <c r="Z564" s="50"/>
      <c r="AA564" s="50"/>
      <c r="AB564" s="50"/>
    </row>
    <row r="565" customFormat="false" ht="15.75" hidden="false" customHeight="false" outlineLevel="0" collapsed="false">
      <c r="A565" s="50"/>
      <c r="B565" s="50"/>
      <c r="C565" s="5"/>
      <c r="D565" s="48"/>
      <c r="E565" s="50"/>
      <c r="F565" s="5"/>
      <c r="G565" s="5"/>
      <c r="H565" s="5"/>
      <c r="I565" s="5"/>
      <c r="J565" s="5"/>
      <c r="K565" s="50"/>
      <c r="L565" s="50"/>
      <c r="M565" s="50"/>
      <c r="N565" s="50"/>
      <c r="O565" s="50"/>
      <c r="P565" s="50"/>
      <c r="Q565" s="50"/>
      <c r="R565" s="50"/>
      <c r="S565" s="50"/>
      <c r="T565" s="50"/>
      <c r="U565" s="50"/>
      <c r="V565" s="50"/>
      <c r="W565" s="50"/>
      <c r="X565" s="50"/>
      <c r="Y565" s="50"/>
      <c r="Z565" s="50"/>
      <c r="AA565" s="50"/>
      <c r="AB565" s="50"/>
    </row>
    <row r="566" customFormat="false" ht="15.75" hidden="false" customHeight="false" outlineLevel="0" collapsed="false">
      <c r="A566" s="50"/>
      <c r="B566" s="50"/>
      <c r="C566" s="5"/>
      <c r="D566" s="48"/>
      <c r="E566" s="50"/>
      <c r="F566" s="5"/>
      <c r="G566" s="5"/>
      <c r="H566" s="5"/>
      <c r="I566" s="5"/>
      <c r="J566" s="5"/>
      <c r="K566" s="50"/>
      <c r="L566" s="50"/>
      <c r="M566" s="50"/>
      <c r="N566" s="50"/>
      <c r="O566" s="50"/>
      <c r="P566" s="50"/>
      <c r="Q566" s="50"/>
      <c r="R566" s="50"/>
      <c r="S566" s="50"/>
      <c r="T566" s="50"/>
      <c r="U566" s="50"/>
      <c r="V566" s="50"/>
      <c r="W566" s="50"/>
      <c r="X566" s="50"/>
      <c r="Y566" s="50"/>
      <c r="Z566" s="50"/>
      <c r="AA566" s="50"/>
      <c r="AB566" s="50"/>
    </row>
    <row r="567" customFormat="false" ht="15.75" hidden="false" customHeight="false" outlineLevel="0" collapsed="false">
      <c r="A567" s="50"/>
      <c r="B567" s="50"/>
      <c r="C567" s="5"/>
      <c r="D567" s="48"/>
      <c r="E567" s="50"/>
      <c r="F567" s="5"/>
      <c r="G567" s="5"/>
      <c r="H567" s="5"/>
      <c r="I567" s="5"/>
      <c r="J567" s="5"/>
      <c r="K567" s="50"/>
      <c r="L567" s="50"/>
      <c r="M567" s="50"/>
      <c r="N567" s="50"/>
      <c r="O567" s="50"/>
      <c r="P567" s="50"/>
      <c r="Q567" s="50"/>
      <c r="R567" s="50"/>
      <c r="S567" s="50"/>
      <c r="T567" s="50"/>
      <c r="U567" s="50"/>
      <c r="V567" s="50"/>
      <c r="W567" s="50"/>
      <c r="X567" s="50"/>
      <c r="Y567" s="50"/>
      <c r="Z567" s="50"/>
      <c r="AA567" s="50"/>
      <c r="AB567" s="50"/>
    </row>
    <row r="568" customFormat="false" ht="15.75" hidden="false" customHeight="false" outlineLevel="0" collapsed="false">
      <c r="A568" s="50"/>
      <c r="B568" s="50"/>
      <c r="C568" s="5"/>
      <c r="D568" s="48"/>
      <c r="E568" s="50"/>
      <c r="F568" s="5"/>
      <c r="G568" s="5"/>
      <c r="H568" s="5"/>
      <c r="I568" s="5"/>
      <c r="J568" s="5"/>
      <c r="K568" s="50"/>
      <c r="L568" s="50"/>
      <c r="M568" s="50"/>
      <c r="N568" s="50"/>
      <c r="O568" s="50"/>
      <c r="P568" s="50"/>
      <c r="Q568" s="50"/>
      <c r="R568" s="50"/>
      <c r="S568" s="50"/>
      <c r="T568" s="50"/>
      <c r="U568" s="50"/>
      <c r="V568" s="50"/>
      <c r="W568" s="50"/>
      <c r="X568" s="50"/>
      <c r="Y568" s="50"/>
      <c r="Z568" s="50"/>
      <c r="AA568" s="50"/>
      <c r="AB568" s="50"/>
    </row>
    <row r="569" customFormat="false" ht="15.75" hidden="false" customHeight="false" outlineLevel="0" collapsed="false">
      <c r="A569" s="50"/>
      <c r="B569" s="50"/>
      <c r="C569" s="5"/>
      <c r="D569" s="48"/>
      <c r="E569" s="50"/>
      <c r="F569" s="5"/>
      <c r="G569" s="5"/>
      <c r="H569" s="5"/>
      <c r="I569" s="5"/>
      <c r="J569" s="5"/>
      <c r="K569" s="50"/>
      <c r="L569" s="50"/>
      <c r="M569" s="50"/>
      <c r="N569" s="50"/>
      <c r="O569" s="50"/>
      <c r="P569" s="50"/>
      <c r="Q569" s="50"/>
      <c r="R569" s="50"/>
      <c r="S569" s="50"/>
      <c r="T569" s="50"/>
      <c r="U569" s="50"/>
      <c r="V569" s="50"/>
      <c r="W569" s="50"/>
      <c r="X569" s="50"/>
      <c r="Y569" s="50"/>
      <c r="Z569" s="50"/>
      <c r="AA569" s="50"/>
      <c r="AB569" s="50"/>
    </row>
    <row r="570" customFormat="false" ht="15.75" hidden="false" customHeight="false" outlineLevel="0" collapsed="false">
      <c r="A570" s="50"/>
      <c r="B570" s="50"/>
      <c r="C570" s="5"/>
      <c r="D570" s="48"/>
      <c r="E570" s="50"/>
      <c r="F570" s="5"/>
      <c r="G570" s="5"/>
      <c r="H570" s="5"/>
      <c r="I570" s="5"/>
      <c r="J570" s="5"/>
      <c r="K570" s="50"/>
      <c r="L570" s="50"/>
      <c r="M570" s="50"/>
      <c r="N570" s="50"/>
      <c r="O570" s="50"/>
      <c r="P570" s="50"/>
      <c r="Q570" s="50"/>
      <c r="R570" s="50"/>
      <c r="S570" s="50"/>
      <c r="T570" s="50"/>
      <c r="U570" s="50"/>
      <c r="V570" s="50"/>
      <c r="W570" s="50"/>
      <c r="X570" s="50"/>
      <c r="Y570" s="50"/>
      <c r="Z570" s="50"/>
      <c r="AA570" s="50"/>
      <c r="AB570" s="50"/>
    </row>
    <row r="571" customFormat="false" ht="15.75" hidden="false" customHeight="false" outlineLevel="0" collapsed="false">
      <c r="A571" s="50"/>
      <c r="B571" s="50"/>
      <c r="C571" s="5"/>
      <c r="D571" s="48"/>
      <c r="E571" s="50"/>
      <c r="F571" s="5"/>
      <c r="G571" s="5"/>
      <c r="H571" s="5"/>
      <c r="I571" s="5"/>
      <c r="J571" s="5"/>
      <c r="K571" s="50"/>
      <c r="L571" s="50"/>
      <c r="M571" s="50"/>
      <c r="N571" s="50"/>
      <c r="O571" s="50"/>
      <c r="P571" s="50"/>
      <c r="Q571" s="50"/>
      <c r="R571" s="50"/>
      <c r="S571" s="50"/>
      <c r="T571" s="50"/>
      <c r="U571" s="50"/>
      <c r="V571" s="50"/>
      <c r="W571" s="50"/>
      <c r="X571" s="50"/>
      <c r="Y571" s="50"/>
      <c r="Z571" s="50"/>
      <c r="AA571" s="50"/>
      <c r="AB571" s="50"/>
    </row>
    <row r="572" customFormat="false" ht="15.75" hidden="false" customHeight="false" outlineLevel="0" collapsed="false">
      <c r="A572" s="50"/>
      <c r="B572" s="50"/>
      <c r="C572" s="5"/>
      <c r="D572" s="48"/>
      <c r="E572" s="50"/>
      <c r="F572" s="5"/>
      <c r="G572" s="5"/>
      <c r="H572" s="5"/>
      <c r="I572" s="5"/>
      <c r="J572" s="5"/>
      <c r="K572" s="50"/>
      <c r="L572" s="50"/>
      <c r="M572" s="50"/>
      <c r="N572" s="50"/>
      <c r="O572" s="50"/>
      <c r="P572" s="50"/>
      <c r="Q572" s="50"/>
      <c r="R572" s="50"/>
      <c r="S572" s="50"/>
      <c r="T572" s="50"/>
      <c r="U572" s="50"/>
      <c r="V572" s="50"/>
      <c r="W572" s="50"/>
      <c r="X572" s="50"/>
      <c r="Y572" s="50"/>
      <c r="Z572" s="50"/>
      <c r="AA572" s="50"/>
      <c r="AB572" s="50"/>
    </row>
    <row r="573" customFormat="false" ht="15.75" hidden="false" customHeight="false" outlineLevel="0" collapsed="false">
      <c r="A573" s="50"/>
      <c r="B573" s="50"/>
      <c r="C573" s="5"/>
      <c r="D573" s="48"/>
      <c r="E573" s="50"/>
      <c r="F573" s="5"/>
      <c r="G573" s="5"/>
      <c r="H573" s="5"/>
      <c r="I573" s="5"/>
      <c r="J573" s="5"/>
      <c r="K573" s="50"/>
      <c r="L573" s="50"/>
      <c r="M573" s="50"/>
      <c r="N573" s="50"/>
      <c r="O573" s="50"/>
      <c r="P573" s="50"/>
      <c r="Q573" s="50"/>
      <c r="R573" s="50"/>
      <c r="S573" s="50"/>
      <c r="T573" s="50"/>
      <c r="U573" s="50"/>
      <c r="V573" s="50"/>
      <c r="W573" s="50"/>
      <c r="X573" s="50"/>
      <c r="Y573" s="50"/>
      <c r="Z573" s="50"/>
      <c r="AA573" s="50"/>
      <c r="AB573" s="50"/>
    </row>
    <row r="574" customFormat="false" ht="15.75" hidden="false" customHeight="false" outlineLevel="0" collapsed="false">
      <c r="A574" s="50"/>
      <c r="B574" s="50"/>
      <c r="C574" s="5"/>
      <c r="D574" s="48"/>
      <c r="E574" s="50"/>
      <c r="F574" s="5"/>
      <c r="G574" s="5"/>
      <c r="H574" s="5"/>
      <c r="I574" s="5"/>
      <c r="J574" s="5"/>
      <c r="K574" s="50"/>
      <c r="L574" s="50"/>
      <c r="M574" s="50"/>
      <c r="N574" s="50"/>
      <c r="O574" s="50"/>
      <c r="P574" s="50"/>
      <c r="Q574" s="50"/>
      <c r="R574" s="50"/>
      <c r="S574" s="50"/>
      <c r="T574" s="50"/>
      <c r="U574" s="50"/>
      <c r="V574" s="50"/>
      <c r="W574" s="50"/>
      <c r="X574" s="50"/>
      <c r="Y574" s="50"/>
      <c r="Z574" s="50"/>
      <c r="AA574" s="50"/>
      <c r="AB574" s="50"/>
    </row>
    <row r="575" customFormat="false" ht="15.75" hidden="false" customHeight="false" outlineLevel="0" collapsed="false">
      <c r="A575" s="50"/>
      <c r="B575" s="50"/>
      <c r="C575" s="5"/>
      <c r="D575" s="48"/>
      <c r="E575" s="50"/>
      <c r="F575" s="5"/>
      <c r="G575" s="5"/>
      <c r="H575" s="5"/>
      <c r="I575" s="5"/>
      <c r="J575" s="5"/>
      <c r="K575" s="50"/>
      <c r="L575" s="50"/>
      <c r="M575" s="50"/>
      <c r="N575" s="50"/>
      <c r="O575" s="50"/>
      <c r="P575" s="50"/>
      <c r="Q575" s="50"/>
      <c r="R575" s="50"/>
      <c r="S575" s="50"/>
      <c r="T575" s="50"/>
      <c r="U575" s="50"/>
      <c r="V575" s="50"/>
      <c r="W575" s="50"/>
      <c r="X575" s="50"/>
      <c r="Y575" s="50"/>
      <c r="Z575" s="50"/>
      <c r="AA575" s="50"/>
      <c r="AB575" s="50"/>
    </row>
    <row r="576" customFormat="false" ht="15.75" hidden="false" customHeight="false" outlineLevel="0" collapsed="false">
      <c r="A576" s="50"/>
      <c r="B576" s="50"/>
      <c r="C576" s="5"/>
      <c r="D576" s="48"/>
      <c r="E576" s="50"/>
      <c r="F576" s="5"/>
      <c r="G576" s="5"/>
      <c r="H576" s="5"/>
      <c r="I576" s="5"/>
      <c r="J576" s="5"/>
      <c r="K576" s="50"/>
      <c r="L576" s="50"/>
      <c r="M576" s="50"/>
      <c r="N576" s="50"/>
      <c r="O576" s="50"/>
      <c r="P576" s="50"/>
      <c r="Q576" s="50"/>
      <c r="R576" s="50"/>
      <c r="S576" s="50"/>
      <c r="T576" s="50"/>
      <c r="U576" s="50"/>
      <c r="V576" s="50"/>
      <c r="W576" s="50"/>
      <c r="X576" s="50"/>
      <c r="Y576" s="50"/>
      <c r="Z576" s="50"/>
      <c r="AA576" s="50"/>
      <c r="AB576" s="50"/>
    </row>
    <row r="577" customFormat="false" ht="15.75" hidden="false" customHeight="false" outlineLevel="0" collapsed="false">
      <c r="A577" s="50"/>
      <c r="B577" s="50"/>
      <c r="C577" s="5"/>
      <c r="D577" s="48"/>
      <c r="E577" s="50"/>
      <c r="F577" s="5"/>
      <c r="G577" s="5"/>
      <c r="H577" s="5"/>
      <c r="I577" s="5"/>
      <c r="J577" s="5"/>
      <c r="K577" s="50"/>
      <c r="L577" s="50"/>
      <c r="M577" s="50"/>
      <c r="N577" s="50"/>
      <c r="O577" s="50"/>
      <c r="P577" s="50"/>
      <c r="Q577" s="50"/>
      <c r="R577" s="50"/>
      <c r="S577" s="50"/>
      <c r="T577" s="50"/>
      <c r="U577" s="50"/>
      <c r="V577" s="50"/>
      <c r="W577" s="50"/>
      <c r="X577" s="50"/>
      <c r="Y577" s="50"/>
      <c r="Z577" s="50"/>
      <c r="AA577" s="50"/>
      <c r="AB577" s="50"/>
    </row>
    <row r="578" customFormat="false" ht="15.75" hidden="false" customHeight="false" outlineLevel="0" collapsed="false">
      <c r="A578" s="50"/>
      <c r="B578" s="50"/>
      <c r="C578" s="5"/>
      <c r="D578" s="48"/>
      <c r="E578" s="50"/>
      <c r="F578" s="5"/>
      <c r="G578" s="5"/>
      <c r="H578" s="5"/>
      <c r="I578" s="5"/>
      <c r="J578" s="5"/>
      <c r="K578" s="50"/>
      <c r="L578" s="50"/>
      <c r="M578" s="50"/>
      <c r="N578" s="50"/>
      <c r="O578" s="50"/>
      <c r="P578" s="50"/>
      <c r="Q578" s="50"/>
      <c r="R578" s="50"/>
      <c r="S578" s="50"/>
      <c r="T578" s="50"/>
      <c r="U578" s="50"/>
      <c r="V578" s="50"/>
      <c r="W578" s="50"/>
      <c r="X578" s="50"/>
      <c r="Y578" s="50"/>
      <c r="Z578" s="50"/>
      <c r="AA578" s="50"/>
      <c r="AB578" s="50"/>
    </row>
    <row r="579" customFormat="false" ht="15.75" hidden="false" customHeight="false" outlineLevel="0" collapsed="false">
      <c r="A579" s="50"/>
      <c r="B579" s="50"/>
      <c r="C579" s="5"/>
      <c r="D579" s="48"/>
      <c r="E579" s="50"/>
      <c r="F579" s="5"/>
      <c r="G579" s="5"/>
      <c r="H579" s="5"/>
      <c r="I579" s="5"/>
      <c r="J579" s="5"/>
      <c r="K579" s="50"/>
      <c r="L579" s="50"/>
      <c r="M579" s="50"/>
      <c r="N579" s="50"/>
      <c r="O579" s="50"/>
      <c r="P579" s="50"/>
      <c r="Q579" s="50"/>
      <c r="R579" s="50"/>
      <c r="S579" s="50"/>
      <c r="T579" s="50"/>
      <c r="U579" s="50"/>
      <c r="V579" s="50"/>
      <c r="W579" s="50"/>
      <c r="X579" s="50"/>
      <c r="Y579" s="50"/>
      <c r="Z579" s="50"/>
      <c r="AA579" s="50"/>
      <c r="AB579" s="50"/>
    </row>
    <row r="580" customFormat="false" ht="15.75" hidden="false" customHeight="false" outlineLevel="0" collapsed="false">
      <c r="A580" s="50"/>
      <c r="B580" s="50"/>
      <c r="C580" s="5"/>
      <c r="D580" s="48"/>
      <c r="E580" s="50"/>
      <c r="F580" s="5"/>
      <c r="G580" s="5"/>
      <c r="H580" s="5"/>
      <c r="I580" s="5"/>
      <c r="J580" s="5"/>
      <c r="K580" s="50"/>
      <c r="L580" s="50"/>
      <c r="M580" s="50"/>
      <c r="N580" s="50"/>
      <c r="O580" s="50"/>
      <c r="P580" s="50"/>
      <c r="Q580" s="50"/>
      <c r="R580" s="50"/>
      <c r="S580" s="50"/>
      <c r="T580" s="50"/>
      <c r="U580" s="50"/>
      <c r="V580" s="50"/>
      <c r="W580" s="50"/>
      <c r="X580" s="50"/>
      <c r="Y580" s="50"/>
      <c r="Z580" s="50"/>
      <c r="AA580" s="50"/>
      <c r="AB580" s="50"/>
    </row>
    <row r="581" customFormat="false" ht="15.75" hidden="false" customHeight="false" outlineLevel="0" collapsed="false">
      <c r="A581" s="50"/>
      <c r="B581" s="50"/>
      <c r="C581" s="5"/>
      <c r="D581" s="48"/>
      <c r="E581" s="50"/>
      <c r="F581" s="5"/>
      <c r="G581" s="5"/>
      <c r="H581" s="5"/>
      <c r="I581" s="5"/>
      <c r="J581" s="5"/>
      <c r="K581" s="50"/>
      <c r="L581" s="50"/>
      <c r="M581" s="50"/>
      <c r="N581" s="50"/>
      <c r="O581" s="50"/>
      <c r="P581" s="50"/>
      <c r="Q581" s="50"/>
      <c r="R581" s="50"/>
      <c r="S581" s="50"/>
      <c r="T581" s="50"/>
      <c r="U581" s="50"/>
      <c r="V581" s="50"/>
      <c r="W581" s="50"/>
      <c r="X581" s="50"/>
      <c r="Y581" s="50"/>
      <c r="Z581" s="50"/>
      <c r="AA581" s="50"/>
      <c r="AB581" s="50"/>
    </row>
    <row r="582" customFormat="false" ht="15.75" hidden="false" customHeight="false" outlineLevel="0" collapsed="false">
      <c r="A582" s="50"/>
      <c r="B582" s="50"/>
      <c r="C582" s="5"/>
      <c r="D582" s="48"/>
      <c r="E582" s="50"/>
      <c r="F582" s="5"/>
      <c r="G582" s="5"/>
      <c r="H582" s="5"/>
      <c r="I582" s="5"/>
      <c r="J582" s="5"/>
      <c r="K582" s="50"/>
      <c r="L582" s="50"/>
      <c r="M582" s="50"/>
      <c r="N582" s="50"/>
      <c r="O582" s="50"/>
      <c r="P582" s="50"/>
      <c r="Q582" s="50"/>
      <c r="R582" s="50"/>
      <c r="S582" s="50"/>
      <c r="T582" s="50"/>
      <c r="U582" s="50"/>
      <c r="V582" s="50"/>
      <c r="W582" s="50"/>
      <c r="X582" s="50"/>
      <c r="Y582" s="50"/>
      <c r="Z582" s="50"/>
      <c r="AA582" s="50"/>
      <c r="AB582" s="50"/>
    </row>
    <row r="583" customFormat="false" ht="15.75" hidden="false" customHeight="false" outlineLevel="0" collapsed="false">
      <c r="A583" s="50"/>
      <c r="B583" s="50"/>
      <c r="C583" s="5"/>
      <c r="D583" s="48"/>
      <c r="E583" s="50"/>
      <c r="F583" s="5"/>
      <c r="G583" s="5"/>
      <c r="H583" s="5"/>
      <c r="I583" s="5"/>
      <c r="J583" s="5"/>
      <c r="K583" s="50"/>
      <c r="L583" s="50"/>
      <c r="M583" s="50"/>
      <c r="N583" s="50"/>
      <c r="O583" s="50"/>
      <c r="P583" s="50"/>
      <c r="Q583" s="50"/>
      <c r="R583" s="50"/>
      <c r="S583" s="50"/>
      <c r="T583" s="50"/>
      <c r="U583" s="50"/>
      <c r="V583" s="50"/>
      <c r="W583" s="50"/>
      <c r="X583" s="50"/>
      <c r="Y583" s="50"/>
      <c r="Z583" s="50"/>
      <c r="AA583" s="50"/>
      <c r="AB583" s="50"/>
    </row>
    <row r="584" customFormat="false" ht="15.75" hidden="false" customHeight="false" outlineLevel="0" collapsed="false">
      <c r="A584" s="50"/>
      <c r="B584" s="50"/>
      <c r="C584" s="5"/>
      <c r="D584" s="48"/>
      <c r="E584" s="50"/>
      <c r="F584" s="5"/>
      <c r="G584" s="5"/>
      <c r="H584" s="5"/>
      <c r="I584" s="5"/>
      <c r="J584" s="5"/>
      <c r="K584" s="50"/>
      <c r="L584" s="50"/>
      <c r="M584" s="50"/>
      <c r="N584" s="50"/>
      <c r="O584" s="50"/>
      <c r="P584" s="50"/>
      <c r="Q584" s="50"/>
      <c r="R584" s="50"/>
      <c r="S584" s="50"/>
      <c r="T584" s="50"/>
      <c r="U584" s="50"/>
      <c r="V584" s="50"/>
      <c r="W584" s="50"/>
      <c r="X584" s="50"/>
      <c r="Y584" s="50"/>
      <c r="Z584" s="50"/>
      <c r="AA584" s="50"/>
      <c r="AB584" s="50"/>
    </row>
    <row r="585" customFormat="false" ht="15.75" hidden="false" customHeight="false" outlineLevel="0" collapsed="false">
      <c r="A585" s="50"/>
      <c r="B585" s="50"/>
      <c r="C585" s="5"/>
      <c r="D585" s="48"/>
      <c r="E585" s="50"/>
      <c r="F585" s="5"/>
      <c r="G585" s="5"/>
      <c r="H585" s="5"/>
      <c r="I585" s="5"/>
      <c r="J585" s="5"/>
      <c r="K585" s="50"/>
      <c r="L585" s="50"/>
      <c r="M585" s="50"/>
      <c r="N585" s="50"/>
      <c r="O585" s="50"/>
      <c r="P585" s="50"/>
      <c r="Q585" s="50"/>
      <c r="R585" s="50"/>
      <c r="S585" s="50"/>
      <c r="T585" s="50"/>
      <c r="U585" s="50"/>
      <c r="V585" s="50"/>
      <c r="W585" s="50"/>
      <c r="X585" s="50"/>
      <c r="Y585" s="50"/>
      <c r="Z585" s="50"/>
      <c r="AA585" s="50"/>
      <c r="AB585" s="50"/>
    </row>
    <row r="586" customFormat="false" ht="15.75" hidden="false" customHeight="false" outlineLevel="0" collapsed="false">
      <c r="A586" s="50"/>
      <c r="B586" s="50"/>
      <c r="C586" s="5"/>
      <c r="D586" s="48"/>
      <c r="E586" s="50"/>
      <c r="F586" s="5"/>
      <c r="G586" s="5"/>
      <c r="H586" s="5"/>
      <c r="I586" s="5"/>
      <c r="J586" s="5"/>
      <c r="K586" s="50"/>
      <c r="L586" s="50"/>
      <c r="M586" s="50"/>
      <c r="N586" s="50"/>
      <c r="O586" s="50"/>
      <c r="P586" s="50"/>
      <c r="Q586" s="50"/>
      <c r="R586" s="50"/>
      <c r="S586" s="50"/>
      <c r="T586" s="50"/>
      <c r="U586" s="50"/>
      <c r="V586" s="50"/>
      <c r="W586" s="50"/>
      <c r="X586" s="50"/>
      <c r="Y586" s="50"/>
      <c r="Z586" s="50"/>
      <c r="AA586" s="50"/>
      <c r="AB586" s="50"/>
    </row>
    <row r="587" customFormat="false" ht="15.75" hidden="false" customHeight="false" outlineLevel="0" collapsed="false">
      <c r="A587" s="50"/>
      <c r="B587" s="50"/>
      <c r="C587" s="5"/>
      <c r="D587" s="48"/>
      <c r="E587" s="50"/>
      <c r="F587" s="5"/>
      <c r="G587" s="5"/>
      <c r="H587" s="5"/>
      <c r="I587" s="5"/>
      <c r="J587" s="5"/>
      <c r="K587" s="50"/>
      <c r="L587" s="50"/>
      <c r="M587" s="50"/>
      <c r="N587" s="50"/>
      <c r="O587" s="50"/>
      <c r="P587" s="50"/>
      <c r="Q587" s="50"/>
      <c r="R587" s="50"/>
      <c r="S587" s="50"/>
      <c r="T587" s="50"/>
      <c r="U587" s="50"/>
      <c r="V587" s="50"/>
      <c r="W587" s="50"/>
      <c r="X587" s="50"/>
      <c r="Y587" s="50"/>
      <c r="Z587" s="50"/>
      <c r="AA587" s="50"/>
      <c r="AB587" s="50"/>
    </row>
    <row r="588" customFormat="false" ht="15.75" hidden="false" customHeight="false" outlineLevel="0" collapsed="false">
      <c r="A588" s="50"/>
      <c r="B588" s="50"/>
      <c r="C588" s="5"/>
      <c r="D588" s="48"/>
      <c r="E588" s="50"/>
      <c r="F588" s="5"/>
      <c r="G588" s="5"/>
      <c r="H588" s="5"/>
      <c r="I588" s="5"/>
      <c r="J588" s="5"/>
      <c r="K588" s="50"/>
      <c r="L588" s="50"/>
      <c r="M588" s="50"/>
      <c r="N588" s="50"/>
      <c r="O588" s="50"/>
      <c r="P588" s="50"/>
      <c r="Q588" s="50"/>
      <c r="R588" s="50"/>
      <c r="S588" s="50"/>
      <c r="T588" s="50"/>
      <c r="U588" s="50"/>
      <c r="V588" s="50"/>
      <c r="W588" s="50"/>
      <c r="X588" s="50"/>
      <c r="Y588" s="50"/>
      <c r="Z588" s="50"/>
      <c r="AA588" s="50"/>
      <c r="AB588" s="50"/>
    </row>
    <row r="589" customFormat="false" ht="15.75" hidden="false" customHeight="false" outlineLevel="0" collapsed="false">
      <c r="A589" s="50"/>
      <c r="B589" s="50"/>
      <c r="C589" s="5"/>
      <c r="D589" s="48"/>
      <c r="E589" s="50"/>
      <c r="F589" s="5"/>
      <c r="G589" s="5"/>
      <c r="H589" s="5"/>
      <c r="I589" s="5"/>
      <c r="J589" s="5"/>
      <c r="K589" s="50"/>
      <c r="L589" s="50"/>
      <c r="M589" s="50"/>
      <c r="N589" s="50"/>
      <c r="O589" s="50"/>
      <c r="P589" s="50"/>
      <c r="Q589" s="50"/>
      <c r="R589" s="50"/>
      <c r="S589" s="50"/>
      <c r="T589" s="50"/>
      <c r="U589" s="50"/>
      <c r="V589" s="50"/>
      <c r="W589" s="50"/>
      <c r="X589" s="50"/>
      <c r="Y589" s="50"/>
      <c r="Z589" s="50"/>
      <c r="AA589" s="50"/>
      <c r="AB589" s="50"/>
    </row>
    <row r="590" customFormat="false" ht="15.75" hidden="false" customHeight="false" outlineLevel="0" collapsed="false">
      <c r="A590" s="50"/>
      <c r="B590" s="50"/>
      <c r="C590" s="5"/>
      <c r="D590" s="48"/>
      <c r="E590" s="50"/>
      <c r="F590" s="5"/>
      <c r="G590" s="5"/>
      <c r="H590" s="5"/>
      <c r="I590" s="5"/>
      <c r="J590" s="5"/>
      <c r="K590" s="50"/>
      <c r="L590" s="50"/>
      <c r="M590" s="50"/>
      <c r="N590" s="50"/>
      <c r="O590" s="50"/>
      <c r="P590" s="50"/>
      <c r="Q590" s="50"/>
      <c r="R590" s="50"/>
      <c r="S590" s="50"/>
      <c r="T590" s="50"/>
      <c r="U590" s="50"/>
      <c r="V590" s="50"/>
      <c r="W590" s="50"/>
      <c r="X590" s="50"/>
      <c r="Y590" s="50"/>
      <c r="Z590" s="50"/>
      <c r="AA590" s="50"/>
      <c r="AB590" s="50"/>
    </row>
    <row r="591" customFormat="false" ht="15.75" hidden="false" customHeight="false" outlineLevel="0" collapsed="false">
      <c r="A591" s="50"/>
      <c r="B591" s="50"/>
      <c r="C591" s="5"/>
      <c r="D591" s="48"/>
      <c r="E591" s="50"/>
      <c r="F591" s="5"/>
      <c r="G591" s="5"/>
      <c r="H591" s="5"/>
      <c r="I591" s="5"/>
      <c r="J591" s="5"/>
      <c r="K591" s="50"/>
      <c r="L591" s="50"/>
      <c r="M591" s="50"/>
      <c r="N591" s="50"/>
      <c r="O591" s="50"/>
      <c r="P591" s="50"/>
      <c r="Q591" s="50"/>
      <c r="R591" s="50"/>
      <c r="S591" s="50"/>
      <c r="T591" s="50"/>
      <c r="U591" s="50"/>
      <c r="V591" s="50"/>
      <c r="W591" s="50"/>
      <c r="X591" s="50"/>
      <c r="Y591" s="50"/>
      <c r="Z591" s="50"/>
      <c r="AA591" s="50"/>
      <c r="AB591" s="50"/>
    </row>
    <row r="592" customFormat="false" ht="15.75" hidden="false" customHeight="false" outlineLevel="0" collapsed="false">
      <c r="A592" s="50"/>
      <c r="B592" s="50"/>
      <c r="C592" s="5"/>
      <c r="D592" s="48"/>
      <c r="E592" s="50"/>
      <c r="F592" s="5"/>
      <c r="G592" s="5"/>
      <c r="H592" s="5"/>
      <c r="I592" s="5"/>
      <c r="J592" s="5"/>
      <c r="K592" s="50"/>
      <c r="L592" s="50"/>
      <c r="M592" s="50"/>
      <c r="N592" s="50"/>
      <c r="O592" s="50"/>
      <c r="P592" s="50"/>
      <c r="Q592" s="50"/>
      <c r="R592" s="50"/>
      <c r="S592" s="50"/>
      <c r="T592" s="50"/>
      <c r="U592" s="50"/>
      <c r="V592" s="50"/>
      <c r="W592" s="50"/>
      <c r="X592" s="50"/>
      <c r="Y592" s="50"/>
      <c r="Z592" s="50"/>
      <c r="AA592" s="50"/>
      <c r="AB592" s="50"/>
    </row>
    <row r="593" customFormat="false" ht="15.75" hidden="false" customHeight="false" outlineLevel="0" collapsed="false">
      <c r="A593" s="50"/>
      <c r="B593" s="50"/>
      <c r="C593" s="5"/>
      <c r="D593" s="48"/>
      <c r="E593" s="50"/>
      <c r="F593" s="5"/>
      <c r="G593" s="5"/>
      <c r="H593" s="5"/>
      <c r="I593" s="5"/>
      <c r="J593" s="5"/>
      <c r="K593" s="50"/>
      <c r="L593" s="50"/>
      <c r="M593" s="50"/>
      <c r="N593" s="50"/>
      <c r="O593" s="50"/>
      <c r="P593" s="50"/>
      <c r="Q593" s="50"/>
      <c r="R593" s="50"/>
      <c r="S593" s="50"/>
      <c r="T593" s="50"/>
      <c r="U593" s="50"/>
      <c r="V593" s="50"/>
      <c r="W593" s="50"/>
      <c r="X593" s="50"/>
      <c r="Y593" s="50"/>
      <c r="Z593" s="50"/>
      <c r="AA593" s="50"/>
      <c r="AB593" s="50"/>
    </row>
    <row r="594" customFormat="false" ht="15.75" hidden="false" customHeight="false" outlineLevel="0" collapsed="false">
      <c r="A594" s="50"/>
      <c r="B594" s="50"/>
      <c r="C594" s="5"/>
      <c r="D594" s="48"/>
      <c r="E594" s="50"/>
      <c r="F594" s="5"/>
      <c r="G594" s="5"/>
      <c r="H594" s="5"/>
      <c r="I594" s="5"/>
      <c r="J594" s="5"/>
      <c r="K594" s="50"/>
      <c r="L594" s="50"/>
      <c r="M594" s="50"/>
      <c r="N594" s="50"/>
      <c r="O594" s="50"/>
      <c r="P594" s="50"/>
      <c r="Q594" s="50"/>
      <c r="R594" s="50"/>
      <c r="S594" s="50"/>
      <c r="T594" s="50"/>
      <c r="U594" s="50"/>
      <c r="V594" s="50"/>
      <c r="W594" s="50"/>
      <c r="X594" s="50"/>
      <c r="Y594" s="50"/>
      <c r="Z594" s="50"/>
      <c r="AA594" s="50"/>
      <c r="AB594" s="50"/>
    </row>
    <row r="595" customFormat="false" ht="15.75" hidden="false" customHeight="false" outlineLevel="0" collapsed="false">
      <c r="A595" s="50"/>
      <c r="B595" s="50"/>
      <c r="C595" s="5"/>
      <c r="D595" s="48"/>
      <c r="E595" s="50"/>
      <c r="F595" s="5"/>
      <c r="G595" s="5"/>
      <c r="H595" s="5"/>
      <c r="I595" s="5"/>
      <c r="J595" s="5"/>
      <c r="K595" s="50"/>
      <c r="L595" s="50"/>
      <c r="M595" s="50"/>
      <c r="N595" s="50"/>
      <c r="O595" s="50"/>
      <c r="P595" s="50"/>
      <c r="Q595" s="50"/>
      <c r="R595" s="50"/>
      <c r="S595" s="50"/>
      <c r="T595" s="50"/>
      <c r="U595" s="50"/>
      <c r="V595" s="50"/>
      <c r="W595" s="50"/>
      <c r="X595" s="50"/>
      <c r="Y595" s="50"/>
      <c r="Z595" s="50"/>
      <c r="AA595" s="50"/>
      <c r="AB595" s="50"/>
    </row>
    <row r="596" customFormat="false" ht="15.75" hidden="false" customHeight="false" outlineLevel="0" collapsed="false">
      <c r="A596" s="50"/>
      <c r="B596" s="50"/>
      <c r="C596" s="5"/>
      <c r="D596" s="48"/>
      <c r="E596" s="50"/>
      <c r="F596" s="5"/>
      <c r="G596" s="5"/>
      <c r="H596" s="5"/>
      <c r="I596" s="5"/>
      <c r="J596" s="5"/>
      <c r="K596" s="50"/>
      <c r="L596" s="50"/>
      <c r="M596" s="50"/>
      <c r="N596" s="50"/>
      <c r="O596" s="50"/>
      <c r="P596" s="50"/>
      <c r="Q596" s="50"/>
      <c r="R596" s="50"/>
      <c r="S596" s="50"/>
      <c r="T596" s="50"/>
      <c r="U596" s="50"/>
      <c r="V596" s="50"/>
      <c r="W596" s="50"/>
      <c r="X596" s="50"/>
      <c r="Y596" s="50"/>
      <c r="Z596" s="50"/>
      <c r="AA596" s="50"/>
      <c r="AB596" s="50"/>
    </row>
    <row r="597" customFormat="false" ht="15.75" hidden="false" customHeight="false" outlineLevel="0" collapsed="false">
      <c r="A597" s="50"/>
      <c r="B597" s="50"/>
      <c r="C597" s="5"/>
      <c r="D597" s="48"/>
      <c r="E597" s="50"/>
      <c r="F597" s="5"/>
      <c r="G597" s="5"/>
      <c r="H597" s="5"/>
      <c r="I597" s="5"/>
      <c r="J597" s="5"/>
      <c r="K597" s="50"/>
      <c r="L597" s="50"/>
      <c r="M597" s="50"/>
      <c r="N597" s="50"/>
      <c r="O597" s="50"/>
      <c r="P597" s="50"/>
      <c r="Q597" s="50"/>
      <c r="R597" s="50"/>
      <c r="S597" s="50"/>
      <c r="T597" s="50"/>
      <c r="U597" s="50"/>
      <c r="V597" s="50"/>
      <c r="W597" s="50"/>
      <c r="X597" s="50"/>
      <c r="Y597" s="50"/>
      <c r="Z597" s="50"/>
      <c r="AA597" s="50"/>
      <c r="AB597" s="50"/>
    </row>
    <row r="598" customFormat="false" ht="15.75" hidden="false" customHeight="false" outlineLevel="0" collapsed="false">
      <c r="A598" s="50"/>
      <c r="B598" s="50"/>
      <c r="C598" s="5"/>
      <c r="D598" s="48"/>
      <c r="E598" s="50"/>
      <c r="F598" s="5"/>
      <c r="G598" s="5"/>
      <c r="H598" s="5"/>
      <c r="I598" s="5"/>
      <c r="J598" s="5"/>
      <c r="K598" s="50"/>
      <c r="L598" s="50"/>
      <c r="M598" s="50"/>
      <c r="N598" s="50"/>
      <c r="O598" s="50"/>
      <c r="P598" s="50"/>
      <c r="Q598" s="50"/>
      <c r="R598" s="50"/>
      <c r="S598" s="50"/>
      <c r="T598" s="50"/>
      <c r="U598" s="50"/>
      <c r="V598" s="50"/>
      <c r="W598" s="50"/>
      <c r="X598" s="50"/>
      <c r="Y598" s="50"/>
      <c r="Z598" s="50"/>
      <c r="AA598" s="50"/>
      <c r="AB598" s="50"/>
    </row>
    <row r="599" customFormat="false" ht="15.75" hidden="false" customHeight="false" outlineLevel="0" collapsed="false">
      <c r="A599" s="50"/>
      <c r="B599" s="50"/>
      <c r="C599" s="5"/>
      <c r="D599" s="48"/>
      <c r="E599" s="50"/>
      <c r="F599" s="5"/>
      <c r="G599" s="5"/>
      <c r="H599" s="5"/>
      <c r="I599" s="5"/>
      <c r="J599" s="5"/>
      <c r="K599" s="50"/>
      <c r="L599" s="50"/>
      <c r="M599" s="50"/>
      <c r="N599" s="50"/>
      <c r="O599" s="50"/>
      <c r="P599" s="50"/>
      <c r="Q599" s="50"/>
      <c r="R599" s="50"/>
      <c r="S599" s="50"/>
      <c r="T599" s="50"/>
      <c r="U599" s="50"/>
      <c r="V599" s="50"/>
      <c r="W599" s="50"/>
      <c r="X599" s="50"/>
      <c r="Y599" s="50"/>
      <c r="Z599" s="50"/>
      <c r="AA599" s="50"/>
      <c r="AB599" s="50"/>
    </row>
    <row r="600" customFormat="false" ht="15.75" hidden="false" customHeight="false" outlineLevel="0" collapsed="false">
      <c r="A600" s="50"/>
      <c r="B600" s="50"/>
      <c r="C600" s="5"/>
      <c r="D600" s="48"/>
      <c r="E600" s="50"/>
      <c r="F600" s="5"/>
      <c r="G600" s="5"/>
      <c r="H600" s="5"/>
      <c r="I600" s="5"/>
      <c r="J600" s="5"/>
      <c r="K600" s="50"/>
      <c r="L600" s="50"/>
      <c r="M600" s="50"/>
      <c r="N600" s="50"/>
      <c r="O600" s="50"/>
      <c r="P600" s="50"/>
      <c r="Q600" s="50"/>
      <c r="R600" s="50"/>
      <c r="S600" s="50"/>
      <c r="T600" s="50"/>
      <c r="U600" s="50"/>
      <c r="V600" s="50"/>
      <c r="W600" s="50"/>
      <c r="X600" s="50"/>
      <c r="Y600" s="50"/>
      <c r="Z600" s="50"/>
      <c r="AA600" s="50"/>
      <c r="AB600" s="50"/>
    </row>
    <row r="601" customFormat="false" ht="15.75" hidden="false" customHeight="false" outlineLevel="0" collapsed="false">
      <c r="A601" s="50"/>
      <c r="B601" s="50"/>
      <c r="C601" s="5"/>
      <c r="D601" s="48"/>
      <c r="E601" s="50"/>
      <c r="F601" s="5"/>
      <c r="G601" s="5"/>
      <c r="H601" s="5"/>
      <c r="I601" s="5"/>
      <c r="J601" s="5"/>
      <c r="K601" s="50"/>
      <c r="L601" s="50"/>
      <c r="M601" s="50"/>
      <c r="N601" s="50"/>
      <c r="O601" s="50"/>
      <c r="P601" s="50"/>
      <c r="Q601" s="50"/>
      <c r="R601" s="50"/>
      <c r="S601" s="50"/>
      <c r="T601" s="50"/>
      <c r="U601" s="50"/>
      <c r="V601" s="50"/>
      <c r="W601" s="50"/>
      <c r="X601" s="50"/>
      <c r="Y601" s="50"/>
      <c r="Z601" s="50"/>
      <c r="AA601" s="50"/>
      <c r="AB601" s="50"/>
    </row>
    <row r="602" customFormat="false" ht="15.75" hidden="false" customHeight="false" outlineLevel="0" collapsed="false">
      <c r="A602" s="50"/>
      <c r="B602" s="50"/>
      <c r="C602" s="5"/>
      <c r="D602" s="48"/>
      <c r="E602" s="50"/>
      <c r="F602" s="5"/>
      <c r="G602" s="5"/>
      <c r="H602" s="5"/>
      <c r="I602" s="5"/>
      <c r="J602" s="5"/>
      <c r="K602" s="50"/>
      <c r="L602" s="50"/>
      <c r="M602" s="50"/>
      <c r="N602" s="50"/>
      <c r="O602" s="50"/>
      <c r="P602" s="50"/>
      <c r="Q602" s="50"/>
      <c r="R602" s="50"/>
      <c r="S602" s="50"/>
      <c r="T602" s="50"/>
      <c r="U602" s="50"/>
      <c r="V602" s="50"/>
      <c r="W602" s="50"/>
      <c r="X602" s="50"/>
      <c r="Y602" s="50"/>
      <c r="Z602" s="50"/>
      <c r="AA602" s="50"/>
      <c r="AB602" s="50"/>
    </row>
    <row r="603" customFormat="false" ht="15.75" hidden="false" customHeight="false" outlineLevel="0" collapsed="false">
      <c r="A603" s="50"/>
      <c r="B603" s="50"/>
      <c r="C603" s="5"/>
      <c r="D603" s="48"/>
      <c r="E603" s="50"/>
      <c r="F603" s="5"/>
      <c r="G603" s="5"/>
      <c r="H603" s="5"/>
      <c r="I603" s="5"/>
      <c r="J603" s="5"/>
      <c r="K603" s="50"/>
      <c r="L603" s="50"/>
      <c r="M603" s="50"/>
      <c r="N603" s="50"/>
      <c r="O603" s="50"/>
      <c r="P603" s="50"/>
      <c r="Q603" s="50"/>
      <c r="R603" s="50"/>
      <c r="S603" s="50"/>
      <c r="T603" s="50"/>
      <c r="U603" s="50"/>
      <c r="V603" s="50"/>
      <c r="W603" s="50"/>
      <c r="X603" s="50"/>
      <c r="Y603" s="50"/>
      <c r="Z603" s="50"/>
      <c r="AA603" s="50"/>
      <c r="AB603" s="50"/>
    </row>
    <row r="604" customFormat="false" ht="15.75" hidden="false" customHeight="false" outlineLevel="0" collapsed="false">
      <c r="A604" s="50"/>
      <c r="B604" s="50"/>
      <c r="C604" s="5"/>
      <c r="D604" s="48"/>
      <c r="E604" s="50"/>
      <c r="F604" s="5"/>
      <c r="G604" s="5"/>
      <c r="H604" s="5"/>
      <c r="I604" s="5"/>
      <c r="J604" s="5"/>
      <c r="K604" s="50"/>
      <c r="L604" s="50"/>
      <c r="M604" s="50"/>
      <c r="N604" s="50"/>
      <c r="O604" s="50"/>
      <c r="P604" s="50"/>
      <c r="Q604" s="50"/>
      <c r="R604" s="50"/>
      <c r="S604" s="50"/>
      <c r="T604" s="50"/>
      <c r="U604" s="50"/>
      <c r="V604" s="50"/>
      <c r="W604" s="50"/>
      <c r="X604" s="50"/>
      <c r="Y604" s="50"/>
      <c r="Z604" s="50"/>
      <c r="AA604" s="50"/>
      <c r="AB604" s="50"/>
    </row>
    <row r="605" customFormat="false" ht="15.75" hidden="false" customHeight="false" outlineLevel="0" collapsed="false">
      <c r="A605" s="50"/>
      <c r="B605" s="50"/>
      <c r="C605" s="5"/>
      <c r="D605" s="48"/>
      <c r="E605" s="50"/>
      <c r="F605" s="5"/>
      <c r="G605" s="5"/>
      <c r="H605" s="5"/>
      <c r="I605" s="5"/>
      <c r="J605" s="5"/>
      <c r="K605" s="50"/>
      <c r="L605" s="50"/>
      <c r="M605" s="50"/>
      <c r="N605" s="50"/>
      <c r="O605" s="50"/>
      <c r="P605" s="50"/>
      <c r="Q605" s="50"/>
      <c r="R605" s="50"/>
      <c r="S605" s="50"/>
      <c r="T605" s="50"/>
      <c r="U605" s="50"/>
      <c r="V605" s="50"/>
      <c r="W605" s="50"/>
      <c r="X605" s="50"/>
      <c r="Y605" s="50"/>
      <c r="Z605" s="50"/>
      <c r="AA605" s="50"/>
      <c r="AB605" s="50"/>
    </row>
    <row r="606" customFormat="false" ht="15.75" hidden="false" customHeight="false" outlineLevel="0" collapsed="false">
      <c r="A606" s="50"/>
      <c r="B606" s="50"/>
      <c r="C606" s="5"/>
      <c r="D606" s="48"/>
      <c r="E606" s="50"/>
      <c r="F606" s="5"/>
      <c r="G606" s="5"/>
      <c r="H606" s="5"/>
      <c r="I606" s="5"/>
      <c r="J606" s="5"/>
      <c r="K606" s="50"/>
      <c r="L606" s="50"/>
      <c r="M606" s="50"/>
      <c r="N606" s="50"/>
      <c r="O606" s="50"/>
      <c r="P606" s="50"/>
      <c r="Q606" s="50"/>
      <c r="R606" s="50"/>
      <c r="S606" s="50"/>
      <c r="T606" s="50"/>
      <c r="U606" s="50"/>
      <c r="V606" s="50"/>
      <c r="W606" s="50"/>
      <c r="X606" s="50"/>
      <c r="Y606" s="50"/>
      <c r="Z606" s="50"/>
      <c r="AA606" s="50"/>
      <c r="AB606" s="50"/>
    </row>
    <row r="607" customFormat="false" ht="15.75" hidden="false" customHeight="false" outlineLevel="0" collapsed="false">
      <c r="A607" s="50"/>
      <c r="B607" s="50"/>
      <c r="C607" s="5"/>
      <c r="D607" s="48"/>
      <c r="E607" s="50"/>
      <c r="F607" s="5"/>
      <c r="G607" s="5"/>
      <c r="H607" s="5"/>
      <c r="I607" s="5"/>
      <c r="J607" s="5"/>
      <c r="K607" s="50"/>
      <c r="L607" s="50"/>
      <c r="M607" s="50"/>
      <c r="N607" s="50"/>
      <c r="O607" s="50"/>
      <c r="P607" s="50"/>
      <c r="Q607" s="50"/>
      <c r="R607" s="50"/>
      <c r="S607" s="50"/>
      <c r="T607" s="50"/>
      <c r="U607" s="50"/>
      <c r="V607" s="50"/>
      <c r="W607" s="50"/>
      <c r="X607" s="50"/>
      <c r="Y607" s="50"/>
      <c r="Z607" s="50"/>
      <c r="AA607" s="50"/>
      <c r="AB607" s="50"/>
    </row>
    <row r="608" customFormat="false" ht="15.75" hidden="false" customHeight="false" outlineLevel="0" collapsed="false">
      <c r="A608" s="50"/>
      <c r="B608" s="50"/>
      <c r="C608" s="5"/>
      <c r="D608" s="48"/>
      <c r="E608" s="50"/>
      <c r="F608" s="5"/>
      <c r="G608" s="5"/>
      <c r="H608" s="5"/>
      <c r="I608" s="5"/>
      <c r="J608" s="5"/>
      <c r="K608" s="50"/>
      <c r="L608" s="50"/>
      <c r="M608" s="50"/>
      <c r="N608" s="50"/>
      <c r="O608" s="50"/>
      <c r="P608" s="50"/>
      <c r="Q608" s="50"/>
      <c r="R608" s="50"/>
      <c r="S608" s="50"/>
      <c r="T608" s="50"/>
      <c r="U608" s="50"/>
      <c r="V608" s="50"/>
      <c r="W608" s="50"/>
      <c r="X608" s="50"/>
      <c r="Y608" s="50"/>
      <c r="Z608" s="50"/>
      <c r="AA608" s="50"/>
      <c r="AB608" s="50"/>
    </row>
    <row r="609" customFormat="false" ht="15.75" hidden="false" customHeight="false" outlineLevel="0" collapsed="false">
      <c r="A609" s="50"/>
      <c r="B609" s="50"/>
      <c r="C609" s="5"/>
      <c r="D609" s="48"/>
      <c r="E609" s="50"/>
      <c r="F609" s="5"/>
      <c r="G609" s="5"/>
      <c r="H609" s="5"/>
      <c r="I609" s="5"/>
      <c r="J609" s="5"/>
      <c r="K609" s="50"/>
      <c r="L609" s="50"/>
      <c r="M609" s="50"/>
      <c r="N609" s="50"/>
      <c r="O609" s="50"/>
      <c r="P609" s="50"/>
      <c r="Q609" s="50"/>
      <c r="R609" s="50"/>
      <c r="S609" s="50"/>
      <c r="T609" s="50"/>
      <c r="U609" s="50"/>
      <c r="V609" s="50"/>
      <c r="W609" s="50"/>
      <c r="X609" s="50"/>
      <c r="Y609" s="50"/>
      <c r="Z609" s="50"/>
      <c r="AA609" s="50"/>
      <c r="AB609" s="50"/>
    </row>
    <row r="610" customFormat="false" ht="15.75" hidden="false" customHeight="false" outlineLevel="0" collapsed="false">
      <c r="A610" s="50"/>
      <c r="B610" s="50"/>
      <c r="C610" s="5"/>
      <c r="D610" s="48"/>
      <c r="E610" s="50"/>
      <c r="F610" s="5"/>
      <c r="G610" s="5"/>
      <c r="H610" s="5"/>
      <c r="I610" s="5"/>
      <c r="J610" s="5"/>
      <c r="K610" s="50"/>
      <c r="L610" s="50"/>
      <c r="M610" s="50"/>
      <c r="N610" s="50"/>
      <c r="O610" s="50"/>
      <c r="P610" s="50"/>
      <c r="Q610" s="50"/>
      <c r="R610" s="50"/>
      <c r="S610" s="50"/>
      <c r="T610" s="50"/>
      <c r="U610" s="50"/>
      <c r="V610" s="50"/>
      <c r="W610" s="50"/>
      <c r="X610" s="50"/>
      <c r="Y610" s="50"/>
      <c r="Z610" s="50"/>
      <c r="AA610" s="50"/>
      <c r="AB610" s="50"/>
    </row>
    <row r="611" customFormat="false" ht="15.75" hidden="false" customHeight="false" outlineLevel="0" collapsed="false">
      <c r="A611" s="50"/>
      <c r="B611" s="50"/>
      <c r="C611" s="5"/>
      <c r="D611" s="48"/>
      <c r="E611" s="50"/>
      <c r="F611" s="5"/>
      <c r="G611" s="5"/>
      <c r="H611" s="5"/>
      <c r="I611" s="5"/>
      <c r="J611" s="5"/>
      <c r="K611" s="50"/>
      <c r="L611" s="50"/>
      <c r="M611" s="50"/>
      <c r="N611" s="50"/>
      <c r="O611" s="50"/>
      <c r="P611" s="50"/>
      <c r="Q611" s="50"/>
      <c r="R611" s="50"/>
      <c r="S611" s="50"/>
      <c r="T611" s="50"/>
      <c r="U611" s="50"/>
      <c r="V611" s="50"/>
      <c r="W611" s="50"/>
      <c r="X611" s="50"/>
      <c r="Y611" s="50"/>
      <c r="Z611" s="50"/>
      <c r="AA611" s="50"/>
      <c r="AB611" s="50"/>
    </row>
    <row r="612" customFormat="false" ht="15.75" hidden="false" customHeight="false" outlineLevel="0" collapsed="false">
      <c r="A612" s="50"/>
      <c r="B612" s="50"/>
      <c r="C612" s="5"/>
      <c r="D612" s="48"/>
      <c r="E612" s="50"/>
      <c r="F612" s="5"/>
      <c r="G612" s="5"/>
      <c r="H612" s="5"/>
      <c r="I612" s="5"/>
      <c r="J612" s="5"/>
      <c r="K612" s="50"/>
      <c r="L612" s="50"/>
      <c r="M612" s="50"/>
      <c r="N612" s="50"/>
      <c r="O612" s="50"/>
      <c r="P612" s="50"/>
      <c r="Q612" s="50"/>
      <c r="R612" s="50"/>
      <c r="S612" s="50"/>
      <c r="T612" s="50"/>
      <c r="U612" s="50"/>
      <c r="V612" s="50"/>
      <c r="W612" s="50"/>
      <c r="X612" s="50"/>
      <c r="Y612" s="50"/>
      <c r="Z612" s="50"/>
      <c r="AA612" s="50"/>
      <c r="AB612" s="50"/>
    </row>
    <row r="613" customFormat="false" ht="15.75" hidden="false" customHeight="false" outlineLevel="0" collapsed="false">
      <c r="A613" s="50"/>
      <c r="B613" s="50"/>
      <c r="C613" s="5"/>
      <c r="D613" s="48"/>
      <c r="E613" s="50"/>
      <c r="F613" s="5"/>
      <c r="G613" s="5"/>
      <c r="H613" s="5"/>
      <c r="I613" s="5"/>
      <c r="J613" s="5"/>
      <c r="K613" s="50"/>
      <c r="L613" s="50"/>
      <c r="M613" s="50"/>
      <c r="N613" s="50"/>
      <c r="O613" s="50"/>
      <c r="P613" s="50"/>
      <c r="Q613" s="50"/>
      <c r="R613" s="50"/>
      <c r="S613" s="50"/>
      <c r="T613" s="50"/>
      <c r="U613" s="50"/>
      <c r="V613" s="50"/>
      <c r="W613" s="50"/>
      <c r="X613" s="50"/>
      <c r="Y613" s="50"/>
      <c r="Z613" s="50"/>
      <c r="AA613" s="50"/>
      <c r="AB613" s="50"/>
    </row>
    <row r="614" customFormat="false" ht="15.75" hidden="false" customHeight="false" outlineLevel="0" collapsed="false">
      <c r="A614" s="50"/>
      <c r="B614" s="50"/>
      <c r="C614" s="5"/>
      <c r="D614" s="48"/>
      <c r="E614" s="50"/>
      <c r="F614" s="5"/>
      <c r="G614" s="5"/>
      <c r="H614" s="5"/>
      <c r="I614" s="5"/>
      <c r="J614" s="5"/>
      <c r="K614" s="50"/>
      <c r="L614" s="50"/>
      <c r="M614" s="50"/>
      <c r="N614" s="50"/>
      <c r="O614" s="50"/>
      <c r="P614" s="50"/>
      <c r="Q614" s="50"/>
      <c r="R614" s="50"/>
      <c r="S614" s="50"/>
      <c r="T614" s="50"/>
      <c r="U614" s="50"/>
      <c r="V614" s="50"/>
      <c r="W614" s="50"/>
      <c r="X614" s="50"/>
      <c r="Y614" s="50"/>
      <c r="Z614" s="50"/>
      <c r="AA614" s="50"/>
      <c r="AB614" s="50"/>
    </row>
    <row r="615" customFormat="false" ht="15.75" hidden="false" customHeight="false" outlineLevel="0" collapsed="false">
      <c r="A615" s="50"/>
      <c r="B615" s="50"/>
      <c r="C615" s="5"/>
      <c r="D615" s="48"/>
      <c r="E615" s="50"/>
      <c r="F615" s="5"/>
      <c r="G615" s="5"/>
      <c r="H615" s="5"/>
      <c r="I615" s="5"/>
      <c r="J615" s="5"/>
      <c r="K615" s="50"/>
      <c r="L615" s="50"/>
      <c r="M615" s="50"/>
      <c r="N615" s="50"/>
      <c r="O615" s="50"/>
      <c r="P615" s="50"/>
      <c r="Q615" s="50"/>
      <c r="R615" s="50"/>
      <c r="S615" s="50"/>
      <c r="T615" s="50"/>
      <c r="U615" s="50"/>
      <c r="V615" s="50"/>
      <c r="W615" s="50"/>
      <c r="X615" s="50"/>
      <c r="Y615" s="50"/>
      <c r="Z615" s="50"/>
      <c r="AA615" s="50"/>
      <c r="AB615" s="50"/>
    </row>
    <row r="616" customFormat="false" ht="15.75" hidden="false" customHeight="false" outlineLevel="0" collapsed="false">
      <c r="A616" s="50"/>
      <c r="B616" s="50"/>
      <c r="C616" s="5"/>
      <c r="D616" s="48"/>
      <c r="E616" s="50"/>
      <c r="F616" s="5"/>
      <c r="G616" s="5"/>
      <c r="H616" s="5"/>
      <c r="I616" s="5"/>
      <c r="J616" s="5"/>
      <c r="K616" s="50"/>
      <c r="L616" s="50"/>
      <c r="M616" s="50"/>
      <c r="N616" s="50"/>
      <c r="O616" s="50"/>
      <c r="P616" s="50"/>
      <c r="Q616" s="50"/>
      <c r="R616" s="50"/>
      <c r="S616" s="50"/>
      <c r="T616" s="50"/>
      <c r="U616" s="50"/>
      <c r="V616" s="50"/>
      <c r="W616" s="50"/>
      <c r="X616" s="50"/>
      <c r="Y616" s="50"/>
      <c r="Z616" s="50"/>
      <c r="AA616" s="50"/>
      <c r="AB616" s="50"/>
    </row>
    <row r="617" customFormat="false" ht="15.75" hidden="false" customHeight="false" outlineLevel="0" collapsed="false">
      <c r="A617" s="50"/>
      <c r="B617" s="50"/>
      <c r="C617" s="5"/>
      <c r="D617" s="48"/>
      <c r="E617" s="50"/>
      <c r="F617" s="5"/>
      <c r="G617" s="5"/>
      <c r="H617" s="5"/>
      <c r="I617" s="5"/>
      <c r="J617" s="5"/>
      <c r="K617" s="50"/>
      <c r="L617" s="50"/>
      <c r="M617" s="50"/>
      <c r="N617" s="50"/>
      <c r="O617" s="50"/>
      <c r="P617" s="50"/>
      <c r="Q617" s="50"/>
      <c r="R617" s="50"/>
      <c r="S617" s="50"/>
      <c r="T617" s="50"/>
      <c r="U617" s="50"/>
      <c r="V617" s="50"/>
      <c r="W617" s="50"/>
      <c r="X617" s="50"/>
      <c r="Y617" s="50"/>
      <c r="Z617" s="50"/>
      <c r="AA617" s="50"/>
      <c r="AB617" s="50"/>
    </row>
    <row r="618" customFormat="false" ht="15.75" hidden="false" customHeight="false" outlineLevel="0" collapsed="false">
      <c r="A618" s="50"/>
      <c r="B618" s="50"/>
      <c r="C618" s="5"/>
      <c r="D618" s="48"/>
      <c r="E618" s="50"/>
      <c r="F618" s="5"/>
      <c r="G618" s="5"/>
      <c r="H618" s="5"/>
      <c r="I618" s="5"/>
      <c r="J618" s="5"/>
      <c r="K618" s="50"/>
      <c r="L618" s="50"/>
      <c r="M618" s="50"/>
      <c r="N618" s="50"/>
      <c r="O618" s="50"/>
      <c r="P618" s="50"/>
      <c r="Q618" s="50"/>
      <c r="R618" s="50"/>
      <c r="S618" s="50"/>
      <c r="T618" s="50"/>
      <c r="U618" s="50"/>
      <c r="V618" s="50"/>
      <c r="W618" s="50"/>
      <c r="X618" s="50"/>
      <c r="Y618" s="50"/>
      <c r="Z618" s="50"/>
      <c r="AA618" s="50"/>
      <c r="AB618" s="50"/>
    </row>
    <row r="619" customFormat="false" ht="15.75" hidden="false" customHeight="false" outlineLevel="0" collapsed="false">
      <c r="A619" s="50"/>
      <c r="B619" s="50"/>
      <c r="C619" s="5"/>
      <c r="D619" s="48"/>
      <c r="E619" s="50"/>
      <c r="F619" s="5"/>
      <c r="G619" s="5"/>
      <c r="H619" s="5"/>
      <c r="I619" s="5"/>
      <c r="J619" s="5"/>
      <c r="K619" s="50"/>
      <c r="L619" s="50"/>
      <c r="M619" s="50"/>
      <c r="N619" s="50"/>
      <c r="O619" s="50"/>
      <c r="P619" s="50"/>
      <c r="Q619" s="50"/>
      <c r="R619" s="50"/>
      <c r="S619" s="50"/>
      <c r="T619" s="50"/>
      <c r="U619" s="50"/>
      <c r="V619" s="50"/>
      <c r="W619" s="50"/>
      <c r="X619" s="50"/>
      <c r="Y619" s="50"/>
      <c r="Z619" s="50"/>
      <c r="AA619" s="50"/>
      <c r="AB619" s="50"/>
    </row>
    <row r="620" customFormat="false" ht="15.75" hidden="false" customHeight="false" outlineLevel="0" collapsed="false">
      <c r="A620" s="50"/>
      <c r="B620" s="50"/>
      <c r="C620" s="5"/>
      <c r="D620" s="48"/>
      <c r="E620" s="50"/>
      <c r="F620" s="5"/>
      <c r="G620" s="5"/>
      <c r="H620" s="5"/>
      <c r="I620" s="5"/>
      <c r="J620" s="5"/>
      <c r="K620" s="50"/>
      <c r="L620" s="50"/>
      <c r="M620" s="50"/>
      <c r="N620" s="50"/>
      <c r="O620" s="50"/>
      <c r="P620" s="50"/>
      <c r="Q620" s="50"/>
      <c r="R620" s="50"/>
      <c r="S620" s="50"/>
      <c r="T620" s="50"/>
      <c r="U620" s="50"/>
      <c r="V620" s="50"/>
      <c r="W620" s="50"/>
      <c r="X620" s="50"/>
      <c r="Y620" s="50"/>
      <c r="Z620" s="50"/>
      <c r="AA620" s="50"/>
      <c r="AB620" s="50"/>
    </row>
    <row r="621" customFormat="false" ht="15.75" hidden="false" customHeight="false" outlineLevel="0" collapsed="false">
      <c r="A621" s="50"/>
      <c r="B621" s="50"/>
      <c r="C621" s="5"/>
      <c r="D621" s="48"/>
      <c r="E621" s="50"/>
      <c r="F621" s="5"/>
      <c r="G621" s="5"/>
      <c r="H621" s="5"/>
      <c r="I621" s="5"/>
      <c r="J621" s="5"/>
      <c r="K621" s="50"/>
      <c r="L621" s="50"/>
      <c r="M621" s="50"/>
      <c r="N621" s="50"/>
      <c r="O621" s="50"/>
      <c r="P621" s="50"/>
      <c r="Q621" s="50"/>
      <c r="R621" s="50"/>
      <c r="S621" s="50"/>
      <c r="T621" s="50"/>
      <c r="U621" s="50"/>
      <c r="V621" s="50"/>
      <c r="W621" s="50"/>
      <c r="X621" s="50"/>
      <c r="Y621" s="50"/>
      <c r="Z621" s="50"/>
      <c r="AA621" s="50"/>
      <c r="AB621" s="50"/>
    </row>
    <row r="622" customFormat="false" ht="15.75" hidden="false" customHeight="false" outlineLevel="0" collapsed="false">
      <c r="A622" s="50"/>
      <c r="B622" s="50"/>
      <c r="C622" s="5"/>
      <c r="D622" s="48"/>
      <c r="E622" s="50"/>
      <c r="F622" s="5"/>
      <c r="G622" s="5"/>
      <c r="H622" s="5"/>
      <c r="I622" s="5"/>
      <c r="J622" s="5"/>
      <c r="K622" s="50"/>
      <c r="L622" s="50"/>
      <c r="M622" s="50"/>
      <c r="N622" s="50"/>
      <c r="O622" s="50"/>
      <c r="P622" s="50"/>
      <c r="Q622" s="50"/>
      <c r="R622" s="50"/>
      <c r="S622" s="50"/>
      <c r="T622" s="50"/>
      <c r="U622" s="50"/>
      <c r="V622" s="50"/>
      <c r="W622" s="50"/>
      <c r="X622" s="50"/>
      <c r="Y622" s="50"/>
      <c r="Z622" s="50"/>
      <c r="AA622" s="50"/>
      <c r="AB622" s="50"/>
    </row>
    <row r="623" customFormat="false" ht="15.75" hidden="false" customHeight="false" outlineLevel="0" collapsed="false">
      <c r="A623" s="50"/>
      <c r="B623" s="50"/>
      <c r="C623" s="5"/>
      <c r="D623" s="48"/>
      <c r="E623" s="50"/>
      <c r="F623" s="5"/>
      <c r="G623" s="5"/>
      <c r="H623" s="5"/>
      <c r="I623" s="5"/>
      <c r="J623" s="5"/>
      <c r="K623" s="50"/>
      <c r="L623" s="50"/>
      <c r="M623" s="50"/>
      <c r="N623" s="50"/>
      <c r="O623" s="50"/>
      <c r="P623" s="50"/>
      <c r="Q623" s="50"/>
      <c r="R623" s="50"/>
      <c r="S623" s="50"/>
      <c r="T623" s="50"/>
      <c r="U623" s="50"/>
      <c r="V623" s="50"/>
      <c r="W623" s="50"/>
      <c r="X623" s="50"/>
      <c r="Y623" s="50"/>
      <c r="Z623" s="50"/>
      <c r="AA623" s="50"/>
      <c r="AB623" s="50"/>
    </row>
    <row r="624" customFormat="false" ht="15.75" hidden="false" customHeight="false" outlineLevel="0" collapsed="false">
      <c r="A624" s="50"/>
      <c r="B624" s="50"/>
      <c r="C624" s="5"/>
      <c r="D624" s="48"/>
      <c r="E624" s="50"/>
      <c r="F624" s="5"/>
      <c r="G624" s="5"/>
      <c r="H624" s="5"/>
      <c r="I624" s="5"/>
      <c r="J624" s="5"/>
      <c r="K624" s="50"/>
      <c r="L624" s="50"/>
      <c r="M624" s="50"/>
      <c r="N624" s="50"/>
      <c r="O624" s="50"/>
      <c r="P624" s="50"/>
      <c r="Q624" s="50"/>
      <c r="R624" s="50"/>
      <c r="S624" s="50"/>
      <c r="T624" s="50"/>
      <c r="U624" s="50"/>
      <c r="V624" s="50"/>
      <c r="W624" s="50"/>
      <c r="X624" s="50"/>
      <c r="Y624" s="50"/>
      <c r="Z624" s="50"/>
      <c r="AA624" s="50"/>
      <c r="AB624" s="50"/>
    </row>
    <row r="625" customFormat="false" ht="15.75" hidden="false" customHeight="false" outlineLevel="0" collapsed="false">
      <c r="A625" s="50"/>
      <c r="B625" s="50"/>
      <c r="C625" s="5"/>
      <c r="D625" s="48"/>
      <c r="E625" s="50"/>
      <c r="F625" s="5"/>
      <c r="G625" s="5"/>
      <c r="H625" s="5"/>
      <c r="I625" s="5"/>
      <c r="J625" s="5"/>
      <c r="K625" s="50"/>
      <c r="L625" s="50"/>
      <c r="M625" s="50"/>
      <c r="N625" s="50"/>
      <c r="O625" s="50"/>
      <c r="P625" s="50"/>
      <c r="Q625" s="50"/>
      <c r="R625" s="50"/>
      <c r="S625" s="50"/>
      <c r="T625" s="50"/>
      <c r="U625" s="50"/>
      <c r="V625" s="50"/>
      <c r="W625" s="50"/>
      <c r="X625" s="50"/>
      <c r="Y625" s="50"/>
      <c r="Z625" s="50"/>
      <c r="AA625" s="50"/>
      <c r="AB625" s="50"/>
    </row>
    <row r="626" customFormat="false" ht="15.75" hidden="false" customHeight="false" outlineLevel="0" collapsed="false">
      <c r="A626" s="50"/>
      <c r="B626" s="50"/>
      <c r="C626" s="5"/>
      <c r="D626" s="48"/>
      <c r="E626" s="50"/>
      <c r="F626" s="5"/>
      <c r="G626" s="5"/>
      <c r="H626" s="5"/>
      <c r="I626" s="5"/>
      <c r="J626" s="5"/>
      <c r="K626" s="50"/>
      <c r="L626" s="50"/>
      <c r="M626" s="50"/>
      <c r="N626" s="50"/>
      <c r="O626" s="50"/>
      <c r="P626" s="50"/>
      <c r="Q626" s="50"/>
      <c r="R626" s="50"/>
      <c r="S626" s="50"/>
      <c r="T626" s="50"/>
      <c r="U626" s="50"/>
      <c r="V626" s="50"/>
      <c r="W626" s="50"/>
      <c r="X626" s="50"/>
      <c r="Y626" s="50"/>
      <c r="Z626" s="50"/>
      <c r="AA626" s="50"/>
      <c r="AB626" s="50"/>
    </row>
    <row r="627" customFormat="false" ht="15.75" hidden="false" customHeight="false" outlineLevel="0" collapsed="false">
      <c r="A627" s="50"/>
      <c r="B627" s="50"/>
      <c r="C627" s="5"/>
      <c r="D627" s="48"/>
      <c r="E627" s="50"/>
      <c r="F627" s="5"/>
      <c r="G627" s="5"/>
      <c r="H627" s="5"/>
      <c r="I627" s="5"/>
      <c r="J627" s="5"/>
      <c r="K627" s="50"/>
      <c r="L627" s="50"/>
      <c r="M627" s="50"/>
      <c r="N627" s="50"/>
      <c r="O627" s="50"/>
      <c r="P627" s="50"/>
      <c r="Q627" s="50"/>
      <c r="R627" s="50"/>
      <c r="S627" s="50"/>
      <c r="T627" s="50"/>
      <c r="U627" s="50"/>
      <c r="V627" s="50"/>
      <c r="W627" s="50"/>
      <c r="X627" s="50"/>
      <c r="Y627" s="50"/>
      <c r="Z627" s="50"/>
      <c r="AA627" s="50"/>
      <c r="AB627" s="50"/>
    </row>
    <row r="628" customFormat="false" ht="15.75" hidden="false" customHeight="false" outlineLevel="0" collapsed="false">
      <c r="A628" s="50"/>
      <c r="B628" s="50"/>
      <c r="C628" s="5"/>
      <c r="D628" s="48"/>
      <c r="E628" s="50"/>
      <c r="F628" s="5"/>
      <c r="G628" s="5"/>
      <c r="H628" s="5"/>
      <c r="I628" s="5"/>
      <c r="J628" s="5"/>
      <c r="K628" s="50"/>
      <c r="L628" s="50"/>
      <c r="M628" s="50"/>
      <c r="N628" s="50"/>
      <c r="O628" s="50"/>
      <c r="P628" s="50"/>
      <c r="Q628" s="50"/>
      <c r="R628" s="50"/>
      <c r="S628" s="50"/>
      <c r="T628" s="50"/>
      <c r="U628" s="50"/>
      <c r="V628" s="50"/>
      <c r="W628" s="50"/>
      <c r="X628" s="50"/>
      <c r="Y628" s="50"/>
      <c r="Z628" s="50"/>
      <c r="AA628" s="50"/>
      <c r="AB628" s="50"/>
    </row>
    <row r="629" customFormat="false" ht="15.75" hidden="false" customHeight="false" outlineLevel="0" collapsed="false">
      <c r="A629" s="50"/>
      <c r="B629" s="50"/>
      <c r="C629" s="5"/>
      <c r="D629" s="48"/>
      <c r="E629" s="50"/>
      <c r="F629" s="5"/>
      <c r="G629" s="5"/>
      <c r="H629" s="5"/>
      <c r="I629" s="5"/>
      <c r="J629" s="5"/>
      <c r="K629" s="50"/>
      <c r="L629" s="50"/>
      <c r="M629" s="50"/>
      <c r="N629" s="50"/>
      <c r="O629" s="50"/>
      <c r="P629" s="50"/>
      <c r="Q629" s="50"/>
      <c r="R629" s="50"/>
      <c r="S629" s="50"/>
      <c r="T629" s="50"/>
      <c r="U629" s="50"/>
      <c r="V629" s="50"/>
      <c r="W629" s="50"/>
      <c r="X629" s="50"/>
      <c r="Y629" s="50"/>
      <c r="Z629" s="50"/>
      <c r="AA629" s="50"/>
      <c r="AB629" s="50"/>
    </row>
    <row r="630" customFormat="false" ht="15.75" hidden="false" customHeight="false" outlineLevel="0" collapsed="false">
      <c r="A630" s="50"/>
      <c r="B630" s="50"/>
      <c r="C630" s="5"/>
      <c r="D630" s="48"/>
      <c r="E630" s="50"/>
      <c r="F630" s="5"/>
      <c r="G630" s="5"/>
      <c r="H630" s="5"/>
      <c r="I630" s="5"/>
      <c r="J630" s="5"/>
      <c r="K630" s="50"/>
      <c r="L630" s="50"/>
      <c r="M630" s="50"/>
      <c r="N630" s="50"/>
      <c r="O630" s="50"/>
      <c r="P630" s="50"/>
      <c r="Q630" s="50"/>
      <c r="R630" s="50"/>
      <c r="S630" s="50"/>
      <c r="T630" s="50"/>
      <c r="U630" s="50"/>
      <c r="V630" s="50"/>
      <c r="W630" s="50"/>
      <c r="X630" s="50"/>
      <c r="Y630" s="50"/>
      <c r="Z630" s="50"/>
      <c r="AA630" s="50"/>
      <c r="AB630" s="50"/>
    </row>
    <row r="631" customFormat="false" ht="15.75" hidden="false" customHeight="false" outlineLevel="0" collapsed="false">
      <c r="A631" s="50"/>
      <c r="B631" s="50"/>
      <c r="C631" s="5"/>
      <c r="D631" s="48"/>
      <c r="E631" s="50"/>
      <c r="F631" s="5"/>
      <c r="G631" s="5"/>
      <c r="H631" s="5"/>
      <c r="I631" s="5"/>
      <c r="J631" s="5"/>
      <c r="K631" s="50"/>
      <c r="L631" s="50"/>
      <c r="M631" s="50"/>
      <c r="N631" s="50"/>
      <c r="O631" s="50"/>
      <c r="P631" s="50"/>
      <c r="Q631" s="50"/>
      <c r="R631" s="50"/>
      <c r="S631" s="50"/>
      <c r="T631" s="50"/>
      <c r="U631" s="50"/>
      <c r="V631" s="50"/>
      <c r="W631" s="50"/>
      <c r="X631" s="50"/>
      <c r="Y631" s="50"/>
      <c r="Z631" s="50"/>
      <c r="AA631" s="50"/>
      <c r="AB631" s="50"/>
    </row>
    <row r="632" customFormat="false" ht="15.75" hidden="false" customHeight="false" outlineLevel="0" collapsed="false">
      <c r="A632" s="50"/>
      <c r="B632" s="50"/>
      <c r="C632" s="5"/>
      <c r="D632" s="48"/>
      <c r="E632" s="50"/>
      <c r="F632" s="5"/>
      <c r="G632" s="5"/>
      <c r="H632" s="5"/>
      <c r="I632" s="5"/>
      <c r="J632" s="5"/>
      <c r="K632" s="50"/>
      <c r="L632" s="50"/>
      <c r="M632" s="50"/>
      <c r="N632" s="50"/>
      <c r="O632" s="50"/>
      <c r="P632" s="50"/>
      <c r="Q632" s="50"/>
      <c r="R632" s="50"/>
      <c r="S632" s="50"/>
      <c r="T632" s="50"/>
      <c r="U632" s="50"/>
      <c r="V632" s="50"/>
      <c r="W632" s="50"/>
      <c r="X632" s="50"/>
      <c r="Y632" s="50"/>
      <c r="Z632" s="50"/>
      <c r="AA632" s="50"/>
      <c r="AB632" s="50"/>
    </row>
    <row r="633" customFormat="false" ht="15.75" hidden="false" customHeight="false" outlineLevel="0" collapsed="false">
      <c r="A633" s="50"/>
      <c r="B633" s="50"/>
      <c r="C633" s="5"/>
      <c r="D633" s="48"/>
      <c r="E633" s="50"/>
      <c r="F633" s="5"/>
      <c r="G633" s="5"/>
      <c r="H633" s="5"/>
      <c r="I633" s="5"/>
      <c r="J633" s="5"/>
      <c r="K633" s="50"/>
      <c r="L633" s="50"/>
      <c r="M633" s="50"/>
      <c r="N633" s="50"/>
      <c r="O633" s="50"/>
      <c r="P633" s="50"/>
      <c r="Q633" s="50"/>
      <c r="R633" s="50"/>
      <c r="S633" s="50"/>
      <c r="T633" s="50"/>
      <c r="U633" s="50"/>
      <c r="V633" s="50"/>
      <c r="W633" s="50"/>
      <c r="X633" s="50"/>
      <c r="Y633" s="50"/>
      <c r="Z633" s="50"/>
      <c r="AA633" s="50"/>
      <c r="AB633" s="50"/>
    </row>
    <row r="634" customFormat="false" ht="15.75" hidden="false" customHeight="false" outlineLevel="0" collapsed="false">
      <c r="A634" s="50"/>
      <c r="B634" s="50"/>
      <c r="C634" s="5"/>
      <c r="D634" s="48"/>
      <c r="E634" s="50"/>
      <c r="F634" s="5"/>
      <c r="G634" s="5"/>
      <c r="H634" s="5"/>
      <c r="I634" s="5"/>
      <c r="J634" s="5"/>
      <c r="K634" s="50"/>
      <c r="L634" s="50"/>
      <c r="M634" s="50"/>
      <c r="N634" s="50"/>
      <c r="O634" s="50"/>
      <c r="P634" s="50"/>
      <c r="Q634" s="50"/>
      <c r="R634" s="50"/>
      <c r="S634" s="50"/>
      <c r="T634" s="50"/>
      <c r="U634" s="50"/>
      <c r="V634" s="50"/>
      <c r="W634" s="50"/>
      <c r="X634" s="50"/>
      <c r="Y634" s="50"/>
      <c r="Z634" s="50"/>
      <c r="AA634" s="50"/>
      <c r="AB634" s="50"/>
    </row>
    <row r="635" customFormat="false" ht="15.75" hidden="false" customHeight="false" outlineLevel="0" collapsed="false">
      <c r="A635" s="50"/>
      <c r="B635" s="50"/>
      <c r="C635" s="5"/>
      <c r="D635" s="48"/>
      <c r="E635" s="50"/>
      <c r="F635" s="5"/>
      <c r="G635" s="5"/>
      <c r="H635" s="5"/>
      <c r="I635" s="5"/>
      <c r="J635" s="5"/>
      <c r="K635" s="50"/>
      <c r="L635" s="50"/>
      <c r="M635" s="50"/>
      <c r="N635" s="50"/>
      <c r="O635" s="50"/>
      <c r="P635" s="50"/>
      <c r="Q635" s="50"/>
      <c r="R635" s="50"/>
      <c r="S635" s="50"/>
      <c r="T635" s="50"/>
      <c r="U635" s="50"/>
      <c r="V635" s="50"/>
      <c r="W635" s="50"/>
      <c r="X635" s="50"/>
      <c r="Y635" s="50"/>
      <c r="Z635" s="50"/>
      <c r="AA635" s="50"/>
      <c r="AB635" s="50"/>
    </row>
    <row r="636" customFormat="false" ht="15.75" hidden="false" customHeight="false" outlineLevel="0" collapsed="false">
      <c r="A636" s="50"/>
      <c r="B636" s="50"/>
      <c r="C636" s="5"/>
      <c r="D636" s="48"/>
      <c r="E636" s="50"/>
      <c r="F636" s="5"/>
      <c r="G636" s="5"/>
      <c r="H636" s="5"/>
      <c r="I636" s="5"/>
      <c r="J636" s="5"/>
      <c r="K636" s="50"/>
      <c r="L636" s="50"/>
      <c r="M636" s="50"/>
      <c r="N636" s="50"/>
      <c r="O636" s="50"/>
      <c r="P636" s="50"/>
      <c r="Q636" s="50"/>
      <c r="R636" s="50"/>
      <c r="S636" s="50"/>
      <c r="T636" s="50"/>
      <c r="U636" s="50"/>
      <c r="V636" s="50"/>
      <c r="W636" s="50"/>
      <c r="X636" s="50"/>
      <c r="Y636" s="50"/>
      <c r="Z636" s="50"/>
      <c r="AA636" s="50"/>
      <c r="AB636" s="50"/>
    </row>
    <row r="637" customFormat="false" ht="15.75" hidden="false" customHeight="false" outlineLevel="0" collapsed="false">
      <c r="A637" s="50"/>
      <c r="B637" s="50"/>
      <c r="C637" s="5"/>
      <c r="D637" s="48"/>
      <c r="E637" s="50"/>
      <c r="F637" s="5"/>
      <c r="G637" s="5"/>
      <c r="H637" s="5"/>
      <c r="I637" s="5"/>
      <c r="J637" s="5"/>
      <c r="K637" s="50"/>
      <c r="L637" s="50"/>
      <c r="M637" s="50"/>
      <c r="N637" s="50"/>
      <c r="O637" s="50"/>
      <c r="P637" s="50"/>
      <c r="Q637" s="50"/>
      <c r="R637" s="50"/>
      <c r="S637" s="50"/>
      <c r="T637" s="50"/>
      <c r="U637" s="50"/>
      <c r="V637" s="50"/>
      <c r="W637" s="50"/>
      <c r="X637" s="50"/>
      <c r="Y637" s="50"/>
      <c r="Z637" s="50"/>
      <c r="AA637" s="50"/>
      <c r="AB637" s="50"/>
    </row>
    <row r="638" customFormat="false" ht="15.75" hidden="false" customHeight="false" outlineLevel="0" collapsed="false">
      <c r="A638" s="50"/>
      <c r="B638" s="50"/>
      <c r="C638" s="5"/>
      <c r="D638" s="48"/>
      <c r="E638" s="50"/>
      <c r="F638" s="5"/>
      <c r="G638" s="5"/>
      <c r="H638" s="5"/>
      <c r="I638" s="5"/>
      <c r="J638" s="5"/>
      <c r="K638" s="50"/>
      <c r="L638" s="50"/>
      <c r="M638" s="50"/>
      <c r="N638" s="50"/>
      <c r="O638" s="50"/>
      <c r="P638" s="50"/>
      <c r="Q638" s="50"/>
      <c r="R638" s="50"/>
      <c r="S638" s="50"/>
      <c r="T638" s="50"/>
      <c r="U638" s="50"/>
      <c r="V638" s="50"/>
      <c r="W638" s="50"/>
      <c r="X638" s="50"/>
      <c r="Y638" s="50"/>
      <c r="Z638" s="50"/>
      <c r="AA638" s="50"/>
      <c r="AB638" s="50"/>
    </row>
    <row r="639" customFormat="false" ht="15.75" hidden="false" customHeight="false" outlineLevel="0" collapsed="false">
      <c r="A639" s="50"/>
      <c r="B639" s="50"/>
      <c r="C639" s="5"/>
      <c r="D639" s="48"/>
      <c r="E639" s="50"/>
      <c r="F639" s="5"/>
      <c r="G639" s="5"/>
      <c r="H639" s="5"/>
      <c r="I639" s="5"/>
      <c r="J639" s="5"/>
      <c r="K639" s="50"/>
      <c r="L639" s="50"/>
      <c r="M639" s="50"/>
      <c r="N639" s="50"/>
      <c r="O639" s="50"/>
      <c r="P639" s="50"/>
      <c r="Q639" s="50"/>
      <c r="R639" s="50"/>
      <c r="S639" s="50"/>
      <c r="T639" s="50"/>
      <c r="U639" s="50"/>
      <c r="V639" s="50"/>
      <c r="W639" s="50"/>
      <c r="X639" s="50"/>
      <c r="Y639" s="50"/>
      <c r="Z639" s="50"/>
      <c r="AA639" s="50"/>
      <c r="AB639" s="50"/>
    </row>
    <row r="640" customFormat="false" ht="15.75" hidden="false" customHeight="false" outlineLevel="0" collapsed="false">
      <c r="A640" s="50"/>
      <c r="B640" s="50"/>
      <c r="C640" s="5"/>
      <c r="D640" s="48"/>
      <c r="E640" s="50"/>
      <c r="F640" s="5"/>
      <c r="G640" s="5"/>
      <c r="H640" s="5"/>
      <c r="I640" s="5"/>
      <c r="J640" s="5"/>
      <c r="K640" s="50"/>
      <c r="L640" s="50"/>
      <c r="M640" s="50"/>
      <c r="N640" s="50"/>
      <c r="O640" s="50"/>
      <c r="P640" s="50"/>
      <c r="Q640" s="50"/>
      <c r="R640" s="50"/>
      <c r="S640" s="50"/>
      <c r="T640" s="50"/>
      <c r="U640" s="50"/>
      <c r="V640" s="50"/>
      <c r="W640" s="50"/>
      <c r="X640" s="50"/>
      <c r="Y640" s="50"/>
      <c r="Z640" s="50"/>
      <c r="AA640" s="50"/>
      <c r="AB640" s="50"/>
    </row>
    <row r="641" customFormat="false" ht="15.75" hidden="false" customHeight="false" outlineLevel="0" collapsed="false">
      <c r="A641" s="50"/>
      <c r="B641" s="50"/>
      <c r="C641" s="5"/>
      <c r="D641" s="48"/>
      <c r="E641" s="50"/>
      <c r="F641" s="5"/>
      <c r="G641" s="5"/>
      <c r="H641" s="5"/>
      <c r="I641" s="5"/>
      <c r="J641" s="5"/>
      <c r="K641" s="50"/>
      <c r="L641" s="50"/>
      <c r="M641" s="50"/>
      <c r="N641" s="50"/>
      <c r="O641" s="50"/>
      <c r="P641" s="50"/>
      <c r="Q641" s="50"/>
      <c r="R641" s="50"/>
      <c r="S641" s="50"/>
      <c r="T641" s="50"/>
      <c r="U641" s="50"/>
      <c r="V641" s="50"/>
      <c r="W641" s="50"/>
      <c r="X641" s="50"/>
      <c r="Y641" s="50"/>
      <c r="Z641" s="50"/>
      <c r="AA641" s="50"/>
      <c r="AB641" s="50"/>
    </row>
    <row r="642" customFormat="false" ht="15.75" hidden="false" customHeight="false" outlineLevel="0" collapsed="false">
      <c r="A642" s="50"/>
      <c r="B642" s="50"/>
      <c r="C642" s="5"/>
      <c r="D642" s="48"/>
      <c r="E642" s="50"/>
      <c r="F642" s="5"/>
      <c r="G642" s="5"/>
      <c r="H642" s="5"/>
      <c r="I642" s="5"/>
      <c r="J642" s="5"/>
      <c r="K642" s="50"/>
      <c r="L642" s="50"/>
      <c r="M642" s="50"/>
      <c r="N642" s="50"/>
      <c r="O642" s="50"/>
      <c r="P642" s="50"/>
      <c r="Q642" s="50"/>
      <c r="R642" s="50"/>
      <c r="S642" s="50"/>
      <c r="T642" s="50"/>
      <c r="U642" s="50"/>
      <c r="V642" s="50"/>
      <c r="W642" s="50"/>
      <c r="X642" s="50"/>
      <c r="Y642" s="50"/>
      <c r="Z642" s="50"/>
      <c r="AA642" s="50"/>
      <c r="AB642" s="50"/>
    </row>
    <row r="643" customFormat="false" ht="15.75" hidden="false" customHeight="false" outlineLevel="0" collapsed="false">
      <c r="A643" s="50"/>
      <c r="B643" s="50"/>
      <c r="C643" s="5"/>
      <c r="D643" s="48"/>
      <c r="E643" s="50"/>
      <c r="F643" s="5"/>
      <c r="G643" s="5"/>
      <c r="H643" s="5"/>
      <c r="I643" s="5"/>
      <c r="J643" s="5"/>
      <c r="K643" s="50"/>
      <c r="L643" s="50"/>
      <c r="M643" s="50"/>
      <c r="N643" s="50"/>
      <c r="O643" s="50"/>
      <c r="P643" s="50"/>
      <c r="Q643" s="50"/>
      <c r="R643" s="50"/>
      <c r="S643" s="50"/>
      <c r="T643" s="50"/>
      <c r="U643" s="50"/>
      <c r="V643" s="50"/>
      <c r="W643" s="50"/>
      <c r="X643" s="50"/>
      <c r="Y643" s="50"/>
      <c r="Z643" s="50"/>
      <c r="AA643" s="50"/>
      <c r="AB643" s="50"/>
    </row>
    <row r="644" customFormat="false" ht="15.75" hidden="false" customHeight="false" outlineLevel="0" collapsed="false">
      <c r="A644" s="50"/>
      <c r="B644" s="50"/>
      <c r="C644" s="5"/>
      <c r="D644" s="48"/>
      <c r="E644" s="50"/>
      <c r="F644" s="5"/>
      <c r="G644" s="5"/>
      <c r="H644" s="5"/>
      <c r="I644" s="5"/>
      <c r="J644" s="5"/>
      <c r="K644" s="50"/>
      <c r="L644" s="50"/>
      <c r="M644" s="50"/>
      <c r="N644" s="50"/>
      <c r="O644" s="50"/>
      <c r="P644" s="50"/>
      <c r="Q644" s="50"/>
      <c r="R644" s="50"/>
      <c r="S644" s="50"/>
      <c r="T644" s="50"/>
      <c r="U644" s="50"/>
      <c r="V644" s="50"/>
      <c r="W644" s="50"/>
      <c r="X644" s="50"/>
      <c r="Y644" s="50"/>
      <c r="Z644" s="50"/>
      <c r="AA644" s="50"/>
      <c r="AB644" s="50"/>
    </row>
    <row r="645" customFormat="false" ht="15.75" hidden="false" customHeight="false" outlineLevel="0" collapsed="false">
      <c r="A645" s="50"/>
      <c r="B645" s="50"/>
      <c r="C645" s="5"/>
      <c r="D645" s="48"/>
      <c r="E645" s="50"/>
      <c r="F645" s="5"/>
      <c r="G645" s="5"/>
      <c r="H645" s="5"/>
      <c r="I645" s="5"/>
      <c r="J645" s="5"/>
      <c r="K645" s="50"/>
      <c r="L645" s="50"/>
      <c r="M645" s="50"/>
      <c r="N645" s="50"/>
      <c r="O645" s="50"/>
      <c r="P645" s="50"/>
      <c r="Q645" s="50"/>
      <c r="R645" s="50"/>
      <c r="S645" s="50"/>
      <c r="T645" s="50"/>
      <c r="U645" s="50"/>
      <c r="V645" s="50"/>
      <c r="W645" s="50"/>
      <c r="X645" s="50"/>
      <c r="Y645" s="50"/>
      <c r="Z645" s="50"/>
      <c r="AA645" s="50"/>
      <c r="AB645" s="50"/>
    </row>
    <row r="646" customFormat="false" ht="15.75" hidden="false" customHeight="false" outlineLevel="0" collapsed="false">
      <c r="A646" s="50"/>
      <c r="B646" s="50"/>
      <c r="C646" s="5"/>
      <c r="D646" s="48"/>
      <c r="E646" s="50"/>
      <c r="F646" s="5"/>
      <c r="G646" s="5"/>
      <c r="H646" s="5"/>
      <c r="I646" s="5"/>
      <c r="J646" s="5"/>
      <c r="K646" s="50"/>
      <c r="L646" s="50"/>
      <c r="M646" s="50"/>
      <c r="N646" s="50"/>
      <c r="O646" s="50"/>
      <c r="P646" s="50"/>
      <c r="Q646" s="50"/>
      <c r="R646" s="50"/>
      <c r="S646" s="50"/>
      <c r="T646" s="50"/>
      <c r="U646" s="50"/>
      <c r="V646" s="50"/>
      <c r="W646" s="50"/>
      <c r="X646" s="50"/>
      <c r="Y646" s="50"/>
      <c r="Z646" s="50"/>
      <c r="AA646" s="50"/>
      <c r="AB646" s="50"/>
    </row>
    <row r="647" customFormat="false" ht="15.75" hidden="false" customHeight="false" outlineLevel="0" collapsed="false">
      <c r="A647" s="50"/>
      <c r="B647" s="50"/>
      <c r="C647" s="5"/>
      <c r="D647" s="48"/>
      <c r="E647" s="50"/>
      <c r="F647" s="5"/>
      <c r="G647" s="5"/>
      <c r="H647" s="5"/>
      <c r="I647" s="5"/>
      <c r="J647" s="5"/>
      <c r="K647" s="50"/>
      <c r="L647" s="50"/>
      <c r="M647" s="50"/>
      <c r="N647" s="50"/>
      <c r="O647" s="50"/>
      <c r="P647" s="50"/>
      <c r="Q647" s="50"/>
      <c r="R647" s="50"/>
      <c r="S647" s="50"/>
      <c r="T647" s="50"/>
      <c r="U647" s="50"/>
      <c r="V647" s="50"/>
      <c r="W647" s="50"/>
      <c r="X647" s="50"/>
      <c r="Y647" s="50"/>
      <c r="Z647" s="50"/>
      <c r="AA647" s="50"/>
      <c r="AB647" s="50"/>
    </row>
    <row r="648" customFormat="false" ht="15.75" hidden="false" customHeight="false" outlineLevel="0" collapsed="false">
      <c r="A648" s="50"/>
      <c r="B648" s="50"/>
      <c r="C648" s="5"/>
      <c r="D648" s="48"/>
      <c r="E648" s="50"/>
      <c r="F648" s="5"/>
      <c r="G648" s="5"/>
      <c r="H648" s="5"/>
      <c r="I648" s="5"/>
      <c r="J648" s="5"/>
      <c r="K648" s="50"/>
      <c r="L648" s="50"/>
      <c r="M648" s="50"/>
      <c r="N648" s="50"/>
      <c r="O648" s="50"/>
      <c r="P648" s="50"/>
      <c r="Q648" s="50"/>
      <c r="R648" s="50"/>
      <c r="S648" s="50"/>
      <c r="T648" s="50"/>
      <c r="U648" s="50"/>
      <c r="V648" s="50"/>
      <c r="W648" s="50"/>
      <c r="X648" s="50"/>
      <c r="Y648" s="50"/>
      <c r="Z648" s="50"/>
      <c r="AA648" s="50"/>
      <c r="AB648" s="50"/>
    </row>
    <row r="649" customFormat="false" ht="15.75" hidden="false" customHeight="false" outlineLevel="0" collapsed="false">
      <c r="A649" s="50"/>
      <c r="B649" s="50"/>
      <c r="C649" s="5"/>
      <c r="D649" s="48"/>
      <c r="E649" s="50"/>
      <c r="F649" s="5"/>
      <c r="G649" s="5"/>
      <c r="H649" s="5"/>
      <c r="I649" s="5"/>
      <c r="J649" s="5"/>
      <c r="K649" s="50"/>
      <c r="L649" s="50"/>
      <c r="M649" s="50"/>
      <c r="N649" s="50"/>
      <c r="O649" s="50"/>
      <c r="P649" s="50"/>
      <c r="Q649" s="50"/>
      <c r="R649" s="50"/>
      <c r="S649" s="50"/>
      <c r="T649" s="50"/>
      <c r="U649" s="50"/>
      <c r="V649" s="50"/>
      <c r="W649" s="50"/>
      <c r="X649" s="50"/>
      <c r="Y649" s="50"/>
      <c r="Z649" s="50"/>
      <c r="AA649" s="50"/>
      <c r="AB649" s="50"/>
    </row>
    <row r="650" customFormat="false" ht="15.75" hidden="false" customHeight="false" outlineLevel="0" collapsed="false">
      <c r="A650" s="50"/>
      <c r="B650" s="50"/>
      <c r="C650" s="5"/>
      <c r="D650" s="48"/>
      <c r="E650" s="50"/>
      <c r="F650" s="5"/>
      <c r="G650" s="5"/>
      <c r="H650" s="5"/>
      <c r="I650" s="5"/>
      <c r="J650" s="5"/>
      <c r="K650" s="50"/>
      <c r="L650" s="50"/>
      <c r="M650" s="50"/>
      <c r="N650" s="50"/>
      <c r="O650" s="50"/>
      <c r="P650" s="50"/>
      <c r="Q650" s="50"/>
      <c r="R650" s="50"/>
      <c r="S650" s="50"/>
      <c r="T650" s="50"/>
      <c r="U650" s="50"/>
      <c r="V650" s="50"/>
      <c r="W650" s="50"/>
      <c r="X650" s="50"/>
      <c r="Y650" s="50"/>
      <c r="Z650" s="50"/>
      <c r="AA650" s="50"/>
      <c r="AB650" s="50"/>
    </row>
    <row r="651" customFormat="false" ht="15.75" hidden="false" customHeight="false" outlineLevel="0" collapsed="false">
      <c r="A651" s="50"/>
      <c r="B651" s="50"/>
      <c r="C651" s="5"/>
      <c r="D651" s="48"/>
      <c r="E651" s="50"/>
      <c r="F651" s="5"/>
      <c r="G651" s="5"/>
      <c r="H651" s="5"/>
      <c r="I651" s="5"/>
      <c r="J651" s="5"/>
      <c r="K651" s="50"/>
      <c r="L651" s="50"/>
      <c r="M651" s="50"/>
      <c r="N651" s="50"/>
      <c r="O651" s="50"/>
      <c r="P651" s="50"/>
      <c r="Q651" s="50"/>
      <c r="R651" s="50"/>
      <c r="S651" s="50"/>
      <c r="T651" s="50"/>
      <c r="U651" s="50"/>
      <c r="V651" s="50"/>
      <c r="W651" s="50"/>
      <c r="X651" s="50"/>
      <c r="Y651" s="50"/>
      <c r="Z651" s="50"/>
      <c r="AA651" s="50"/>
      <c r="AB651" s="50"/>
    </row>
    <row r="652" customFormat="false" ht="15.75" hidden="false" customHeight="false" outlineLevel="0" collapsed="false">
      <c r="A652" s="50"/>
      <c r="B652" s="50"/>
      <c r="C652" s="5"/>
      <c r="D652" s="48"/>
      <c r="E652" s="50"/>
      <c r="F652" s="5"/>
      <c r="G652" s="5"/>
      <c r="H652" s="5"/>
      <c r="I652" s="5"/>
      <c r="J652" s="5"/>
      <c r="K652" s="50"/>
      <c r="L652" s="50"/>
      <c r="M652" s="50"/>
      <c r="N652" s="50"/>
      <c r="O652" s="50"/>
      <c r="P652" s="50"/>
      <c r="Q652" s="50"/>
      <c r="R652" s="50"/>
      <c r="S652" s="50"/>
      <c r="T652" s="50"/>
      <c r="U652" s="50"/>
      <c r="V652" s="50"/>
      <c r="W652" s="50"/>
      <c r="X652" s="50"/>
      <c r="Y652" s="50"/>
      <c r="Z652" s="50"/>
      <c r="AA652" s="50"/>
      <c r="AB652" s="50"/>
    </row>
    <row r="653" customFormat="false" ht="15.75" hidden="false" customHeight="false" outlineLevel="0" collapsed="false">
      <c r="A653" s="50"/>
      <c r="B653" s="50"/>
      <c r="C653" s="5"/>
      <c r="D653" s="48"/>
      <c r="E653" s="50"/>
      <c r="F653" s="5"/>
      <c r="G653" s="5"/>
      <c r="H653" s="5"/>
      <c r="I653" s="5"/>
      <c r="J653" s="5"/>
      <c r="K653" s="50"/>
      <c r="L653" s="50"/>
      <c r="M653" s="50"/>
      <c r="N653" s="50"/>
      <c r="O653" s="50"/>
      <c r="P653" s="50"/>
      <c r="Q653" s="50"/>
      <c r="R653" s="50"/>
      <c r="S653" s="50"/>
      <c r="T653" s="50"/>
      <c r="U653" s="50"/>
      <c r="V653" s="50"/>
      <c r="W653" s="50"/>
      <c r="X653" s="50"/>
      <c r="Y653" s="50"/>
      <c r="Z653" s="50"/>
      <c r="AA653" s="50"/>
      <c r="AB653" s="50"/>
    </row>
    <row r="654" customFormat="false" ht="15.75" hidden="false" customHeight="false" outlineLevel="0" collapsed="false">
      <c r="A654" s="50"/>
      <c r="B654" s="50"/>
      <c r="C654" s="5"/>
      <c r="D654" s="48"/>
      <c r="E654" s="50"/>
      <c r="F654" s="5"/>
      <c r="G654" s="5"/>
      <c r="H654" s="5"/>
      <c r="I654" s="5"/>
      <c r="J654" s="5"/>
      <c r="K654" s="50"/>
      <c r="L654" s="50"/>
      <c r="M654" s="50"/>
      <c r="N654" s="50"/>
      <c r="O654" s="50"/>
      <c r="P654" s="50"/>
      <c r="Q654" s="50"/>
      <c r="R654" s="50"/>
      <c r="S654" s="50"/>
      <c r="T654" s="50"/>
      <c r="U654" s="50"/>
      <c r="V654" s="50"/>
      <c r="W654" s="50"/>
      <c r="X654" s="50"/>
      <c r="Y654" s="50"/>
      <c r="Z654" s="50"/>
      <c r="AA654" s="50"/>
      <c r="AB654" s="50"/>
    </row>
    <row r="655" customFormat="false" ht="15.75" hidden="false" customHeight="false" outlineLevel="0" collapsed="false">
      <c r="A655" s="50"/>
      <c r="B655" s="50"/>
      <c r="C655" s="5"/>
      <c r="D655" s="48"/>
      <c r="E655" s="50"/>
      <c r="F655" s="5"/>
      <c r="G655" s="5"/>
      <c r="H655" s="5"/>
      <c r="I655" s="5"/>
      <c r="J655" s="5"/>
      <c r="K655" s="50"/>
      <c r="L655" s="50"/>
      <c r="M655" s="50"/>
      <c r="N655" s="50"/>
      <c r="O655" s="50"/>
      <c r="P655" s="50"/>
      <c r="Q655" s="50"/>
      <c r="R655" s="50"/>
      <c r="S655" s="50"/>
      <c r="T655" s="50"/>
      <c r="U655" s="50"/>
      <c r="V655" s="50"/>
      <c r="W655" s="50"/>
      <c r="X655" s="50"/>
      <c r="Y655" s="50"/>
      <c r="Z655" s="50"/>
      <c r="AA655" s="50"/>
      <c r="AB655" s="50"/>
    </row>
    <row r="656" customFormat="false" ht="15.75" hidden="false" customHeight="false" outlineLevel="0" collapsed="false">
      <c r="A656" s="50"/>
      <c r="B656" s="50"/>
      <c r="C656" s="5"/>
      <c r="D656" s="48"/>
      <c r="E656" s="50"/>
      <c r="F656" s="5"/>
      <c r="G656" s="5"/>
      <c r="H656" s="5"/>
      <c r="I656" s="5"/>
      <c r="J656" s="5"/>
      <c r="K656" s="50"/>
      <c r="L656" s="50"/>
      <c r="M656" s="50"/>
      <c r="N656" s="50"/>
      <c r="O656" s="50"/>
      <c r="P656" s="50"/>
      <c r="Q656" s="50"/>
      <c r="R656" s="50"/>
      <c r="S656" s="50"/>
      <c r="T656" s="50"/>
      <c r="U656" s="50"/>
      <c r="V656" s="50"/>
      <c r="W656" s="50"/>
      <c r="X656" s="50"/>
      <c r="Y656" s="50"/>
      <c r="Z656" s="50"/>
      <c r="AA656" s="50"/>
      <c r="AB656" s="50"/>
    </row>
    <row r="657" customFormat="false" ht="15.75" hidden="false" customHeight="false" outlineLevel="0" collapsed="false">
      <c r="A657" s="50"/>
      <c r="B657" s="50"/>
      <c r="C657" s="5"/>
      <c r="D657" s="48"/>
      <c r="E657" s="50"/>
      <c r="F657" s="5"/>
      <c r="G657" s="5"/>
      <c r="H657" s="5"/>
      <c r="I657" s="5"/>
      <c r="J657" s="5"/>
      <c r="K657" s="50"/>
      <c r="L657" s="50"/>
      <c r="M657" s="50"/>
      <c r="N657" s="50"/>
      <c r="O657" s="50"/>
      <c r="P657" s="50"/>
      <c r="Q657" s="50"/>
      <c r="R657" s="50"/>
      <c r="S657" s="50"/>
      <c r="T657" s="50"/>
      <c r="U657" s="50"/>
      <c r="V657" s="50"/>
      <c r="W657" s="50"/>
      <c r="X657" s="50"/>
      <c r="Y657" s="50"/>
      <c r="Z657" s="50"/>
      <c r="AA657" s="50"/>
      <c r="AB657" s="50"/>
    </row>
    <row r="658" customFormat="false" ht="15.75" hidden="false" customHeight="false" outlineLevel="0" collapsed="false">
      <c r="A658" s="50"/>
      <c r="B658" s="50"/>
      <c r="C658" s="5"/>
      <c r="D658" s="48"/>
      <c r="E658" s="50"/>
      <c r="F658" s="5"/>
      <c r="G658" s="5"/>
      <c r="H658" s="5"/>
      <c r="I658" s="5"/>
      <c r="J658" s="5"/>
      <c r="K658" s="50"/>
      <c r="L658" s="50"/>
      <c r="M658" s="50"/>
      <c r="N658" s="50"/>
      <c r="O658" s="50"/>
      <c r="P658" s="50"/>
      <c r="Q658" s="50"/>
      <c r="R658" s="50"/>
      <c r="S658" s="50"/>
      <c r="T658" s="50"/>
      <c r="U658" s="50"/>
      <c r="V658" s="50"/>
      <c r="W658" s="50"/>
      <c r="X658" s="50"/>
      <c r="Y658" s="50"/>
      <c r="Z658" s="50"/>
      <c r="AA658" s="50"/>
      <c r="AB658" s="50"/>
    </row>
    <row r="659" customFormat="false" ht="15.75" hidden="false" customHeight="false" outlineLevel="0" collapsed="false">
      <c r="A659" s="50"/>
      <c r="B659" s="50"/>
      <c r="C659" s="5"/>
      <c r="D659" s="48"/>
      <c r="E659" s="50"/>
      <c r="F659" s="5"/>
      <c r="G659" s="5"/>
      <c r="H659" s="5"/>
      <c r="I659" s="5"/>
      <c r="J659" s="5"/>
      <c r="K659" s="50"/>
      <c r="L659" s="50"/>
      <c r="M659" s="50"/>
      <c r="N659" s="50"/>
      <c r="O659" s="50"/>
      <c r="P659" s="50"/>
      <c r="Q659" s="50"/>
      <c r="R659" s="50"/>
      <c r="S659" s="50"/>
      <c r="T659" s="50"/>
      <c r="U659" s="50"/>
      <c r="V659" s="50"/>
      <c r="W659" s="50"/>
      <c r="X659" s="50"/>
      <c r="Y659" s="50"/>
      <c r="Z659" s="50"/>
      <c r="AA659" s="50"/>
      <c r="AB659" s="50"/>
    </row>
    <row r="660" customFormat="false" ht="15.75" hidden="false" customHeight="false" outlineLevel="0" collapsed="false">
      <c r="A660" s="50"/>
      <c r="B660" s="50"/>
      <c r="C660" s="5"/>
      <c r="D660" s="48"/>
      <c r="E660" s="50"/>
      <c r="F660" s="5"/>
      <c r="G660" s="5"/>
      <c r="H660" s="5"/>
      <c r="I660" s="5"/>
      <c r="J660" s="5"/>
      <c r="K660" s="50"/>
      <c r="L660" s="50"/>
      <c r="M660" s="50"/>
      <c r="N660" s="50"/>
      <c r="O660" s="50"/>
      <c r="P660" s="50"/>
      <c r="Q660" s="50"/>
      <c r="R660" s="50"/>
      <c r="S660" s="50"/>
      <c r="T660" s="50"/>
      <c r="U660" s="50"/>
      <c r="V660" s="50"/>
      <c r="W660" s="50"/>
      <c r="X660" s="50"/>
      <c r="Y660" s="50"/>
      <c r="Z660" s="50"/>
      <c r="AA660" s="50"/>
      <c r="AB660" s="50"/>
    </row>
    <row r="661" customFormat="false" ht="15.75" hidden="false" customHeight="false" outlineLevel="0" collapsed="false">
      <c r="A661" s="50"/>
      <c r="B661" s="50"/>
      <c r="C661" s="5"/>
      <c r="D661" s="48"/>
      <c r="E661" s="50"/>
      <c r="F661" s="5"/>
      <c r="G661" s="5"/>
      <c r="H661" s="5"/>
      <c r="I661" s="5"/>
      <c r="J661" s="5"/>
      <c r="K661" s="50"/>
      <c r="L661" s="50"/>
      <c r="M661" s="50"/>
      <c r="N661" s="50"/>
      <c r="O661" s="50"/>
      <c r="P661" s="50"/>
      <c r="Q661" s="50"/>
      <c r="R661" s="50"/>
      <c r="S661" s="50"/>
      <c r="T661" s="50"/>
      <c r="U661" s="50"/>
      <c r="V661" s="50"/>
      <c r="W661" s="50"/>
      <c r="X661" s="50"/>
      <c r="Y661" s="50"/>
      <c r="Z661" s="50"/>
      <c r="AA661" s="50"/>
      <c r="AB661" s="50"/>
    </row>
    <row r="662" customFormat="false" ht="15.75" hidden="false" customHeight="false" outlineLevel="0" collapsed="false">
      <c r="A662" s="50"/>
      <c r="B662" s="50"/>
      <c r="C662" s="5"/>
      <c r="D662" s="48"/>
      <c r="E662" s="50"/>
      <c r="F662" s="5"/>
      <c r="G662" s="5"/>
      <c r="H662" s="5"/>
      <c r="I662" s="5"/>
      <c r="J662" s="5"/>
      <c r="K662" s="50"/>
      <c r="L662" s="50"/>
      <c r="M662" s="50"/>
      <c r="N662" s="50"/>
      <c r="O662" s="50"/>
      <c r="P662" s="50"/>
      <c r="Q662" s="50"/>
      <c r="R662" s="50"/>
      <c r="S662" s="50"/>
      <c r="T662" s="50"/>
      <c r="U662" s="50"/>
      <c r="V662" s="50"/>
      <c r="W662" s="50"/>
      <c r="X662" s="50"/>
      <c r="Y662" s="50"/>
      <c r="Z662" s="50"/>
      <c r="AA662" s="50"/>
      <c r="AB662" s="50"/>
    </row>
    <row r="663" customFormat="false" ht="15.75" hidden="false" customHeight="false" outlineLevel="0" collapsed="false">
      <c r="A663" s="50"/>
      <c r="B663" s="50"/>
      <c r="C663" s="5"/>
      <c r="D663" s="48"/>
      <c r="E663" s="50"/>
      <c r="F663" s="5"/>
      <c r="G663" s="5"/>
      <c r="H663" s="5"/>
      <c r="I663" s="5"/>
      <c r="J663" s="5"/>
      <c r="K663" s="50"/>
      <c r="L663" s="50"/>
      <c r="M663" s="50"/>
      <c r="N663" s="50"/>
      <c r="O663" s="50"/>
      <c r="P663" s="50"/>
      <c r="Q663" s="50"/>
      <c r="R663" s="50"/>
      <c r="S663" s="50"/>
      <c r="T663" s="50"/>
      <c r="U663" s="50"/>
      <c r="V663" s="50"/>
      <c r="W663" s="50"/>
      <c r="X663" s="50"/>
      <c r="Y663" s="50"/>
      <c r="Z663" s="50"/>
      <c r="AA663" s="50"/>
      <c r="AB663" s="50"/>
    </row>
    <row r="664" customFormat="false" ht="15.75" hidden="false" customHeight="false" outlineLevel="0" collapsed="false">
      <c r="A664" s="50"/>
      <c r="B664" s="50"/>
      <c r="C664" s="5"/>
      <c r="D664" s="48"/>
      <c r="E664" s="50"/>
      <c r="F664" s="5"/>
      <c r="G664" s="5"/>
      <c r="H664" s="5"/>
      <c r="I664" s="5"/>
      <c r="J664" s="5"/>
      <c r="K664" s="50"/>
      <c r="L664" s="50"/>
      <c r="M664" s="50"/>
      <c r="N664" s="50"/>
      <c r="O664" s="50"/>
      <c r="P664" s="50"/>
      <c r="Q664" s="50"/>
      <c r="R664" s="50"/>
      <c r="S664" s="50"/>
      <c r="T664" s="50"/>
      <c r="U664" s="50"/>
      <c r="V664" s="50"/>
      <c r="W664" s="50"/>
      <c r="X664" s="50"/>
      <c r="Y664" s="50"/>
      <c r="Z664" s="50"/>
      <c r="AA664" s="50"/>
      <c r="AB664" s="50"/>
    </row>
    <row r="665" customFormat="false" ht="15.75" hidden="false" customHeight="false" outlineLevel="0" collapsed="false">
      <c r="A665" s="50"/>
      <c r="B665" s="50"/>
      <c r="C665" s="5"/>
      <c r="D665" s="48"/>
      <c r="E665" s="50"/>
      <c r="F665" s="5"/>
      <c r="G665" s="5"/>
      <c r="H665" s="5"/>
      <c r="I665" s="5"/>
      <c r="J665" s="5"/>
      <c r="K665" s="50"/>
      <c r="L665" s="50"/>
      <c r="M665" s="50"/>
      <c r="N665" s="50"/>
      <c r="O665" s="50"/>
      <c r="P665" s="50"/>
      <c r="Q665" s="50"/>
      <c r="R665" s="50"/>
      <c r="S665" s="50"/>
      <c r="T665" s="50"/>
      <c r="U665" s="50"/>
      <c r="V665" s="50"/>
      <c r="W665" s="50"/>
      <c r="X665" s="50"/>
      <c r="Y665" s="50"/>
      <c r="Z665" s="50"/>
      <c r="AA665" s="50"/>
      <c r="AB665" s="50"/>
    </row>
    <row r="666" customFormat="false" ht="15.75" hidden="false" customHeight="false" outlineLevel="0" collapsed="false">
      <c r="A666" s="50"/>
      <c r="B666" s="50"/>
      <c r="C666" s="5"/>
      <c r="D666" s="48"/>
      <c r="E666" s="50"/>
      <c r="F666" s="5"/>
      <c r="G666" s="5"/>
      <c r="H666" s="5"/>
      <c r="I666" s="5"/>
      <c r="J666" s="5"/>
      <c r="K666" s="50"/>
      <c r="L666" s="50"/>
      <c r="M666" s="50"/>
      <c r="N666" s="50"/>
      <c r="O666" s="50"/>
      <c r="P666" s="50"/>
      <c r="Q666" s="50"/>
      <c r="R666" s="50"/>
      <c r="S666" s="50"/>
      <c r="T666" s="50"/>
      <c r="U666" s="50"/>
      <c r="V666" s="50"/>
      <c r="W666" s="50"/>
      <c r="X666" s="50"/>
      <c r="Y666" s="50"/>
      <c r="Z666" s="50"/>
      <c r="AA666" s="50"/>
      <c r="AB666" s="50"/>
    </row>
    <row r="667" customFormat="false" ht="15.75" hidden="false" customHeight="false" outlineLevel="0" collapsed="false">
      <c r="A667" s="50"/>
      <c r="B667" s="50"/>
      <c r="C667" s="5"/>
      <c r="D667" s="48"/>
      <c r="E667" s="50"/>
      <c r="F667" s="5"/>
      <c r="G667" s="5"/>
      <c r="H667" s="5"/>
      <c r="I667" s="5"/>
      <c r="J667" s="5"/>
      <c r="K667" s="50"/>
      <c r="L667" s="50"/>
      <c r="M667" s="50"/>
      <c r="N667" s="50"/>
      <c r="O667" s="50"/>
      <c r="P667" s="50"/>
      <c r="Q667" s="50"/>
      <c r="R667" s="50"/>
      <c r="S667" s="50"/>
      <c r="T667" s="50"/>
      <c r="U667" s="50"/>
      <c r="V667" s="50"/>
      <c r="W667" s="50"/>
      <c r="X667" s="50"/>
      <c r="Y667" s="50"/>
      <c r="Z667" s="50"/>
      <c r="AA667" s="50"/>
      <c r="AB667" s="50"/>
    </row>
    <row r="668" customFormat="false" ht="15.75" hidden="false" customHeight="false" outlineLevel="0" collapsed="false">
      <c r="A668" s="50"/>
      <c r="B668" s="50"/>
      <c r="C668" s="5"/>
      <c r="D668" s="48"/>
      <c r="E668" s="50"/>
      <c r="F668" s="5"/>
      <c r="G668" s="5"/>
      <c r="H668" s="5"/>
      <c r="I668" s="5"/>
      <c r="J668" s="5"/>
      <c r="K668" s="50"/>
      <c r="L668" s="50"/>
      <c r="M668" s="50"/>
      <c r="N668" s="50"/>
      <c r="O668" s="50"/>
      <c r="P668" s="50"/>
      <c r="Q668" s="50"/>
      <c r="R668" s="50"/>
      <c r="S668" s="50"/>
      <c r="T668" s="50"/>
      <c r="U668" s="50"/>
      <c r="V668" s="50"/>
      <c r="W668" s="50"/>
      <c r="X668" s="50"/>
      <c r="Y668" s="50"/>
      <c r="Z668" s="50"/>
      <c r="AA668" s="50"/>
      <c r="AB668" s="50"/>
    </row>
    <row r="669" customFormat="false" ht="15.75" hidden="false" customHeight="false" outlineLevel="0" collapsed="false">
      <c r="A669" s="50"/>
      <c r="B669" s="50"/>
      <c r="C669" s="5"/>
      <c r="D669" s="48"/>
      <c r="E669" s="50"/>
      <c r="F669" s="5"/>
      <c r="G669" s="5"/>
      <c r="H669" s="5"/>
      <c r="I669" s="5"/>
      <c r="J669" s="5"/>
      <c r="K669" s="50"/>
      <c r="L669" s="50"/>
      <c r="M669" s="50"/>
      <c r="N669" s="50"/>
      <c r="O669" s="50"/>
      <c r="P669" s="50"/>
      <c r="Q669" s="50"/>
      <c r="R669" s="50"/>
      <c r="S669" s="50"/>
      <c r="T669" s="50"/>
      <c r="U669" s="50"/>
      <c r="V669" s="50"/>
      <c r="W669" s="50"/>
      <c r="X669" s="50"/>
      <c r="Y669" s="50"/>
      <c r="Z669" s="50"/>
      <c r="AA669" s="50"/>
      <c r="AB669" s="50"/>
    </row>
    <row r="670" customFormat="false" ht="15.75" hidden="false" customHeight="false" outlineLevel="0" collapsed="false">
      <c r="A670" s="50"/>
      <c r="B670" s="50"/>
      <c r="C670" s="5"/>
      <c r="D670" s="48"/>
      <c r="E670" s="50"/>
      <c r="F670" s="5"/>
      <c r="G670" s="5"/>
      <c r="H670" s="5"/>
      <c r="I670" s="5"/>
      <c r="J670" s="5"/>
      <c r="K670" s="50"/>
      <c r="L670" s="50"/>
      <c r="M670" s="50"/>
      <c r="N670" s="50"/>
      <c r="O670" s="50"/>
      <c r="P670" s="50"/>
      <c r="Q670" s="50"/>
      <c r="R670" s="50"/>
      <c r="S670" s="50"/>
      <c r="T670" s="50"/>
      <c r="U670" s="50"/>
      <c r="V670" s="50"/>
      <c r="W670" s="50"/>
      <c r="X670" s="50"/>
      <c r="Y670" s="50"/>
      <c r="Z670" s="50"/>
      <c r="AA670" s="50"/>
      <c r="AB670" s="50"/>
    </row>
    <row r="671" customFormat="false" ht="15.75" hidden="false" customHeight="false" outlineLevel="0" collapsed="false">
      <c r="A671" s="50"/>
      <c r="B671" s="50"/>
      <c r="C671" s="5"/>
      <c r="D671" s="48"/>
      <c r="E671" s="50"/>
      <c r="F671" s="5"/>
      <c r="G671" s="5"/>
      <c r="H671" s="5"/>
      <c r="I671" s="5"/>
      <c r="J671" s="5"/>
      <c r="K671" s="50"/>
      <c r="L671" s="50"/>
      <c r="M671" s="50"/>
      <c r="N671" s="50"/>
      <c r="O671" s="50"/>
      <c r="P671" s="50"/>
      <c r="Q671" s="50"/>
      <c r="R671" s="50"/>
      <c r="S671" s="50"/>
      <c r="T671" s="50"/>
      <c r="U671" s="50"/>
      <c r="V671" s="50"/>
      <c r="W671" s="50"/>
      <c r="X671" s="50"/>
      <c r="Y671" s="50"/>
      <c r="Z671" s="50"/>
      <c r="AA671" s="50"/>
      <c r="AB671" s="50"/>
    </row>
    <row r="672" customFormat="false" ht="15.75" hidden="false" customHeight="false" outlineLevel="0" collapsed="false">
      <c r="A672" s="50"/>
      <c r="B672" s="50"/>
      <c r="C672" s="5"/>
      <c r="D672" s="48"/>
      <c r="E672" s="50"/>
      <c r="F672" s="5"/>
      <c r="G672" s="5"/>
      <c r="H672" s="5"/>
      <c r="I672" s="5"/>
      <c r="J672" s="5"/>
      <c r="K672" s="50"/>
      <c r="L672" s="50"/>
      <c r="M672" s="50"/>
      <c r="N672" s="50"/>
      <c r="O672" s="50"/>
      <c r="P672" s="50"/>
      <c r="Q672" s="50"/>
      <c r="R672" s="50"/>
      <c r="S672" s="50"/>
      <c r="T672" s="50"/>
      <c r="U672" s="50"/>
      <c r="V672" s="50"/>
      <c r="W672" s="50"/>
      <c r="X672" s="50"/>
      <c r="Y672" s="50"/>
      <c r="Z672" s="50"/>
      <c r="AA672" s="50"/>
      <c r="AB672" s="50"/>
    </row>
    <row r="673" customFormat="false" ht="15.75" hidden="false" customHeight="false" outlineLevel="0" collapsed="false">
      <c r="A673" s="50"/>
      <c r="B673" s="50"/>
      <c r="C673" s="5"/>
      <c r="D673" s="48"/>
      <c r="E673" s="50"/>
      <c r="F673" s="5"/>
      <c r="G673" s="5"/>
      <c r="H673" s="5"/>
      <c r="I673" s="5"/>
      <c r="J673" s="5"/>
      <c r="K673" s="50"/>
      <c r="L673" s="50"/>
      <c r="M673" s="50"/>
      <c r="N673" s="50"/>
      <c r="O673" s="50"/>
      <c r="P673" s="50"/>
      <c r="Q673" s="50"/>
      <c r="R673" s="50"/>
      <c r="S673" s="50"/>
      <c r="T673" s="50"/>
      <c r="U673" s="50"/>
      <c r="V673" s="50"/>
      <c r="W673" s="50"/>
      <c r="X673" s="50"/>
      <c r="Y673" s="50"/>
      <c r="Z673" s="50"/>
      <c r="AA673" s="50"/>
      <c r="AB673" s="50"/>
    </row>
    <row r="674" customFormat="false" ht="15.75" hidden="false" customHeight="false" outlineLevel="0" collapsed="false">
      <c r="A674" s="50"/>
      <c r="B674" s="50"/>
      <c r="C674" s="5"/>
      <c r="D674" s="48"/>
      <c r="E674" s="50"/>
      <c r="F674" s="5"/>
      <c r="G674" s="5"/>
      <c r="H674" s="5"/>
      <c r="I674" s="5"/>
      <c r="J674" s="5"/>
      <c r="K674" s="50"/>
      <c r="L674" s="50"/>
      <c r="M674" s="50"/>
      <c r="N674" s="50"/>
      <c r="O674" s="50"/>
      <c r="P674" s="50"/>
      <c r="Q674" s="50"/>
      <c r="R674" s="50"/>
      <c r="S674" s="50"/>
      <c r="T674" s="50"/>
      <c r="U674" s="50"/>
      <c r="V674" s="50"/>
      <c r="W674" s="50"/>
      <c r="X674" s="50"/>
      <c r="Y674" s="50"/>
      <c r="Z674" s="50"/>
      <c r="AA674" s="50"/>
      <c r="AB674" s="50"/>
    </row>
    <row r="675" customFormat="false" ht="15.75" hidden="false" customHeight="false" outlineLevel="0" collapsed="false">
      <c r="A675" s="50"/>
      <c r="B675" s="50"/>
      <c r="C675" s="5"/>
      <c r="D675" s="48"/>
      <c r="E675" s="50"/>
      <c r="F675" s="5"/>
      <c r="G675" s="5"/>
      <c r="H675" s="5"/>
      <c r="I675" s="5"/>
      <c r="J675" s="5"/>
      <c r="K675" s="50"/>
      <c r="L675" s="50"/>
      <c r="M675" s="50"/>
      <c r="N675" s="50"/>
      <c r="O675" s="50"/>
      <c r="P675" s="50"/>
      <c r="Q675" s="50"/>
      <c r="R675" s="50"/>
      <c r="S675" s="50"/>
      <c r="T675" s="50"/>
      <c r="U675" s="50"/>
      <c r="V675" s="50"/>
      <c r="W675" s="50"/>
      <c r="X675" s="50"/>
      <c r="Y675" s="50"/>
      <c r="Z675" s="50"/>
      <c r="AA675" s="50"/>
      <c r="AB675" s="50"/>
    </row>
    <row r="676" customFormat="false" ht="15.75" hidden="false" customHeight="false" outlineLevel="0" collapsed="false">
      <c r="A676" s="50"/>
      <c r="B676" s="50"/>
      <c r="C676" s="5"/>
      <c r="D676" s="48"/>
      <c r="E676" s="50"/>
      <c r="F676" s="5"/>
      <c r="G676" s="5"/>
      <c r="H676" s="5"/>
      <c r="I676" s="5"/>
      <c r="J676" s="5"/>
      <c r="K676" s="50"/>
      <c r="L676" s="50"/>
      <c r="M676" s="50"/>
      <c r="N676" s="50"/>
      <c r="O676" s="50"/>
      <c r="P676" s="50"/>
      <c r="Q676" s="50"/>
      <c r="R676" s="50"/>
      <c r="S676" s="50"/>
      <c r="T676" s="50"/>
      <c r="U676" s="50"/>
      <c r="V676" s="50"/>
      <c r="W676" s="50"/>
      <c r="X676" s="50"/>
      <c r="Y676" s="50"/>
      <c r="Z676" s="50"/>
      <c r="AA676" s="50"/>
      <c r="AB676" s="50"/>
    </row>
    <row r="677" customFormat="false" ht="15.75" hidden="false" customHeight="false" outlineLevel="0" collapsed="false">
      <c r="A677" s="50"/>
      <c r="B677" s="50"/>
      <c r="C677" s="5"/>
      <c r="D677" s="48"/>
      <c r="E677" s="50"/>
      <c r="F677" s="5"/>
      <c r="G677" s="5"/>
      <c r="H677" s="5"/>
      <c r="I677" s="5"/>
      <c r="J677" s="5"/>
      <c r="K677" s="50"/>
      <c r="L677" s="50"/>
      <c r="M677" s="50"/>
      <c r="N677" s="50"/>
      <c r="O677" s="50"/>
      <c r="P677" s="50"/>
      <c r="Q677" s="50"/>
      <c r="R677" s="50"/>
      <c r="S677" s="50"/>
      <c r="T677" s="50"/>
      <c r="U677" s="50"/>
      <c r="V677" s="50"/>
      <c r="W677" s="50"/>
      <c r="X677" s="50"/>
      <c r="Y677" s="50"/>
      <c r="Z677" s="50"/>
      <c r="AA677" s="50"/>
      <c r="AB677" s="50"/>
    </row>
    <row r="678" customFormat="false" ht="15.75" hidden="false" customHeight="false" outlineLevel="0" collapsed="false">
      <c r="A678" s="50"/>
      <c r="B678" s="50"/>
      <c r="C678" s="5"/>
      <c r="D678" s="48"/>
      <c r="E678" s="50"/>
      <c r="F678" s="5"/>
      <c r="G678" s="5"/>
      <c r="H678" s="5"/>
      <c r="I678" s="5"/>
      <c r="J678" s="5"/>
      <c r="K678" s="50"/>
      <c r="L678" s="50"/>
      <c r="M678" s="50"/>
      <c r="N678" s="50"/>
      <c r="O678" s="50"/>
      <c r="P678" s="50"/>
      <c r="Q678" s="50"/>
      <c r="R678" s="50"/>
      <c r="S678" s="50"/>
      <c r="T678" s="50"/>
      <c r="U678" s="50"/>
      <c r="V678" s="50"/>
      <c r="W678" s="50"/>
      <c r="X678" s="50"/>
      <c r="Y678" s="50"/>
      <c r="Z678" s="50"/>
      <c r="AA678" s="50"/>
      <c r="AB678" s="50"/>
    </row>
    <row r="679" customFormat="false" ht="15.75" hidden="false" customHeight="false" outlineLevel="0" collapsed="false">
      <c r="A679" s="50"/>
      <c r="B679" s="50"/>
      <c r="C679" s="5"/>
      <c r="D679" s="48"/>
      <c r="E679" s="50"/>
      <c r="F679" s="5"/>
      <c r="G679" s="5"/>
      <c r="H679" s="5"/>
      <c r="I679" s="5"/>
      <c r="J679" s="5"/>
      <c r="K679" s="50"/>
      <c r="L679" s="50"/>
      <c r="M679" s="50"/>
      <c r="N679" s="50"/>
      <c r="O679" s="50"/>
      <c r="P679" s="50"/>
      <c r="Q679" s="50"/>
      <c r="R679" s="50"/>
      <c r="S679" s="50"/>
      <c r="T679" s="50"/>
      <c r="U679" s="50"/>
      <c r="V679" s="50"/>
      <c r="W679" s="50"/>
      <c r="X679" s="50"/>
      <c r="Y679" s="50"/>
      <c r="Z679" s="50"/>
      <c r="AA679" s="50"/>
      <c r="AB679" s="50"/>
    </row>
    <row r="680" customFormat="false" ht="15.75" hidden="false" customHeight="false" outlineLevel="0" collapsed="false">
      <c r="A680" s="50"/>
      <c r="B680" s="50"/>
      <c r="C680" s="5"/>
      <c r="D680" s="48"/>
      <c r="E680" s="50"/>
      <c r="F680" s="5"/>
      <c r="G680" s="5"/>
      <c r="H680" s="5"/>
      <c r="I680" s="5"/>
      <c r="J680" s="5"/>
      <c r="K680" s="50"/>
      <c r="L680" s="50"/>
      <c r="M680" s="50"/>
      <c r="N680" s="50"/>
      <c r="O680" s="50"/>
      <c r="P680" s="50"/>
      <c r="Q680" s="50"/>
      <c r="R680" s="50"/>
      <c r="S680" s="50"/>
      <c r="T680" s="50"/>
      <c r="U680" s="50"/>
      <c r="V680" s="50"/>
      <c r="W680" s="50"/>
      <c r="X680" s="50"/>
      <c r="Y680" s="50"/>
      <c r="Z680" s="50"/>
      <c r="AA680" s="50"/>
      <c r="AB680" s="50"/>
    </row>
    <row r="681" customFormat="false" ht="15.75" hidden="false" customHeight="false" outlineLevel="0" collapsed="false">
      <c r="A681" s="50"/>
      <c r="B681" s="50"/>
      <c r="C681" s="5"/>
      <c r="D681" s="48"/>
      <c r="E681" s="50"/>
      <c r="F681" s="5"/>
      <c r="G681" s="5"/>
      <c r="H681" s="5"/>
      <c r="I681" s="5"/>
      <c r="J681" s="5"/>
      <c r="K681" s="50"/>
      <c r="L681" s="50"/>
      <c r="M681" s="50"/>
      <c r="N681" s="50"/>
      <c r="O681" s="50"/>
      <c r="P681" s="50"/>
      <c r="Q681" s="50"/>
      <c r="R681" s="50"/>
      <c r="S681" s="50"/>
      <c r="T681" s="50"/>
      <c r="U681" s="50"/>
      <c r="V681" s="50"/>
      <c r="W681" s="50"/>
      <c r="X681" s="50"/>
      <c r="Y681" s="50"/>
      <c r="Z681" s="50"/>
      <c r="AA681" s="50"/>
      <c r="AB681" s="50"/>
    </row>
    <row r="682" customFormat="false" ht="15.75" hidden="false" customHeight="false" outlineLevel="0" collapsed="false">
      <c r="A682" s="50"/>
      <c r="B682" s="50"/>
      <c r="C682" s="5"/>
      <c r="D682" s="48"/>
      <c r="E682" s="50"/>
      <c r="F682" s="5"/>
      <c r="G682" s="5"/>
      <c r="H682" s="5"/>
      <c r="I682" s="5"/>
      <c r="J682" s="5"/>
      <c r="K682" s="50"/>
      <c r="L682" s="50"/>
      <c r="M682" s="50"/>
      <c r="N682" s="50"/>
      <c r="O682" s="50"/>
      <c r="P682" s="50"/>
      <c r="Q682" s="50"/>
      <c r="R682" s="50"/>
      <c r="S682" s="50"/>
      <c r="T682" s="50"/>
      <c r="U682" s="50"/>
      <c r="V682" s="50"/>
      <c r="W682" s="50"/>
      <c r="X682" s="50"/>
      <c r="Y682" s="50"/>
      <c r="Z682" s="50"/>
      <c r="AA682" s="50"/>
      <c r="AB682" s="50"/>
    </row>
    <row r="683" customFormat="false" ht="15.75" hidden="false" customHeight="false" outlineLevel="0" collapsed="false">
      <c r="A683" s="50"/>
      <c r="B683" s="50"/>
      <c r="C683" s="5"/>
      <c r="D683" s="48"/>
      <c r="E683" s="50"/>
      <c r="F683" s="5"/>
      <c r="G683" s="5"/>
      <c r="H683" s="5"/>
      <c r="I683" s="5"/>
      <c r="J683" s="5"/>
      <c r="K683" s="50"/>
      <c r="L683" s="50"/>
      <c r="M683" s="50"/>
      <c r="N683" s="50"/>
      <c r="O683" s="50"/>
      <c r="P683" s="50"/>
      <c r="Q683" s="50"/>
      <c r="R683" s="50"/>
      <c r="S683" s="50"/>
      <c r="T683" s="50"/>
      <c r="U683" s="50"/>
      <c r="V683" s="50"/>
      <c r="W683" s="50"/>
      <c r="X683" s="50"/>
      <c r="Y683" s="50"/>
      <c r="Z683" s="50"/>
      <c r="AA683" s="50"/>
      <c r="AB683" s="50"/>
    </row>
    <row r="684" customFormat="false" ht="15.75" hidden="false" customHeight="false" outlineLevel="0" collapsed="false">
      <c r="A684" s="50"/>
      <c r="B684" s="50"/>
      <c r="C684" s="5"/>
      <c r="D684" s="48"/>
      <c r="E684" s="50"/>
      <c r="F684" s="5"/>
      <c r="G684" s="5"/>
      <c r="H684" s="5"/>
      <c r="I684" s="5"/>
      <c r="J684" s="5"/>
      <c r="K684" s="50"/>
      <c r="L684" s="50"/>
      <c r="M684" s="50"/>
      <c r="N684" s="50"/>
      <c r="O684" s="50"/>
      <c r="P684" s="50"/>
      <c r="Q684" s="50"/>
      <c r="R684" s="50"/>
      <c r="S684" s="50"/>
      <c r="T684" s="50"/>
      <c r="U684" s="50"/>
      <c r="V684" s="50"/>
      <c r="W684" s="50"/>
      <c r="X684" s="50"/>
      <c r="Y684" s="50"/>
      <c r="Z684" s="50"/>
      <c r="AA684" s="50"/>
      <c r="AB684" s="50"/>
    </row>
    <row r="685" customFormat="false" ht="15.75" hidden="false" customHeight="false" outlineLevel="0" collapsed="false">
      <c r="A685" s="50"/>
      <c r="B685" s="50"/>
      <c r="C685" s="5"/>
      <c r="D685" s="48"/>
      <c r="E685" s="50"/>
      <c r="F685" s="5"/>
      <c r="G685" s="5"/>
      <c r="H685" s="5"/>
      <c r="I685" s="5"/>
      <c r="J685" s="5"/>
      <c r="K685" s="50"/>
      <c r="L685" s="50"/>
      <c r="M685" s="50"/>
      <c r="N685" s="50"/>
      <c r="O685" s="50"/>
      <c r="P685" s="50"/>
      <c r="Q685" s="50"/>
      <c r="R685" s="50"/>
      <c r="S685" s="50"/>
      <c r="T685" s="50"/>
      <c r="U685" s="50"/>
      <c r="V685" s="50"/>
      <c r="W685" s="50"/>
      <c r="X685" s="50"/>
      <c r="Y685" s="50"/>
      <c r="Z685" s="50"/>
      <c r="AA685" s="50"/>
      <c r="AB685" s="50"/>
    </row>
    <row r="686" customFormat="false" ht="15.75" hidden="false" customHeight="false" outlineLevel="0" collapsed="false">
      <c r="A686" s="50"/>
      <c r="B686" s="50"/>
      <c r="C686" s="5"/>
      <c r="D686" s="48"/>
      <c r="E686" s="50"/>
      <c r="F686" s="5"/>
      <c r="G686" s="5"/>
      <c r="H686" s="5"/>
      <c r="I686" s="5"/>
      <c r="J686" s="5"/>
      <c r="K686" s="50"/>
      <c r="L686" s="50"/>
      <c r="M686" s="50"/>
      <c r="N686" s="50"/>
      <c r="O686" s="50"/>
      <c r="P686" s="50"/>
      <c r="Q686" s="50"/>
      <c r="R686" s="50"/>
      <c r="S686" s="50"/>
      <c r="T686" s="50"/>
      <c r="U686" s="50"/>
      <c r="V686" s="50"/>
      <c r="W686" s="50"/>
      <c r="X686" s="50"/>
      <c r="Y686" s="50"/>
      <c r="Z686" s="50"/>
      <c r="AA686" s="50"/>
      <c r="AB686" s="50"/>
    </row>
    <row r="687" customFormat="false" ht="15.75" hidden="false" customHeight="false" outlineLevel="0" collapsed="false">
      <c r="A687" s="50"/>
      <c r="B687" s="50"/>
      <c r="C687" s="5"/>
      <c r="D687" s="48"/>
      <c r="E687" s="50"/>
      <c r="F687" s="5"/>
      <c r="G687" s="5"/>
      <c r="H687" s="5"/>
      <c r="I687" s="5"/>
      <c r="J687" s="5"/>
      <c r="K687" s="50"/>
      <c r="L687" s="50"/>
      <c r="M687" s="50"/>
      <c r="N687" s="50"/>
      <c r="O687" s="50"/>
      <c r="P687" s="50"/>
      <c r="Q687" s="50"/>
      <c r="R687" s="50"/>
      <c r="S687" s="50"/>
      <c r="T687" s="50"/>
      <c r="U687" s="50"/>
      <c r="V687" s="50"/>
      <c r="W687" s="50"/>
      <c r="X687" s="50"/>
      <c r="Y687" s="50"/>
      <c r="Z687" s="50"/>
      <c r="AA687" s="50"/>
      <c r="AB687" s="50"/>
    </row>
    <row r="688" customFormat="false" ht="15.75" hidden="false" customHeight="false" outlineLevel="0" collapsed="false">
      <c r="A688" s="50"/>
      <c r="B688" s="50"/>
      <c r="C688" s="5"/>
      <c r="D688" s="48"/>
      <c r="E688" s="50"/>
      <c r="F688" s="5"/>
      <c r="G688" s="5"/>
      <c r="H688" s="5"/>
      <c r="I688" s="5"/>
      <c r="J688" s="5"/>
      <c r="K688" s="50"/>
      <c r="L688" s="50"/>
      <c r="M688" s="50"/>
      <c r="N688" s="50"/>
      <c r="O688" s="50"/>
      <c r="P688" s="50"/>
      <c r="Q688" s="50"/>
      <c r="R688" s="50"/>
      <c r="S688" s="50"/>
      <c r="T688" s="50"/>
      <c r="U688" s="50"/>
      <c r="V688" s="50"/>
      <c r="W688" s="50"/>
      <c r="X688" s="50"/>
      <c r="Y688" s="50"/>
      <c r="Z688" s="50"/>
      <c r="AA688" s="50"/>
      <c r="AB688" s="50"/>
    </row>
    <row r="689" customFormat="false" ht="15.75" hidden="false" customHeight="false" outlineLevel="0" collapsed="false">
      <c r="A689" s="50"/>
      <c r="B689" s="50"/>
      <c r="C689" s="5"/>
      <c r="D689" s="48"/>
      <c r="E689" s="50"/>
      <c r="F689" s="5"/>
      <c r="G689" s="5"/>
      <c r="H689" s="5"/>
      <c r="I689" s="5"/>
      <c r="J689" s="5"/>
      <c r="K689" s="50"/>
      <c r="L689" s="50"/>
      <c r="M689" s="50"/>
      <c r="N689" s="50"/>
      <c r="O689" s="50"/>
      <c r="P689" s="50"/>
      <c r="Q689" s="50"/>
      <c r="R689" s="50"/>
      <c r="S689" s="50"/>
      <c r="T689" s="50"/>
      <c r="U689" s="50"/>
      <c r="V689" s="50"/>
      <c r="W689" s="50"/>
      <c r="X689" s="50"/>
      <c r="Y689" s="50"/>
      <c r="Z689" s="50"/>
      <c r="AA689" s="50"/>
      <c r="AB689" s="50"/>
    </row>
    <row r="690" customFormat="false" ht="15.75" hidden="false" customHeight="false" outlineLevel="0" collapsed="false">
      <c r="A690" s="50"/>
      <c r="B690" s="50"/>
      <c r="C690" s="5"/>
      <c r="D690" s="48"/>
      <c r="E690" s="50"/>
      <c r="F690" s="5"/>
      <c r="G690" s="5"/>
      <c r="H690" s="5"/>
      <c r="I690" s="5"/>
      <c r="J690" s="5"/>
      <c r="K690" s="50"/>
      <c r="L690" s="50"/>
      <c r="M690" s="50"/>
      <c r="N690" s="50"/>
      <c r="O690" s="50"/>
      <c r="P690" s="50"/>
      <c r="Q690" s="50"/>
      <c r="R690" s="50"/>
      <c r="S690" s="50"/>
      <c r="T690" s="50"/>
      <c r="U690" s="50"/>
      <c r="V690" s="50"/>
      <c r="W690" s="50"/>
      <c r="X690" s="50"/>
      <c r="Y690" s="50"/>
      <c r="Z690" s="50"/>
      <c r="AA690" s="50"/>
      <c r="AB690" s="50"/>
    </row>
    <row r="691" customFormat="false" ht="15.75" hidden="false" customHeight="false" outlineLevel="0" collapsed="false">
      <c r="A691" s="50"/>
      <c r="B691" s="50"/>
      <c r="C691" s="5"/>
      <c r="D691" s="48"/>
      <c r="E691" s="50"/>
      <c r="F691" s="5"/>
      <c r="G691" s="5"/>
      <c r="H691" s="5"/>
      <c r="I691" s="5"/>
      <c r="J691" s="5"/>
      <c r="K691" s="50"/>
      <c r="L691" s="50"/>
      <c r="M691" s="50"/>
      <c r="N691" s="50"/>
      <c r="O691" s="50"/>
      <c r="P691" s="50"/>
      <c r="Q691" s="50"/>
      <c r="R691" s="50"/>
      <c r="S691" s="50"/>
      <c r="T691" s="50"/>
      <c r="U691" s="50"/>
      <c r="V691" s="50"/>
      <c r="W691" s="50"/>
      <c r="X691" s="50"/>
      <c r="Y691" s="50"/>
      <c r="Z691" s="50"/>
      <c r="AA691" s="50"/>
      <c r="AB691" s="50"/>
    </row>
    <row r="692" customFormat="false" ht="15.75" hidden="false" customHeight="false" outlineLevel="0" collapsed="false">
      <c r="A692" s="50"/>
      <c r="B692" s="50"/>
      <c r="C692" s="5"/>
      <c r="D692" s="48"/>
      <c r="E692" s="50"/>
      <c r="F692" s="5"/>
      <c r="G692" s="5"/>
      <c r="H692" s="5"/>
      <c r="I692" s="5"/>
      <c r="J692" s="5"/>
      <c r="K692" s="50"/>
      <c r="L692" s="50"/>
      <c r="M692" s="50"/>
      <c r="N692" s="50"/>
      <c r="O692" s="50"/>
      <c r="P692" s="50"/>
      <c r="Q692" s="50"/>
      <c r="R692" s="50"/>
      <c r="S692" s="50"/>
      <c r="T692" s="50"/>
      <c r="U692" s="50"/>
      <c r="V692" s="50"/>
      <c r="W692" s="50"/>
      <c r="X692" s="50"/>
      <c r="Y692" s="50"/>
      <c r="Z692" s="50"/>
      <c r="AA692" s="50"/>
      <c r="AB692" s="50"/>
    </row>
    <row r="693" customFormat="false" ht="15.75" hidden="false" customHeight="false" outlineLevel="0" collapsed="false">
      <c r="A693" s="50"/>
      <c r="B693" s="50"/>
      <c r="C693" s="5"/>
      <c r="D693" s="48"/>
      <c r="E693" s="50"/>
      <c r="F693" s="5"/>
      <c r="G693" s="5"/>
      <c r="H693" s="5"/>
      <c r="I693" s="5"/>
      <c r="J693" s="5"/>
      <c r="K693" s="50"/>
      <c r="L693" s="50"/>
      <c r="M693" s="50"/>
      <c r="N693" s="50"/>
      <c r="O693" s="50"/>
      <c r="P693" s="50"/>
      <c r="Q693" s="50"/>
      <c r="R693" s="50"/>
      <c r="S693" s="50"/>
      <c r="T693" s="50"/>
      <c r="U693" s="50"/>
      <c r="V693" s="50"/>
      <c r="W693" s="50"/>
      <c r="X693" s="50"/>
      <c r="Y693" s="50"/>
      <c r="Z693" s="50"/>
      <c r="AA693" s="50"/>
      <c r="AB693" s="50"/>
    </row>
    <row r="694" customFormat="false" ht="15.75" hidden="false" customHeight="false" outlineLevel="0" collapsed="false">
      <c r="A694" s="50"/>
      <c r="B694" s="50"/>
      <c r="C694" s="5"/>
      <c r="D694" s="48"/>
      <c r="E694" s="50"/>
      <c r="F694" s="5"/>
      <c r="G694" s="5"/>
      <c r="H694" s="5"/>
      <c r="I694" s="5"/>
      <c r="J694" s="5"/>
      <c r="K694" s="50"/>
      <c r="L694" s="50"/>
      <c r="M694" s="50"/>
      <c r="N694" s="50"/>
      <c r="O694" s="50"/>
      <c r="P694" s="50"/>
      <c r="Q694" s="50"/>
      <c r="R694" s="50"/>
      <c r="S694" s="50"/>
      <c r="T694" s="50"/>
      <c r="U694" s="50"/>
      <c r="V694" s="50"/>
      <c r="W694" s="50"/>
      <c r="X694" s="50"/>
      <c r="Y694" s="50"/>
      <c r="Z694" s="50"/>
      <c r="AA694" s="50"/>
      <c r="AB694" s="50"/>
    </row>
    <row r="695" customFormat="false" ht="15.75" hidden="false" customHeight="false" outlineLevel="0" collapsed="false">
      <c r="A695" s="50"/>
      <c r="B695" s="50"/>
      <c r="C695" s="5"/>
      <c r="D695" s="48"/>
      <c r="E695" s="50"/>
      <c r="F695" s="5"/>
      <c r="G695" s="5"/>
      <c r="H695" s="5"/>
      <c r="I695" s="5"/>
      <c r="J695" s="5"/>
      <c r="K695" s="50"/>
      <c r="L695" s="50"/>
      <c r="M695" s="50"/>
      <c r="N695" s="50"/>
      <c r="O695" s="50"/>
      <c r="P695" s="50"/>
      <c r="Q695" s="50"/>
      <c r="R695" s="50"/>
      <c r="S695" s="50"/>
      <c r="T695" s="50"/>
      <c r="U695" s="50"/>
      <c r="V695" s="50"/>
      <c r="W695" s="50"/>
      <c r="X695" s="50"/>
      <c r="Y695" s="50"/>
      <c r="Z695" s="50"/>
      <c r="AA695" s="50"/>
      <c r="AB695" s="50"/>
    </row>
    <row r="696" customFormat="false" ht="15.75" hidden="false" customHeight="false" outlineLevel="0" collapsed="false">
      <c r="A696" s="50"/>
      <c r="B696" s="50"/>
      <c r="C696" s="5"/>
      <c r="D696" s="48"/>
      <c r="E696" s="50"/>
      <c r="F696" s="5"/>
      <c r="G696" s="5"/>
      <c r="H696" s="5"/>
      <c r="I696" s="5"/>
      <c r="J696" s="5"/>
      <c r="K696" s="50"/>
      <c r="L696" s="50"/>
      <c r="M696" s="50"/>
      <c r="N696" s="50"/>
      <c r="O696" s="50"/>
      <c r="P696" s="50"/>
      <c r="Q696" s="50"/>
      <c r="R696" s="50"/>
      <c r="S696" s="50"/>
      <c r="T696" s="50"/>
      <c r="U696" s="50"/>
      <c r="V696" s="50"/>
      <c r="W696" s="50"/>
      <c r="X696" s="50"/>
      <c r="Y696" s="50"/>
      <c r="Z696" s="50"/>
      <c r="AA696" s="50"/>
      <c r="AB696" s="50"/>
    </row>
    <row r="697" customFormat="false" ht="15.75" hidden="false" customHeight="false" outlineLevel="0" collapsed="false">
      <c r="A697" s="50"/>
      <c r="B697" s="50"/>
      <c r="C697" s="5"/>
      <c r="D697" s="48"/>
      <c r="E697" s="50"/>
      <c r="F697" s="5"/>
      <c r="G697" s="5"/>
      <c r="H697" s="5"/>
      <c r="I697" s="5"/>
      <c r="J697" s="5"/>
      <c r="K697" s="50"/>
      <c r="L697" s="50"/>
      <c r="M697" s="50"/>
      <c r="N697" s="50"/>
      <c r="O697" s="50"/>
      <c r="P697" s="50"/>
      <c r="Q697" s="50"/>
      <c r="R697" s="50"/>
      <c r="S697" s="50"/>
      <c r="T697" s="50"/>
      <c r="U697" s="50"/>
      <c r="V697" s="50"/>
      <c r="W697" s="50"/>
      <c r="X697" s="50"/>
      <c r="Y697" s="50"/>
      <c r="Z697" s="50"/>
      <c r="AA697" s="50"/>
      <c r="AB697" s="50"/>
    </row>
    <row r="698" customFormat="false" ht="15.75" hidden="false" customHeight="false" outlineLevel="0" collapsed="false">
      <c r="A698" s="50"/>
      <c r="B698" s="50"/>
      <c r="C698" s="5"/>
      <c r="D698" s="48"/>
      <c r="E698" s="50"/>
      <c r="F698" s="5"/>
      <c r="G698" s="5"/>
      <c r="H698" s="5"/>
      <c r="I698" s="5"/>
      <c r="J698" s="5"/>
      <c r="K698" s="50"/>
      <c r="L698" s="50"/>
      <c r="M698" s="50"/>
      <c r="N698" s="50"/>
      <c r="O698" s="50"/>
      <c r="P698" s="50"/>
      <c r="Q698" s="50"/>
      <c r="R698" s="50"/>
      <c r="S698" s="50"/>
      <c r="T698" s="50"/>
      <c r="U698" s="50"/>
      <c r="V698" s="50"/>
      <c r="W698" s="50"/>
      <c r="X698" s="50"/>
      <c r="Y698" s="50"/>
      <c r="Z698" s="50"/>
      <c r="AA698" s="50"/>
      <c r="AB698" s="50"/>
    </row>
    <row r="699" customFormat="false" ht="15.75" hidden="false" customHeight="false" outlineLevel="0" collapsed="false">
      <c r="A699" s="50"/>
      <c r="B699" s="50"/>
      <c r="C699" s="5"/>
      <c r="D699" s="48"/>
      <c r="E699" s="50"/>
      <c r="F699" s="5"/>
      <c r="G699" s="5"/>
      <c r="H699" s="5"/>
      <c r="I699" s="5"/>
      <c r="J699" s="5"/>
      <c r="K699" s="50"/>
      <c r="L699" s="50"/>
      <c r="M699" s="50"/>
      <c r="N699" s="50"/>
      <c r="O699" s="50"/>
      <c r="P699" s="50"/>
      <c r="Q699" s="50"/>
      <c r="R699" s="50"/>
      <c r="S699" s="50"/>
      <c r="T699" s="50"/>
      <c r="U699" s="50"/>
      <c r="V699" s="50"/>
      <c r="W699" s="50"/>
      <c r="X699" s="50"/>
      <c r="Y699" s="50"/>
      <c r="Z699" s="50"/>
      <c r="AA699" s="50"/>
      <c r="AB699" s="50"/>
    </row>
    <row r="700" customFormat="false" ht="15.75" hidden="false" customHeight="false" outlineLevel="0" collapsed="false">
      <c r="A700" s="50"/>
      <c r="B700" s="50"/>
      <c r="C700" s="5"/>
      <c r="D700" s="48"/>
      <c r="E700" s="50"/>
      <c r="F700" s="5"/>
      <c r="G700" s="5"/>
      <c r="H700" s="5"/>
      <c r="I700" s="5"/>
      <c r="J700" s="5"/>
      <c r="K700" s="50"/>
      <c r="L700" s="50"/>
      <c r="M700" s="50"/>
      <c r="N700" s="50"/>
      <c r="O700" s="50"/>
      <c r="P700" s="50"/>
      <c r="Q700" s="50"/>
      <c r="R700" s="50"/>
      <c r="S700" s="50"/>
      <c r="T700" s="50"/>
      <c r="U700" s="50"/>
      <c r="V700" s="50"/>
      <c r="W700" s="50"/>
      <c r="X700" s="50"/>
      <c r="Y700" s="50"/>
      <c r="Z700" s="50"/>
      <c r="AA700" s="50"/>
      <c r="AB700" s="50"/>
    </row>
    <row r="701" customFormat="false" ht="15.75" hidden="false" customHeight="false" outlineLevel="0" collapsed="false">
      <c r="A701" s="50"/>
      <c r="B701" s="50"/>
      <c r="C701" s="5"/>
      <c r="D701" s="48"/>
      <c r="E701" s="50"/>
      <c r="F701" s="5"/>
      <c r="G701" s="5"/>
      <c r="H701" s="5"/>
      <c r="I701" s="5"/>
      <c r="J701" s="5"/>
      <c r="K701" s="50"/>
      <c r="L701" s="50"/>
      <c r="M701" s="50"/>
      <c r="N701" s="50"/>
      <c r="O701" s="50"/>
      <c r="P701" s="50"/>
      <c r="Q701" s="50"/>
      <c r="R701" s="50"/>
      <c r="S701" s="50"/>
      <c r="T701" s="50"/>
      <c r="U701" s="50"/>
      <c r="V701" s="50"/>
      <c r="W701" s="50"/>
      <c r="X701" s="50"/>
      <c r="Y701" s="50"/>
      <c r="Z701" s="50"/>
      <c r="AA701" s="50"/>
      <c r="AB701" s="50"/>
    </row>
    <row r="702" customFormat="false" ht="15.75" hidden="false" customHeight="false" outlineLevel="0" collapsed="false">
      <c r="A702" s="50"/>
      <c r="B702" s="50"/>
      <c r="C702" s="5"/>
      <c r="D702" s="48"/>
      <c r="E702" s="50"/>
      <c r="F702" s="5"/>
      <c r="G702" s="5"/>
      <c r="H702" s="5"/>
      <c r="I702" s="5"/>
      <c r="J702" s="5"/>
      <c r="K702" s="50"/>
      <c r="L702" s="50"/>
      <c r="M702" s="50"/>
      <c r="N702" s="50"/>
      <c r="O702" s="50"/>
      <c r="P702" s="50"/>
      <c r="Q702" s="50"/>
      <c r="R702" s="50"/>
      <c r="S702" s="50"/>
      <c r="T702" s="50"/>
      <c r="U702" s="50"/>
      <c r="V702" s="50"/>
      <c r="W702" s="50"/>
      <c r="X702" s="50"/>
      <c r="Y702" s="50"/>
      <c r="Z702" s="50"/>
      <c r="AA702" s="50"/>
      <c r="AB702" s="50"/>
    </row>
    <row r="703" customFormat="false" ht="15.75" hidden="false" customHeight="false" outlineLevel="0" collapsed="false">
      <c r="A703" s="50"/>
      <c r="B703" s="50"/>
      <c r="C703" s="5"/>
      <c r="D703" s="48"/>
      <c r="E703" s="50"/>
      <c r="F703" s="5"/>
      <c r="G703" s="5"/>
      <c r="H703" s="5"/>
      <c r="I703" s="5"/>
      <c r="J703" s="5"/>
      <c r="K703" s="50"/>
      <c r="L703" s="50"/>
      <c r="M703" s="50"/>
      <c r="N703" s="50"/>
      <c r="O703" s="50"/>
      <c r="P703" s="50"/>
      <c r="Q703" s="50"/>
      <c r="R703" s="50"/>
      <c r="S703" s="50"/>
      <c r="T703" s="50"/>
      <c r="U703" s="50"/>
      <c r="V703" s="50"/>
      <c r="W703" s="50"/>
      <c r="X703" s="50"/>
      <c r="Y703" s="50"/>
      <c r="Z703" s="50"/>
      <c r="AA703" s="50"/>
      <c r="AB703" s="50"/>
    </row>
    <row r="704" customFormat="false" ht="15.75" hidden="false" customHeight="false" outlineLevel="0" collapsed="false">
      <c r="A704" s="50"/>
      <c r="B704" s="50"/>
      <c r="C704" s="5"/>
      <c r="D704" s="48"/>
      <c r="E704" s="50"/>
      <c r="F704" s="5"/>
      <c r="G704" s="5"/>
      <c r="H704" s="5"/>
      <c r="I704" s="5"/>
      <c r="J704" s="5"/>
      <c r="K704" s="50"/>
      <c r="L704" s="50"/>
      <c r="M704" s="50"/>
      <c r="N704" s="50"/>
      <c r="O704" s="50"/>
      <c r="P704" s="50"/>
      <c r="Q704" s="50"/>
      <c r="R704" s="50"/>
      <c r="S704" s="50"/>
      <c r="T704" s="50"/>
      <c r="U704" s="50"/>
      <c r="V704" s="50"/>
      <c r="W704" s="50"/>
      <c r="X704" s="50"/>
      <c r="Y704" s="50"/>
      <c r="Z704" s="50"/>
      <c r="AA704" s="50"/>
      <c r="AB704" s="50"/>
    </row>
    <row r="705" customFormat="false" ht="15.75" hidden="false" customHeight="false" outlineLevel="0" collapsed="false">
      <c r="A705" s="50"/>
      <c r="B705" s="50"/>
      <c r="C705" s="5"/>
      <c r="D705" s="48"/>
      <c r="E705" s="50"/>
      <c r="F705" s="5"/>
      <c r="G705" s="5"/>
      <c r="H705" s="5"/>
      <c r="I705" s="5"/>
      <c r="J705" s="5"/>
      <c r="K705" s="50"/>
      <c r="L705" s="50"/>
      <c r="M705" s="50"/>
      <c r="N705" s="50"/>
      <c r="O705" s="50"/>
      <c r="P705" s="50"/>
      <c r="Q705" s="50"/>
      <c r="R705" s="50"/>
      <c r="S705" s="50"/>
      <c r="T705" s="50"/>
      <c r="U705" s="50"/>
      <c r="V705" s="50"/>
      <c r="W705" s="50"/>
      <c r="X705" s="50"/>
      <c r="Y705" s="50"/>
      <c r="Z705" s="50"/>
      <c r="AA705" s="50"/>
      <c r="AB705" s="50"/>
    </row>
    <row r="706" customFormat="false" ht="15.75" hidden="false" customHeight="false" outlineLevel="0" collapsed="false">
      <c r="A706" s="50"/>
      <c r="B706" s="50"/>
      <c r="C706" s="5"/>
      <c r="D706" s="48"/>
      <c r="E706" s="50"/>
      <c r="F706" s="5"/>
      <c r="G706" s="5"/>
      <c r="H706" s="5"/>
      <c r="I706" s="5"/>
      <c r="J706" s="5"/>
      <c r="K706" s="50"/>
      <c r="L706" s="50"/>
      <c r="M706" s="50"/>
      <c r="N706" s="50"/>
      <c r="O706" s="50"/>
      <c r="P706" s="50"/>
      <c r="Q706" s="50"/>
      <c r="R706" s="50"/>
      <c r="S706" s="50"/>
      <c r="T706" s="50"/>
      <c r="U706" s="50"/>
      <c r="V706" s="50"/>
      <c r="W706" s="50"/>
      <c r="X706" s="50"/>
      <c r="Y706" s="50"/>
      <c r="Z706" s="50"/>
      <c r="AA706" s="50"/>
      <c r="AB706" s="50"/>
    </row>
    <row r="707" customFormat="false" ht="15.75" hidden="false" customHeight="false" outlineLevel="0" collapsed="false">
      <c r="A707" s="50"/>
      <c r="B707" s="50"/>
      <c r="C707" s="5"/>
      <c r="D707" s="48"/>
      <c r="E707" s="50"/>
      <c r="F707" s="5"/>
      <c r="G707" s="5"/>
      <c r="H707" s="5"/>
      <c r="I707" s="5"/>
      <c r="J707" s="5"/>
      <c r="K707" s="50"/>
      <c r="L707" s="50"/>
      <c r="M707" s="50"/>
      <c r="N707" s="50"/>
      <c r="O707" s="50"/>
      <c r="P707" s="50"/>
      <c r="Q707" s="50"/>
      <c r="R707" s="50"/>
      <c r="S707" s="50"/>
      <c r="T707" s="50"/>
      <c r="U707" s="50"/>
      <c r="V707" s="50"/>
      <c r="W707" s="50"/>
      <c r="X707" s="50"/>
      <c r="Y707" s="50"/>
      <c r="Z707" s="50"/>
      <c r="AA707" s="50"/>
      <c r="AB707" s="50"/>
    </row>
    <row r="708" customFormat="false" ht="15.75" hidden="false" customHeight="false" outlineLevel="0" collapsed="false">
      <c r="A708" s="50"/>
      <c r="B708" s="50"/>
      <c r="C708" s="5"/>
      <c r="D708" s="48"/>
      <c r="E708" s="50"/>
      <c r="F708" s="5"/>
      <c r="G708" s="5"/>
      <c r="H708" s="5"/>
      <c r="I708" s="5"/>
      <c r="J708" s="5"/>
      <c r="K708" s="50"/>
      <c r="L708" s="50"/>
      <c r="M708" s="50"/>
      <c r="N708" s="50"/>
      <c r="O708" s="50"/>
      <c r="P708" s="50"/>
      <c r="Q708" s="50"/>
      <c r="R708" s="50"/>
      <c r="S708" s="50"/>
      <c r="T708" s="50"/>
      <c r="U708" s="50"/>
      <c r="V708" s="50"/>
      <c r="W708" s="50"/>
      <c r="X708" s="50"/>
      <c r="Y708" s="50"/>
      <c r="Z708" s="50"/>
      <c r="AA708" s="50"/>
      <c r="AB708" s="50"/>
    </row>
    <row r="709" customFormat="false" ht="15.75" hidden="false" customHeight="false" outlineLevel="0" collapsed="false">
      <c r="A709" s="50"/>
      <c r="B709" s="50"/>
      <c r="C709" s="5"/>
      <c r="D709" s="48"/>
      <c r="E709" s="50"/>
      <c r="F709" s="5"/>
      <c r="G709" s="5"/>
      <c r="H709" s="5"/>
      <c r="I709" s="5"/>
      <c r="J709" s="5"/>
      <c r="K709" s="50"/>
      <c r="L709" s="50"/>
      <c r="M709" s="50"/>
      <c r="N709" s="50"/>
      <c r="O709" s="50"/>
      <c r="P709" s="50"/>
      <c r="Q709" s="50"/>
      <c r="R709" s="50"/>
      <c r="S709" s="50"/>
      <c r="T709" s="50"/>
      <c r="U709" s="50"/>
      <c r="V709" s="50"/>
      <c r="W709" s="50"/>
      <c r="X709" s="50"/>
      <c r="Y709" s="50"/>
      <c r="Z709" s="50"/>
      <c r="AA709" s="50"/>
      <c r="AB709" s="50"/>
    </row>
    <row r="710" customFormat="false" ht="15.75" hidden="false" customHeight="false" outlineLevel="0" collapsed="false">
      <c r="A710" s="50"/>
      <c r="B710" s="50"/>
      <c r="C710" s="5"/>
      <c r="D710" s="48"/>
      <c r="E710" s="50"/>
      <c r="F710" s="5"/>
      <c r="G710" s="5"/>
      <c r="H710" s="5"/>
      <c r="I710" s="5"/>
      <c r="J710" s="5"/>
      <c r="K710" s="50"/>
      <c r="L710" s="50"/>
      <c r="M710" s="50"/>
      <c r="N710" s="50"/>
      <c r="O710" s="50"/>
      <c r="P710" s="50"/>
      <c r="Q710" s="50"/>
      <c r="R710" s="50"/>
      <c r="S710" s="50"/>
      <c r="T710" s="50"/>
      <c r="U710" s="50"/>
      <c r="V710" s="50"/>
      <c r="W710" s="50"/>
      <c r="X710" s="50"/>
      <c r="Y710" s="50"/>
      <c r="Z710" s="50"/>
      <c r="AA710" s="50"/>
      <c r="AB710" s="50"/>
    </row>
    <row r="711" customFormat="false" ht="15.75" hidden="false" customHeight="false" outlineLevel="0" collapsed="false">
      <c r="A711" s="50"/>
      <c r="B711" s="50"/>
      <c r="C711" s="5"/>
      <c r="D711" s="48"/>
      <c r="E711" s="50"/>
      <c r="F711" s="5"/>
      <c r="G711" s="5"/>
      <c r="H711" s="5"/>
      <c r="I711" s="5"/>
      <c r="J711" s="5"/>
      <c r="K711" s="50"/>
      <c r="L711" s="50"/>
      <c r="M711" s="50"/>
      <c r="N711" s="50"/>
      <c r="O711" s="50"/>
      <c r="P711" s="50"/>
      <c r="Q711" s="50"/>
      <c r="R711" s="50"/>
      <c r="S711" s="50"/>
      <c r="T711" s="50"/>
      <c r="U711" s="50"/>
      <c r="V711" s="50"/>
      <c r="W711" s="50"/>
      <c r="X711" s="50"/>
      <c r="Y711" s="50"/>
      <c r="Z711" s="50"/>
      <c r="AA711" s="50"/>
      <c r="AB711" s="50"/>
    </row>
    <row r="712" customFormat="false" ht="15.75" hidden="false" customHeight="false" outlineLevel="0" collapsed="false">
      <c r="A712" s="50"/>
      <c r="B712" s="50"/>
      <c r="C712" s="5"/>
      <c r="D712" s="48"/>
      <c r="E712" s="50"/>
      <c r="F712" s="5"/>
      <c r="G712" s="5"/>
      <c r="H712" s="5"/>
      <c r="I712" s="5"/>
      <c r="J712" s="5"/>
      <c r="K712" s="50"/>
      <c r="L712" s="50"/>
      <c r="M712" s="50"/>
      <c r="N712" s="50"/>
      <c r="O712" s="50"/>
      <c r="P712" s="50"/>
      <c r="Q712" s="50"/>
      <c r="R712" s="50"/>
      <c r="S712" s="50"/>
      <c r="T712" s="50"/>
      <c r="U712" s="50"/>
      <c r="V712" s="50"/>
      <c r="W712" s="50"/>
      <c r="X712" s="50"/>
      <c r="Y712" s="50"/>
      <c r="Z712" s="50"/>
      <c r="AA712" s="50"/>
      <c r="AB712" s="50"/>
    </row>
    <row r="713" customFormat="false" ht="15.75" hidden="false" customHeight="false" outlineLevel="0" collapsed="false">
      <c r="A713" s="50"/>
      <c r="B713" s="50"/>
      <c r="C713" s="5"/>
      <c r="D713" s="48"/>
      <c r="E713" s="50"/>
      <c r="F713" s="5"/>
      <c r="G713" s="5"/>
      <c r="H713" s="5"/>
      <c r="I713" s="5"/>
      <c r="J713" s="5"/>
      <c r="K713" s="50"/>
      <c r="L713" s="50"/>
      <c r="M713" s="50"/>
      <c r="N713" s="50"/>
      <c r="O713" s="50"/>
      <c r="P713" s="50"/>
      <c r="Q713" s="50"/>
      <c r="R713" s="50"/>
      <c r="S713" s="50"/>
      <c r="T713" s="50"/>
      <c r="U713" s="50"/>
      <c r="V713" s="50"/>
      <c r="W713" s="50"/>
      <c r="X713" s="50"/>
      <c r="Y713" s="50"/>
      <c r="Z713" s="50"/>
      <c r="AA713" s="50"/>
      <c r="AB713" s="50"/>
    </row>
    <row r="714" customFormat="false" ht="15.75" hidden="false" customHeight="false" outlineLevel="0" collapsed="false">
      <c r="A714" s="50"/>
      <c r="B714" s="50"/>
      <c r="C714" s="5"/>
      <c r="D714" s="48"/>
      <c r="E714" s="50"/>
      <c r="F714" s="5"/>
      <c r="G714" s="5"/>
      <c r="H714" s="5"/>
      <c r="I714" s="5"/>
      <c r="J714" s="5"/>
      <c r="K714" s="50"/>
      <c r="L714" s="50"/>
      <c r="M714" s="50"/>
      <c r="N714" s="50"/>
      <c r="O714" s="50"/>
      <c r="P714" s="50"/>
      <c r="Q714" s="50"/>
      <c r="R714" s="50"/>
      <c r="S714" s="50"/>
      <c r="T714" s="50"/>
      <c r="U714" s="50"/>
      <c r="V714" s="50"/>
      <c r="W714" s="50"/>
      <c r="X714" s="50"/>
      <c r="Y714" s="50"/>
      <c r="Z714" s="50"/>
      <c r="AA714" s="50"/>
      <c r="AB714" s="50"/>
    </row>
    <row r="715" customFormat="false" ht="15.75" hidden="false" customHeight="false" outlineLevel="0" collapsed="false">
      <c r="A715" s="50"/>
      <c r="B715" s="50"/>
      <c r="C715" s="5"/>
      <c r="D715" s="48"/>
      <c r="E715" s="50"/>
      <c r="F715" s="5"/>
      <c r="G715" s="5"/>
      <c r="H715" s="5"/>
      <c r="I715" s="5"/>
      <c r="J715" s="5"/>
      <c r="K715" s="50"/>
      <c r="L715" s="50"/>
      <c r="M715" s="50"/>
      <c r="N715" s="50"/>
      <c r="O715" s="50"/>
      <c r="P715" s="50"/>
      <c r="Q715" s="50"/>
      <c r="R715" s="50"/>
      <c r="S715" s="50"/>
      <c r="T715" s="50"/>
      <c r="U715" s="50"/>
      <c r="V715" s="50"/>
      <c r="W715" s="50"/>
      <c r="X715" s="50"/>
      <c r="Y715" s="50"/>
      <c r="Z715" s="50"/>
      <c r="AA715" s="50"/>
      <c r="AB715" s="50"/>
    </row>
    <row r="716" customFormat="false" ht="15.75" hidden="false" customHeight="false" outlineLevel="0" collapsed="false">
      <c r="A716" s="50"/>
      <c r="B716" s="50"/>
      <c r="C716" s="5"/>
      <c r="D716" s="48"/>
      <c r="E716" s="50"/>
      <c r="F716" s="5"/>
      <c r="G716" s="5"/>
      <c r="H716" s="5"/>
      <c r="I716" s="5"/>
      <c r="J716" s="5"/>
      <c r="K716" s="50"/>
      <c r="L716" s="50"/>
      <c r="M716" s="50"/>
      <c r="N716" s="50"/>
      <c r="O716" s="50"/>
      <c r="P716" s="50"/>
      <c r="Q716" s="50"/>
      <c r="R716" s="50"/>
      <c r="S716" s="50"/>
      <c r="T716" s="50"/>
      <c r="U716" s="50"/>
      <c r="V716" s="50"/>
      <c r="W716" s="50"/>
      <c r="X716" s="50"/>
      <c r="Y716" s="50"/>
      <c r="Z716" s="50"/>
      <c r="AA716" s="50"/>
      <c r="AB716" s="50"/>
    </row>
    <row r="717" customFormat="false" ht="15.75" hidden="false" customHeight="false" outlineLevel="0" collapsed="false">
      <c r="A717" s="50"/>
      <c r="B717" s="50"/>
      <c r="C717" s="5"/>
      <c r="D717" s="48"/>
      <c r="E717" s="50"/>
      <c r="F717" s="5"/>
      <c r="G717" s="5"/>
      <c r="H717" s="5"/>
      <c r="I717" s="5"/>
      <c r="J717" s="5"/>
      <c r="K717" s="50"/>
      <c r="L717" s="50"/>
      <c r="M717" s="50"/>
      <c r="N717" s="50"/>
      <c r="O717" s="50"/>
      <c r="P717" s="50"/>
      <c r="Q717" s="50"/>
      <c r="R717" s="50"/>
      <c r="S717" s="50"/>
      <c r="T717" s="50"/>
      <c r="U717" s="50"/>
      <c r="V717" s="50"/>
      <c r="W717" s="50"/>
      <c r="X717" s="50"/>
      <c r="Y717" s="50"/>
      <c r="Z717" s="50"/>
      <c r="AA717" s="50"/>
      <c r="AB717" s="50"/>
    </row>
    <row r="718" customFormat="false" ht="15.75" hidden="false" customHeight="false" outlineLevel="0" collapsed="false">
      <c r="A718" s="50"/>
      <c r="B718" s="50"/>
      <c r="C718" s="5"/>
      <c r="D718" s="48"/>
      <c r="E718" s="50"/>
      <c r="F718" s="5"/>
      <c r="G718" s="5"/>
      <c r="H718" s="5"/>
      <c r="I718" s="5"/>
      <c r="J718" s="5"/>
      <c r="K718" s="50"/>
      <c r="L718" s="50"/>
      <c r="M718" s="50"/>
      <c r="N718" s="50"/>
      <c r="O718" s="50"/>
      <c r="P718" s="50"/>
      <c r="Q718" s="50"/>
      <c r="R718" s="50"/>
      <c r="S718" s="50"/>
      <c r="T718" s="50"/>
      <c r="U718" s="50"/>
      <c r="V718" s="50"/>
      <c r="W718" s="50"/>
      <c r="X718" s="50"/>
      <c r="Y718" s="50"/>
      <c r="Z718" s="50"/>
      <c r="AA718" s="50"/>
      <c r="AB718" s="50"/>
    </row>
    <row r="719" customFormat="false" ht="15.75" hidden="false" customHeight="false" outlineLevel="0" collapsed="false">
      <c r="A719" s="50"/>
      <c r="B719" s="50"/>
      <c r="C719" s="5"/>
      <c r="D719" s="48"/>
      <c r="E719" s="50"/>
      <c r="F719" s="5"/>
      <c r="G719" s="5"/>
      <c r="H719" s="5"/>
      <c r="I719" s="5"/>
      <c r="J719" s="5"/>
      <c r="K719" s="50"/>
      <c r="L719" s="50"/>
      <c r="M719" s="50"/>
      <c r="N719" s="50"/>
      <c r="O719" s="50"/>
      <c r="P719" s="50"/>
      <c r="Q719" s="50"/>
      <c r="R719" s="50"/>
      <c r="S719" s="50"/>
      <c r="T719" s="50"/>
      <c r="U719" s="50"/>
      <c r="V719" s="50"/>
      <c r="W719" s="50"/>
      <c r="X719" s="50"/>
      <c r="Y719" s="50"/>
      <c r="Z719" s="50"/>
      <c r="AA719" s="50"/>
      <c r="AB719" s="50"/>
    </row>
    <row r="720" customFormat="false" ht="15.75" hidden="false" customHeight="false" outlineLevel="0" collapsed="false">
      <c r="A720" s="50"/>
      <c r="B720" s="50"/>
      <c r="C720" s="5"/>
      <c r="D720" s="48"/>
      <c r="E720" s="50"/>
      <c r="F720" s="5"/>
      <c r="G720" s="5"/>
      <c r="H720" s="5"/>
      <c r="I720" s="5"/>
      <c r="J720" s="5"/>
      <c r="K720" s="50"/>
      <c r="L720" s="50"/>
      <c r="M720" s="50"/>
      <c r="N720" s="50"/>
      <c r="O720" s="50"/>
      <c r="P720" s="50"/>
      <c r="Q720" s="50"/>
      <c r="R720" s="50"/>
      <c r="S720" s="50"/>
      <c r="T720" s="50"/>
      <c r="U720" s="50"/>
      <c r="V720" s="50"/>
      <c r="W720" s="50"/>
      <c r="X720" s="50"/>
      <c r="Y720" s="50"/>
      <c r="Z720" s="50"/>
      <c r="AA720" s="50"/>
      <c r="AB720" s="50"/>
    </row>
    <row r="721" customFormat="false" ht="15.75" hidden="false" customHeight="false" outlineLevel="0" collapsed="false">
      <c r="A721" s="50"/>
      <c r="B721" s="50"/>
      <c r="C721" s="5"/>
      <c r="D721" s="48"/>
      <c r="E721" s="50"/>
      <c r="F721" s="5"/>
      <c r="G721" s="5"/>
      <c r="H721" s="5"/>
      <c r="I721" s="5"/>
      <c r="J721" s="5"/>
      <c r="K721" s="50"/>
      <c r="L721" s="50"/>
      <c r="M721" s="50"/>
      <c r="N721" s="50"/>
      <c r="O721" s="50"/>
      <c r="P721" s="50"/>
      <c r="Q721" s="50"/>
      <c r="R721" s="50"/>
      <c r="S721" s="50"/>
      <c r="T721" s="50"/>
      <c r="U721" s="50"/>
      <c r="V721" s="50"/>
      <c r="W721" s="50"/>
      <c r="X721" s="50"/>
      <c r="Y721" s="50"/>
      <c r="Z721" s="50"/>
      <c r="AA721" s="50"/>
      <c r="AB721" s="50"/>
    </row>
    <row r="722" customFormat="false" ht="15.75" hidden="false" customHeight="false" outlineLevel="0" collapsed="false">
      <c r="A722" s="50"/>
      <c r="B722" s="50"/>
      <c r="C722" s="5"/>
      <c r="D722" s="48"/>
      <c r="E722" s="50"/>
      <c r="F722" s="5"/>
      <c r="G722" s="5"/>
      <c r="H722" s="5"/>
      <c r="I722" s="5"/>
      <c r="J722" s="5"/>
      <c r="K722" s="50"/>
      <c r="L722" s="50"/>
      <c r="M722" s="50"/>
      <c r="N722" s="50"/>
      <c r="O722" s="50"/>
      <c r="P722" s="50"/>
      <c r="Q722" s="50"/>
      <c r="R722" s="50"/>
      <c r="S722" s="50"/>
      <c r="T722" s="50"/>
      <c r="U722" s="50"/>
      <c r="V722" s="50"/>
      <c r="W722" s="50"/>
      <c r="X722" s="50"/>
      <c r="Y722" s="50"/>
      <c r="Z722" s="50"/>
      <c r="AA722" s="50"/>
      <c r="AB722" s="50"/>
    </row>
    <row r="723" customFormat="false" ht="15.75" hidden="false" customHeight="false" outlineLevel="0" collapsed="false">
      <c r="A723" s="50"/>
      <c r="B723" s="50"/>
      <c r="C723" s="5"/>
      <c r="D723" s="48"/>
      <c r="E723" s="50"/>
      <c r="F723" s="5"/>
      <c r="G723" s="5"/>
      <c r="H723" s="5"/>
      <c r="I723" s="5"/>
      <c r="J723" s="5"/>
      <c r="K723" s="50"/>
      <c r="L723" s="50"/>
      <c r="M723" s="50"/>
      <c r="N723" s="50"/>
      <c r="O723" s="50"/>
      <c r="P723" s="50"/>
      <c r="Q723" s="50"/>
      <c r="R723" s="50"/>
      <c r="S723" s="50"/>
      <c r="T723" s="50"/>
      <c r="U723" s="50"/>
      <c r="V723" s="50"/>
      <c r="W723" s="50"/>
      <c r="X723" s="50"/>
      <c r="Y723" s="50"/>
      <c r="Z723" s="50"/>
      <c r="AA723" s="50"/>
      <c r="AB723" s="50"/>
    </row>
    <row r="724" customFormat="false" ht="15.75" hidden="false" customHeight="false" outlineLevel="0" collapsed="false">
      <c r="A724" s="50"/>
      <c r="B724" s="50"/>
      <c r="C724" s="5"/>
      <c r="D724" s="48"/>
      <c r="E724" s="50"/>
      <c r="F724" s="5"/>
      <c r="G724" s="5"/>
      <c r="H724" s="5"/>
      <c r="I724" s="5"/>
      <c r="J724" s="5"/>
      <c r="K724" s="50"/>
      <c r="L724" s="50"/>
      <c r="M724" s="50"/>
      <c r="N724" s="50"/>
      <c r="O724" s="50"/>
      <c r="P724" s="50"/>
      <c r="Q724" s="50"/>
      <c r="R724" s="50"/>
      <c r="S724" s="50"/>
      <c r="T724" s="50"/>
      <c r="U724" s="50"/>
      <c r="V724" s="50"/>
      <c r="W724" s="50"/>
      <c r="X724" s="50"/>
      <c r="Y724" s="50"/>
      <c r="Z724" s="50"/>
      <c r="AA724" s="50"/>
      <c r="AB724" s="50"/>
    </row>
    <row r="725" customFormat="false" ht="15.75" hidden="false" customHeight="false" outlineLevel="0" collapsed="false">
      <c r="A725" s="50"/>
      <c r="B725" s="50"/>
      <c r="C725" s="5"/>
      <c r="D725" s="48"/>
      <c r="E725" s="50"/>
      <c r="F725" s="5"/>
      <c r="G725" s="5"/>
      <c r="H725" s="5"/>
      <c r="I725" s="5"/>
      <c r="J725" s="5"/>
      <c r="K725" s="50"/>
      <c r="L725" s="50"/>
      <c r="M725" s="50"/>
      <c r="N725" s="50"/>
      <c r="O725" s="50"/>
      <c r="P725" s="50"/>
      <c r="Q725" s="50"/>
      <c r="R725" s="50"/>
      <c r="S725" s="50"/>
      <c r="T725" s="50"/>
      <c r="U725" s="50"/>
      <c r="V725" s="50"/>
      <c r="W725" s="50"/>
      <c r="X725" s="50"/>
      <c r="Y725" s="50"/>
      <c r="Z725" s="50"/>
      <c r="AA725" s="50"/>
      <c r="AB725" s="50"/>
    </row>
    <row r="726" customFormat="false" ht="15.75" hidden="false" customHeight="false" outlineLevel="0" collapsed="false">
      <c r="A726" s="50"/>
      <c r="B726" s="50"/>
      <c r="C726" s="5"/>
      <c r="D726" s="48"/>
      <c r="E726" s="50"/>
      <c r="F726" s="5"/>
      <c r="G726" s="5"/>
      <c r="H726" s="5"/>
      <c r="I726" s="5"/>
      <c r="J726" s="5"/>
      <c r="K726" s="50"/>
      <c r="L726" s="50"/>
      <c r="M726" s="50"/>
      <c r="N726" s="50"/>
      <c r="O726" s="50"/>
      <c r="P726" s="50"/>
      <c r="Q726" s="50"/>
      <c r="R726" s="50"/>
      <c r="S726" s="50"/>
      <c r="T726" s="50"/>
      <c r="U726" s="50"/>
      <c r="V726" s="50"/>
      <c r="W726" s="50"/>
      <c r="X726" s="50"/>
      <c r="Y726" s="50"/>
      <c r="Z726" s="50"/>
      <c r="AA726" s="50"/>
      <c r="AB726" s="50"/>
    </row>
    <row r="727" customFormat="false" ht="15.75" hidden="false" customHeight="false" outlineLevel="0" collapsed="false">
      <c r="A727" s="50"/>
      <c r="B727" s="50"/>
      <c r="C727" s="5"/>
      <c r="D727" s="48"/>
      <c r="E727" s="50"/>
      <c r="F727" s="5"/>
      <c r="G727" s="5"/>
      <c r="H727" s="5"/>
      <c r="I727" s="5"/>
      <c r="J727" s="5"/>
      <c r="K727" s="50"/>
      <c r="L727" s="50"/>
      <c r="M727" s="50"/>
      <c r="N727" s="50"/>
      <c r="O727" s="50"/>
      <c r="P727" s="50"/>
      <c r="Q727" s="50"/>
      <c r="R727" s="50"/>
      <c r="S727" s="50"/>
      <c r="T727" s="50"/>
      <c r="U727" s="50"/>
      <c r="V727" s="50"/>
      <c r="W727" s="50"/>
      <c r="X727" s="50"/>
      <c r="Y727" s="50"/>
      <c r="Z727" s="50"/>
      <c r="AA727" s="50"/>
      <c r="AB727" s="50"/>
    </row>
    <row r="728" customFormat="false" ht="15.75" hidden="false" customHeight="false" outlineLevel="0" collapsed="false">
      <c r="A728" s="50"/>
      <c r="B728" s="50"/>
      <c r="C728" s="5"/>
      <c r="D728" s="48"/>
      <c r="E728" s="50"/>
      <c r="F728" s="5"/>
      <c r="G728" s="5"/>
      <c r="H728" s="5"/>
      <c r="I728" s="5"/>
      <c r="J728" s="5"/>
      <c r="K728" s="50"/>
      <c r="L728" s="50"/>
      <c r="M728" s="50"/>
      <c r="N728" s="50"/>
      <c r="O728" s="50"/>
      <c r="P728" s="50"/>
      <c r="Q728" s="50"/>
      <c r="R728" s="50"/>
      <c r="S728" s="50"/>
      <c r="T728" s="50"/>
      <c r="U728" s="50"/>
      <c r="V728" s="50"/>
      <c r="W728" s="50"/>
      <c r="X728" s="50"/>
      <c r="Y728" s="50"/>
      <c r="Z728" s="50"/>
      <c r="AA728" s="50"/>
      <c r="AB728" s="50"/>
    </row>
    <row r="729" customFormat="false" ht="15.75" hidden="false" customHeight="false" outlineLevel="0" collapsed="false">
      <c r="A729" s="50"/>
      <c r="B729" s="50"/>
      <c r="C729" s="5"/>
      <c r="D729" s="48"/>
      <c r="E729" s="50"/>
      <c r="F729" s="5"/>
      <c r="G729" s="5"/>
      <c r="H729" s="5"/>
      <c r="I729" s="5"/>
      <c r="J729" s="5"/>
      <c r="K729" s="50"/>
      <c r="L729" s="50"/>
      <c r="M729" s="50"/>
      <c r="N729" s="50"/>
      <c r="O729" s="50"/>
      <c r="P729" s="50"/>
      <c r="Q729" s="50"/>
      <c r="R729" s="50"/>
      <c r="S729" s="50"/>
      <c r="T729" s="50"/>
      <c r="U729" s="50"/>
      <c r="V729" s="50"/>
      <c r="W729" s="50"/>
      <c r="X729" s="50"/>
      <c r="Y729" s="50"/>
      <c r="Z729" s="50"/>
      <c r="AA729" s="50"/>
      <c r="AB729" s="50"/>
    </row>
    <row r="730" customFormat="false" ht="15.75" hidden="false" customHeight="false" outlineLevel="0" collapsed="false">
      <c r="A730" s="50"/>
      <c r="B730" s="50"/>
      <c r="C730" s="5"/>
      <c r="D730" s="48"/>
      <c r="E730" s="50"/>
      <c r="F730" s="5"/>
      <c r="G730" s="5"/>
      <c r="H730" s="5"/>
      <c r="I730" s="5"/>
      <c r="J730" s="5"/>
      <c r="K730" s="50"/>
      <c r="L730" s="50"/>
      <c r="M730" s="50"/>
      <c r="N730" s="50"/>
      <c r="O730" s="50"/>
      <c r="P730" s="50"/>
      <c r="Q730" s="50"/>
      <c r="R730" s="50"/>
      <c r="S730" s="50"/>
      <c r="T730" s="50"/>
      <c r="U730" s="50"/>
      <c r="V730" s="50"/>
      <c r="W730" s="50"/>
      <c r="X730" s="50"/>
      <c r="Y730" s="50"/>
      <c r="Z730" s="50"/>
      <c r="AA730" s="50"/>
      <c r="AB730" s="50"/>
    </row>
    <row r="731" customFormat="false" ht="15.75" hidden="false" customHeight="false" outlineLevel="0" collapsed="false">
      <c r="A731" s="50"/>
      <c r="B731" s="50"/>
      <c r="C731" s="5"/>
      <c r="D731" s="48"/>
      <c r="E731" s="50"/>
      <c r="F731" s="5"/>
      <c r="G731" s="5"/>
      <c r="H731" s="5"/>
      <c r="I731" s="5"/>
      <c r="J731" s="5"/>
      <c r="K731" s="50"/>
      <c r="L731" s="50"/>
      <c r="M731" s="50"/>
      <c r="N731" s="50"/>
      <c r="O731" s="50"/>
      <c r="P731" s="50"/>
      <c r="Q731" s="50"/>
      <c r="R731" s="50"/>
      <c r="S731" s="50"/>
      <c r="T731" s="50"/>
      <c r="U731" s="50"/>
      <c r="V731" s="50"/>
      <c r="W731" s="50"/>
      <c r="X731" s="50"/>
      <c r="Y731" s="50"/>
      <c r="Z731" s="50"/>
      <c r="AA731" s="50"/>
      <c r="AB731" s="50"/>
    </row>
    <row r="732" customFormat="false" ht="15.75" hidden="false" customHeight="false" outlineLevel="0" collapsed="false">
      <c r="A732" s="50"/>
      <c r="B732" s="50"/>
      <c r="C732" s="5"/>
      <c r="D732" s="48"/>
      <c r="E732" s="50"/>
      <c r="F732" s="5"/>
      <c r="G732" s="5"/>
      <c r="H732" s="5"/>
      <c r="I732" s="5"/>
      <c r="J732" s="5"/>
      <c r="K732" s="50"/>
      <c r="L732" s="50"/>
      <c r="M732" s="50"/>
      <c r="N732" s="50"/>
      <c r="O732" s="50"/>
      <c r="P732" s="50"/>
      <c r="Q732" s="50"/>
      <c r="R732" s="50"/>
      <c r="S732" s="50"/>
      <c r="T732" s="50"/>
      <c r="U732" s="50"/>
      <c r="V732" s="50"/>
      <c r="W732" s="50"/>
      <c r="X732" s="50"/>
      <c r="Y732" s="50"/>
      <c r="Z732" s="50"/>
      <c r="AA732" s="50"/>
      <c r="AB732" s="50"/>
    </row>
    <row r="733" customFormat="false" ht="15.75" hidden="false" customHeight="false" outlineLevel="0" collapsed="false">
      <c r="A733" s="50"/>
      <c r="B733" s="50"/>
      <c r="C733" s="5"/>
      <c r="D733" s="48"/>
      <c r="E733" s="50"/>
      <c r="F733" s="5"/>
      <c r="G733" s="5"/>
      <c r="H733" s="5"/>
      <c r="I733" s="5"/>
      <c r="J733" s="5"/>
      <c r="K733" s="50"/>
      <c r="L733" s="50"/>
      <c r="M733" s="50"/>
      <c r="N733" s="50"/>
      <c r="O733" s="50"/>
      <c r="P733" s="50"/>
      <c r="Q733" s="50"/>
      <c r="R733" s="50"/>
      <c r="S733" s="50"/>
      <c r="T733" s="50"/>
      <c r="U733" s="50"/>
      <c r="V733" s="50"/>
      <c r="W733" s="50"/>
      <c r="X733" s="50"/>
      <c r="Y733" s="50"/>
      <c r="Z733" s="50"/>
      <c r="AA733" s="50"/>
      <c r="AB733" s="50"/>
    </row>
    <row r="734" customFormat="false" ht="15.75" hidden="false" customHeight="false" outlineLevel="0" collapsed="false">
      <c r="A734" s="50"/>
      <c r="B734" s="50"/>
      <c r="C734" s="5"/>
      <c r="D734" s="48"/>
      <c r="E734" s="50"/>
      <c r="F734" s="5"/>
      <c r="G734" s="5"/>
      <c r="H734" s="5"/>
      <c r="I734" s="5"/>
      <c r="J734" s="5"/>
      <c r="K734" s="50"/>
      <c r="L734" s="50"/>
      <c r="M734" s="50"/>
      <c r="N734" s="50"/>
      <c r="O734" s="50"/>
      <c r="P734" s="50"/>
      <c r="Q734" s="50"/>
      <c r="R734" s="50"/>
      <c r="S734" s="50"/>
      <c r="T734" s="50"/>
      <c r="U734" s="50"/>
      <c r="V734" s="50"/>
      <c r="W734" s="50"/>
      <c r="X734" s="50"/>
      <c r="Y734" s="50"/>
      <c r="Z734" s="50"/>
      <c r="AA734" s="50"/>
      <c r="AB734" s="50"/>
    </row>
    <row r="735" customFormat="false" ht="15.75" hidden="false" customHeight="false" outlineLevel="0" collapsed="false">
      <c r="A735" s="50"/>
      <c r="B735" s="50"/>
      <c r="C735" s="5"/>
      <c r="D735" s="48"/>
      <c r="E735" s="50"/>
      <c r="F735" s="5"/>
      <c r="G735" s="5"/>
      <c r="H735" s="5"/>
      <c r="I735" s="5"/>
      <c r="J735" s="5"/>
      <c r="K735" s="50"/>
      <c r="L735" s="50"/>
      <c r="M735" s="50"/>
      <c r="N735" s="50"/>
      <c r="O735" s="50"/>
      <c r="P735" s="50"/>
      <c r="Q735" s="50"/>
      <c r="R735" s="50"/>
      <c r="S735" s="50"/>
      <c r="T735" s="50"/>
      <c r="U735" s="50"/>
      <c r="V735" s="50"/>
      <c r="W735" s="50"/>
      <c r="X735" s="50"/>
      <c r="Y735" s="50"/>
      <c r="Z735" s="50"/>
      <c r="AA735" s="50"/>
      <c r="AB735" s="50"/>
    </row>
    <row r="736" customFormat="false" ht="15.75" hidden="false" customHeight="false" outlineLevel="0" collapsed="false">
      <c r="A736" s="50"/>
      <c r="B736" s="50"/>
      <c r="C736" s="5"/>
      <c r="D736" s="48"/>
      <c r="E736" s="50"/>
      <c r="F736" s="5"/>
      <c r="G736" s="5"/>
      <c r="H736" s="5"/>
      <c r="I736" s="5"/>
      <c r="J736" s="5"/>
      <c r="K736" s="50"/>
      <c r="L736" s="50"/>
      <c r="M736" s="50"/>
      <c r="N736" s="50"/>
      <c r="O736" s="50"/>
      <c r="P736" s="50"/>
      <c r="Q736" s="50"/>
      <c r="R736" s="50"/>
      <c r="S736" s="50"/>
      <c r="T736" s="50"/>
      <c r="U736" s="50"/>
      <c r="V736" s="50"/>
      <c r="W736" s="50"/>
      <c r="X736" s="50"/>
      <c r="Y736" s="50"/>
      <c r="Z736" s="50"/>
      <c r="AA736" s="50"/>
      <c r="AB736" s="50"/>
    </row>
    <row r="737" customFormat="false" ht="15.75" hidden="false" customHeight="false" outlineLevel="0" collapsed="false">
      <c r="A737" s="50"/>
      <c r="B737" s="50"/>
      <c r="C737" s="5"/>
      <c r="D737" s="48"/>
      <c r="E737" s="50"/>
      <c r="F737" s="5"/>
      <c r="G737" s="5"/>
      <c r="H737" s="5"/>
      <c r="I737" s="5"/>
      <c r="J737" s="5"/>
      <c r="K737" s="50"/>
      <c r="L737" s="50"/>
      <c r="M737" s="50"/>
      <c r="N737" s="50"/>
      <c r="O737" s="50"/>
      <c r="P737" s="50"/>
      <c r="Q737" s="50"/>
      <c r="R737" s="50"/>
      <c r="S737" s="50"/>
      <c r="T737" s="50"/>
      <c r="U737" s="50"/>
      <c r="V737" s="50"/>
      <c r="W737" s="50"/>
      <c r="X737" s="50"/>
      <c r="Y737" s="50"/>
      <c r="Z737" s="50"/>
      <c r="AA737" s="50"/>
      <c r="AB737" s="50"/>
    </row>
    <row r="738" customFormat="false" ht="15.75" hidden="false" customHeight="false" outlineLevel="0" collapsed="false">
      <c r="A738" s="50"/>
      <c r="B738" s="50"/>
      <c r="C738" s="5"/>
      <c r="D738" s="48"/>
      <c r="E738" s="50"/>
      <c r="F738" s="5"/>
      <c r="G738" s="5"/>
      <c r="H738" s="5"/>
      <c r="I738" s="5"/>
      <c r="J738" s="5"/>
      <c r="K738" s="50"/>
      <c r="L738" s="50"/>
      <c r="M738" s="50"/>
      <c r="N738" s="50"/>
      <c r="O738" s="50"/>
      <c r="P738" s="50"/>
      <c r="Q738" s="50"/>
      <c r="R738" s="50"/>
      <c r="S738" s="50"/>
      <c r="T738" s="50"/>
      <c r="U738" s="50"/>
      <c r="V738" s="50"/>
      <c r="W738" s="50"/>
      <c r="X738" s="50"/>
      <c r="Y738" s="50"/>
      <c r="Z738" s="50"/>
      <c r="AA738" s="50"/>
      <c r="AB738" s="50"/>
    </row>
    <row r="739" customFormat="false" ht="15.75" hidden="false" customHeight="false" outlineLevel="0" collapsed="false">
      <c r="A739" s="50"/>
      <c r="B739" s="50"/>
      <c r="C739" s="5"/>
      <c r="D739" s="48"/>
      <c r="E739" s="50"/>
      <c r="F739" s="5"/>
      <c r="G739" s="5"/>
      <c r="H739" s="5"/>
      <c r="I739" s="5"/>
      <c r="J739" s="5"/>
      <c r="K739" s="50"/>
      <c r="L739" s="50"/>
      <c r="M739" s="50"/>
      <c r="N739" s="50"/>
      <c r="O739" s="50"/>
      <c r="P739" s="50"/>
      <c r="Q739" s="50"/>
      <c r="R739" s="50"/>
      <c r="S739" s="50"/>
      <c r="T739" s="50"/>
      <c r="U739" s="50"/>
      <c r="V739" s="50"/>
      <c r="W739" s="50"/>
      <c r="X739" s="50"/>
      <c r="Y739" s="50"/>
      <c r="Z739" s="50"/>
      <c r="AA739" s="50"/>
      <c r="AB739" s="50"/>
    </row>
    <row r="740" customFormat="false" ht="15.75" hidden="false" customHeight="false" outlineLevel="0" collapsed="false">
      <c r="A740" s="50"/>
      <c r="B740" s="50"/>
      <c r="C740" s="5"/>
      <c r="D740" s="48"/>
      <c r="E740" s="50"/>
      <c r="F740" s="5"/>
      <c r="G740" s="5"/>
      <c r="H740" s="5"/>
      <c r="I740" s="5"/>
      <c r="J740" s="5"/>
      <c r="K740" s="50"/>
      <c r="L740" s="50"/>
      <c r="M740" s="50"/>
      <c r="N740" s="50"/>
      <c r="O740" s="50"/>
      <c r="P740" s="50"/>
      <c r="Q740" s="50"/>
      <c r="R740" s="50"/>
      <c r="S740" s="50"/>
      <c r="T740" s="50"/>
      <c r="U740" s="50"/>
      <c r="V740" s="50"/>
      <c r="W740" s="50"/>
      <c r="X740" s="50"/>
      <c r="Y740" s="50"/>
      <c r="Z740" s="50"/>
      <c r="AA740" s="50"/>
      <c r="AB740" s="50"/>
    </row>
    <row r="741" customFormat="false" ht="15.75" hidden="false" customHeight="false" outlineLevel="0" collapsed="false">
      <c r="A741" s="50"/>
      <c r="B741" s="50"/>
      <c r="C741" s="5"/>
      <c r="D741" s="48"/>
      <c r="E741" s="50"/>
      <c r="F741" s="5"/>
      <c r="G741" s="5"/>
      <c r="H741" s="5"/>
      <c r="I741" s="5"/>
      <c r="J741" s="5"/>
      <c r="K741" s="50"/>
      <c r="L741" s="50"/>
      <c r="M741" s="50"/>
      <c r="N741" s="50"/>
      <c r="O741" s="50"/>
      <c r="P741" s="50"/>
      <c r="Q741" s="50"/>
      <c r="R741" s="50"/>
      <c r="S741" s="50"/>
      <c r="T741" s="50"/>
      <c r="U741" s="50"/>
      <c r="V741" s="50"/>
      <c r="W741" s="50"/>
      <c r="X741" s="50"/>
      <c r="Y741" s="50"/>
      <c r="Z741" s="50"/>
      <c r="AA741" s="50"/>
      <c r="AB741" s="50"/>
    </row>
    <row r="742" customFormat="false" ht="15.75" hidden="false" customHeight="false" outlineLevel="0" collapsed="false">
      <c r="A742" s="50"/>
      <c r="B742" s="50"/>
      <c r="C742" s="5"/>
      <c r="D742" s="48"/>
      <c r="E742" s="50"/>
      <c r="F742" s="5"/>
      <c r="G742" s="5"/>
      <c r="H742" s="5"/>
      <c r="I742" s="5"/>
      <c r="J742" s="5"/>
      <c r="K742" s="50"/>
      <c r="L742" s="50"/>
      <c r="M742" s="50"/>
      <c r="N742" s="50"/>
      <c r="O742" s="50"/>
      <c r="P742" s="50"/>
      <c r="Q742" s="50"/>
      <c r="R742" s="50"/>
      <c r="S742" s="50"/>
      <c r="T742" s="50"/>
      <c r="U742" s="50"/>
      <c r="V742" s="50"/>
      <c r="W742" s="50"/>
      <c r="X742" s="50"/>
      <c r="Y742" s="50"/>
      <c r="Z742" s="50"/>
      <c r="AA742" s="50"/>
      <c r="AB742" s="50"/>
    </row>
    <row r="743" customFormat="false" ht="15.75" hidden="false" customHeight="false" outlineLevel="0" collapsed="false">
      <c r="A743" s="50"/>
      <c r="B743" s="50"/>
      <c r="C743" s="5"/>
      <c r="D743" s="48"/>
      <c r="E743" s="50"/>
      <c r="F743" s="5"/>
      <c r="G743" s="5"/>
      <c r="H743" s="5"/>
      <c r="I743" s="5"/>
      <c r="J743" s="5"/>
      <c r="K743" s="50"/>
      <c r="L743" s="50"/>
      <c r="M743" s="50"/>
      <c r="N743" s="50"/>
      <c r="O743" s="50"/>
      <c r="P743" s="50"/>
      <c r="Q743" s="50"/>
      <c r="R743" s="50"/>
      <c r="S743" s="50"/>
      <c r="T743" s="50"/>
      <c r="U743" s="50"/>
      <c r="V743" s="50"/>
      <c r="W743" s="50"/>
      <c r="X743" s="50"/>
      <c r="Y743" s="50"/>
      <c r="Z743" s="50"/>
      <c r="AA743" s="50"/>
      <c r="AB743" s="50"/>
    </row>
    <row r="744" customFormat="false" ht="15.75" hidden="false" customHeight="false" outlineLevel="0" collapsed="false">
      <c r="A744" s="50"/>
      <c r="B744" s="50"/>
      <c r="C744" s="5"/>
      <c r="D744" s="48"/>
      <c r="E744" s="50"/>
      <c r="F744" s="5"/>
      <c r="G744" s="5"/>
      <c r="H744" s="5"/>
      <c r="I744" s="5"/>
      <c r="J744" s="5"/>
      <c r="K744" s="50"/>
      <c r="L744" s="50"/>
      <c r="M744" s="50"/>
      <c r="N744" s="50"/>
      <c r="O744" s="50"/>
      <c r="P744" s="50"/>
      <c r="Q744" s="50"/>
      <c r="R744" s="50"/>
      <c r="S744" s="50"/>
      <c r="T744" s="50"/>
      <c r="U744" s="50"/>
      <c r="V744" s="50"/>
      <c r="W744" s="50"/>
      <c r="X744" s="50"/>
      <c r="Y744" s="50"/>
      <c r="Z744" s="50"/>
      <c r="AA744" s="50"/>
      <c r="AB744" s="50"/>
    </row>
    <row r="745" customFormat="false" ht="15.75" hidden="false" customHeight="false" outlineLevel="0" collapsed="false">
      <c r="A745" s="50"/>
      <c r="B745" s="50"/>
      <c r="C745" s="5"/>
      <c r="D745" s="48"/>
      <c r="E745" s="50"/>
      <c r="F745" s="5"/>
      <c r="G745" s="5"/>
      <c r="H745" s="5"/>
      <c r="I745" s="5"/>
      <c r="J745" s="5"/>
      <c r="K745" s="50"/>
      <c r="L745" s="50"/>
      <c r="M745" s="50"/>
      <c r="N745" s="50"/>
      <c r="O745" s="50"/>
      <c r="P745" s="50"/>
      <c r="Q745" s="50"/>
      <c r="R745" s="50"/>
      <c r="S745" s="50"/>
      <c r="T745" s="50"/>
      <c r="U745" s="50"/>
      <c r="V745" s="50"/>
      <c r="W745" s="50"/>
      <c r="X745" s="50"/>
      <c r="Y745" s="50"/>
      <c r="Z745" s="50"/>
      <c r="AA745" s="50"/>
      <c r="AB745" s="50"/>
    </row>
    <row r="746" customFormat="false" ht="15.75" hidden="false" customHeight="false" outlineLevel="0" collapsed="false">
      <c r="A746" s="50"/>
      <c r="B746" s="50"/>
      <c r="C746" s="5"/>
      <c r="D746" s="48"/>
      <c r="E746" s="50"/>
      <c r="F746" s="5"/>
      <c r="G746" s="5"/>
      <c r="H746" s="5"/>
      <c r="I746" s="5"/>
      <c r="J746" s="5"/>
      <c r="K746" s="50"/>
      <c r="L746" s="50"/>
      <c r="M746" s="50"/>
      <c r="N746" s="50"/>
      <c r="O746" s="50"/>
      <c r="P746" s="50"/>
      <c r="Q746" s="50"/>
      <c r="R746" s="50"/>
      <c r="S746" s="50"/>
      <c r="T746" s="50"/>
      <c r="U746" s="50"/>
      <c r="V746" s="50"/>
      <c r="W746" s="50"/>
      <c r="X746" s="50"/>
      <c r="Y746" s="50"/>
      <c r="Z746" s="50"/>
      <c r="AA746" s="50"/>
      <c r="AB746" s="50"/>
    </row>
    <row r="747" customFormat="false" ht="15.75" hidden="false" customHeight="false" outlineLevel="0" collapsed="false">
      <c r="A747" s="50"/>
      <c r="B747" s="50"/>
      <c r="C747" s="5"/>
      <c r="D747" s="48"/>
      <c r="E747" s="50"/>
      <c r="F747" s="5"/>
      <c r="G747" s="5"/>
      <c r="H747" s="5"/>
      <c r="I747" s="5"/>
      <c r="J747" s="5"/>
      <c r="K747" s="50"/>
      <c r="L747" s="50"/>
      <c r="M747" s="50"/>
      <c r="N747" s="50"/>
      <c r="O747" s="50"/>
      <c r="P747" s="50"/>
      <c r="Q747" s="50"/>
      <c r="R747" s="50"/>
      <c r="S747" s="50"/>
      <c r="T747" s="50"/>
      <c r="U747" s="50"/>
      <c r="V747" s="50"/>
      <c r="W747" s="50"/>
      <c r="X747" s="50"/>
      <c r="Y747" s="50"/>
      <c r="Z747" s="50"/>
      <c r="AA747" s="50"/>
      <c r="AB747" s="50"/>
    </row>
    <row r="748" customFormat="false" ht="15.75" hidden="false" customHeight="false" outlineLevel="0" collapsed="false">
      <c r="A748" s="50"/>
      <c r="B748" s="50"/>
      <c r="C748" s="5"/>
      <c r="D748" s="48"/>
      <c r="E748" s="50"/>
      <c r="F748" s="5"/>
      <c r="G748" s="5"/>
      <c r="H748" s="5"/>
      <c r="I748" s="5"/>
      <c r="J748" s="5"/>
      <c r="K748" s="50"/>
      <c r="L748" s="50"/>
      <c r="M748" s="50"/>
      <c r="N748" s="50"/>
      <c r="O748" s="50"/>
      <c r="P748" s="50"/>
      <c r="Q748" s="50"/>
      <c r="R748" s="50"/>
      <c r="S748" s="50"/>
      <c r="T748" s="50"/>
      <c r="U748" s="50"/>
      <c r="V748" s="50"/>
      <c r="W748" s="50"/>
      <c r="X748" s="50"/>
      <c r="Y748" s="50"/>
      <c r="Z748" s="50"/>
      <c r="AA748" s="50"/>
      <c r="AB748" s="50"/>
    </row>
    <row r="749" customFormat="false" ht="15.75" hidden="false" customHeight="false" outlineLevel="0" collapsed="false">
      <c r="A749" s="50"/>
      <c r="B749" s="50"/>
      <c r="C749" s="5"/>
      <c r="D749" s="48"/>
      <c r="E749" s="50"/>
      <c r="F749" s="5"/>
      <c r="G749" s="5"/>
      <c r="H749" s="5"/>
      <c r="I749" s="5"/>
      <c r="J749" s="5"/>
      <c r="K749" s="50"/>
      <c r="L749" s="50"/>
      <c r="M749" s="50"/>
      <c r="N749" s="50"/>
      <c r="O749" s="50"/>
      <c r="P749" s="50"/>
      <c r="Q749" s="50"/>
      <c r="R749" s="50"/>
      <c r="S749" s="50"/>
      <c r="T749" s="50"/>
      <c r="U749" s="50"/>
      <c r="V749" s="50"/>
      <c r="W749" s="50"/>
      <c r="X749" s="50"/>
      <c r="Y749" s="50"/>
      <c r="Z749" s="50"/>
      <c r="AA749" s="50"/>
      <c r="AB749" s="50"/>
    </row>
    <row r="750" customFormat="false" ht="15.75" hidden="false" customHeight="false" outlineLevel="0" collapsed="false">
      <c r="A750" s="50"/>
      <c r="B750" s="50"/>
      <c r="C750" s="5"/>
      <c r="D750" s="48"/>
      <c r="E750" s="50"/>
      <c r="F750" s="5"/>
      <c r="G750" s="5"/>
      <c r="H750" s="5"/>
      <c r="I750" s="5"/>
      <c r="J750" s="5"/>
      <c r="K750" s="50"/>
      <c r="L750" s="50"/>
      <c r="M750" s="50"/>
      <c r="N750" s="50"/>
      <c r="O750" s="50"/>
      <c r="P750" s="50"/>
      <c r="Q750" s="50"/>
      <c r="R750" s="50"/>
      <c r="S750" s="50"/>
      <c r="T750" s="50"/>
      <c r="U750" s="50"/>
      <c r="V750" s="50"/>
      <c r="W750" s="50"/>
      <c r="X750" s="50"/>
      <c r="Y750" s="50"/>
      <c r="Z750" s="50"/>
      <c r="AA750" s="50"/>
      <c r="AB750" s="50"/>
    </row>
    <row r="751" customFormat="false" ht="15.75" hidden="false" customHeight="false" outlineLevel="0" collapsed="false">
      <c r="A751" s="50"/>
      <c r="B751" s="50"/>
      <c r="C751" s="5"/>
      <c r="D751" s="48"/>
      <c r="E751" s="50"/>
      <c r="F751" s="5"/>
      <c r="G751" s="5"/>
      <c r="H751" s="5"/>
      <c r="I751" s="5"/>
      <c r="J751" s="5"/>
      <c r="K751" s="50"/>
      <c r="L751" s="50"/>
      <c r="M751" s="50"/>
      <c r="N751" s="50"/>
      <c r="O751" s="50"/>
      <c r="P751" s="50"/>
      <c r="Q751" s="50"/>
      <c r="R751" s="50"/>
      <c r="S751" s="50"/>
      <c r="T751" s="50"/>
      <c r="U751" s="50"/>
      <c r="V751" s="50"/>
      <c r="W751" s="50"/>
      <c r="X751" s="50"/>
      <c r="Y751" s="50"/>
      <c r="Z751" s="50"/>
      <c r="AA751" s="50"/>
      <c r="AB751" s="50"/>
    </row>
    <row r="752" customFormat="false" ht="15.75" hidden="false" customHeight="false" outlineLevel="0" collapsed="false">
      <c r="A752" s="50"/>
      <c r="B752" s="50"/>
      <c r="C752" s="5"/>
      <c r="D752" s="48"/>
      <c r="E752" s="50"/>
      <c r="F752" s="5"/>
      <c r="G752" s="5"/>
      <c r="H752" s="5"/>
      <c r="I752" s="5"/>
      <c r="J752" s="5"/>
      <c r="K752" s="50"/>
      <c r="L752" s="50"/>
      <c r="M752" s="50"/>
      <c r="N752" s="50"/>
      <c r="O752" s="50"/>
      <c r="P752" s="50"/>
      <c r="Q752" s="50"/>
      <c r="R752" s="50"/>
      <c r="S752" s="50"/>
      <c r="T752" s="50"/>
      <c r="U752" s="50"/>
      <c r="V752" s="50"/>
      <c r="W752" s="50"/>
      <c r="X752" s="50"/>
      <c r="Y752" s="50"/>
      <c r="Z752" s="50"/>
      <c r="AA752" s="50"/>
      <c r="AB752" s="50"/>
    </row>
    <row r="753" customFormat="false" ht="15.75" hidden="false" customHeight="false" outlineLevel="0" collapsed="false">
      <c r="A753" s="50"/>
      <c r="B753" s="50"/>
      <c r="C753" s="5"/>
      <c r="D753" s="48"/>
      <c r="E753" s="50"/>
      <c r="F753" s="5"/>
      <c r="G753" s="5"/>
      <c r="H753" s="5"/>
      <c r="I753" s="5"/>
      <c r="J753" s="5"/>
      <c r="K753" s="50"/>
      <c r="L753" s="50"/>
      <c r="M753" s="50"/>
      <c r="N753" s="50"/>
      <c r="O753" s="50"/>
      <c r="P753" s="50"/>
      <c r="Q753" s="50"/>
      <c r="R753" s="50"/>
      <c r="S753" s="50"/>
      <c r="T753" s="50"/>
      <c r="U753" s="50"/>
      <c r="V753" s="50"/>
      <c r="W753" s="50"/>
      <c r="X753" s="50"/>
      <c r="Y753" s="50"/>
      <c r="Z753" s="50"/>
      <c r="AA753" s="50"/>
      <c r="AB753" s="50"/>
    </row>
    <row r="754" customFormat="false" ht="15.75" hidden="false" customHeight="false" outlineLevel="0" collapsed="false">
      <c r="A754" s="50"/>
      <c r="B754" s="50"/>
      <c r="C754" s="5"/>
      <c r="D754" s="48"/>
      <c r="E754" s="50"/>
      <c r="F754" s="5"/>
      <c r="G754" s="5"/>
      <c r="H754" s="5"/>
      <c r="I754" s="5"/>
      <c r="J754" s="5"/>
      <c r="K754" s="50"/>
      <c r="L754" s="50"/>
      <c r="M754" s="50"/>
      <c r="N754" s="50"/>
      <c r="O754" s="50"/>
      <c r="P754" s="50"/>
      <c r="Q754" s="50"/>
      <c r="R754" s="50"/>
      <c r="S754" s="50"/>
      <c r="T754" s="50"/>
      <c r="U754" s="50"/>
      <c r="V754" s="50"/>
      <c r="W754" s="50"/>
      <c r="X754" s="50"/>
      <c r="Y754" s="50"/>
      <c r="Z754" s="50"/>
      <c r="AA754" s="50"/>
      <c r="AB754" s="50"/>
    </row>
    <row r="755" customFormat="false" ht="15.75" hidden="false" customHeight="false" outlineLevel="0" collapsed="false">
      <c r="A755" s="50"/>
      <c r="B755" s="50"/>
      <c r="C755" s="5"/>
      <c r="D755" s="48"/>
      <c r="E755" s="50"/>
      <c r="F755" s="5"/>
      <c r="G755" s="5"/>
      <c r="H755" s="5"/>
      <c r="I755" s="5"/>
      <c r="J755" s="5"/>
      <c r="K755" s="50"/>
      <c r="L755" s="50"/>
      <c r="M755" s="50"/>
      <c r="N755" s="50"/>
      <c r="O755" s="50"/>
      <c r="P755" s="50"/>
      <c r="Q755" s="50"/>
      <c r="R755" s="50"/>
      <c r="S755" s="50"/>
      <c r="T755" s="50"/>
      <c r="U755" s="50"/>
      <c r="V755" s="50"/>
      <c r="W755" s="50"/>
      <c r="X755" s="50"/>
      <c r="Y755" s="50"/>
      <c r="Z755" s="50"/>
      <c r="AA755" s="50"/>
      <c r="AB755" s="50"/>
    </row>
    <row r="756" customFormat="false" ht="15.75" hidden="false" customHeight="false" outlineLevel="0" collapsed="false">
      <c r="A756" s="50"/>
      <c r="B756" s="50"/>
      <c r="C756" s="5"/>
      <c r="D756" s="48"/>
      <c r="E756" s="50"/>
      <c r="F756" s="5"/>
      <c r="G756" s="5"/>
      <c r="H756" s="5"/>
      <c r="I756" s="5"/>
      <c r="J756" s="5"/>
      <c r="K756" s="50"/>
      <c r="L756" s="50"/>
      <c r="M756" s="50"/>
      <c r="N756" s="50"/>
      <c r="O756" s="50"/>
      <c r="P756" s="50"/>
      <c r="Q756" s="50"/>
      <c r="R756" s="50"/>
      <c r="S756" s="50"/>
      <c r="T756" s="50"/>
      <c r="U756" s="50"/>
      <c r="V756" s="50"/>
      <c r="W756" s="50"/>
      <c r="X756" s="50"/>
      <c r="Y756" s="50"/>
      <c r="Z756" s="50"/>
      <c r="AA756" s="50"/>
      <c r="AB756" s="50"/>
    </row>
    <row r="757" customFormat="false" ht="15.75" hidden="false" customHeight="false" outlineLevel="0" collapsed="false">
      <c r="A757" s="50"/>
      <c r="B757" s="50"/>
      <c r="C757" s="5"/>
      <c r="D757" s="48"/>
      <c r="E757" s="50"/>
      <c r="F757" s="5"/>
      <c r="G757" s="5"/>
      <c r="H757" s="5"/>
      <c r="I757" s="5"/>
      <c r="J757" s="5"/>
      <c r="K757" s="50"/>
      <c r="L757" s="50"/>
      <c r="M757" s="50"/>
      <c r="N757" s="50"/>
      <c r="O757" s="50"/>
      <c r="P757" s="50"/>
      <c r="Q757" s="50"/>
      <c r="R757" s="50"/>
      <c r="S757" s="50"/>
      <c r="T757" s="50"/>
      <c r="U757" s="50"/>
      <c r="V757" s="50"/>
      <c r="W757" s="50"/>
      <c r="X757" s="50"/>
      <c r="Y757" s="50"/>
      <c r="Z757" s="50"/>
      <c r="AA757" s="50"/>
      <c r="AB757" s="50"/>
    </row>
    <row r="758" customFormat="false" ht="15.75" hidden="false" customHeight="false" outlineLevel="0" collapsed="false">
      <c r="A758" s="50"/>
      <c r="B758" s="50"/>
      <c r="C758" s="5"/>
      <c r="D758" s="48"/>
      <c r="E758" s="50"/>
      <c r="F758" s="5"/>
      <c r="G758" s="5"/>
      <c r="H758" s="5"/>
      <c r="I758" s="5"/>
      <c r="J758" s="5"/>
      <c r="K758" s="50"/>
      <c r="L758" s="50"/>
      <c r="M758" s="50"/>
      <c r="N758" s="50"/>
      <c r="O758" s="50"/>
      <c r="P758" s="50"/>
      <c r="Q758" s="50"/>
      <c r="R758" s="50"/>
      <c r="S758" s="50"/>
      <c r="T758" s="50"/>
      <c r="U758" s="50"/>
      <c r="V758" s="50"/>
      <c r="W758" s="50"/>
      <c r="X758" s="50"/>
      <c r="Y758" s="50"/>
      <c r="Z758" s="50"/>
      <c r="AA758" s="50"/>
      <c r="AB758" s="50"/>
    </row>
    <row r="759" customFormat="false" ht="15.75" hidden="false" customHeight="false" outlineLevel="0" collapsed="false">
      <c r="A759" s="50"/>
      <c r="B759" s="50"/>
      <c r="C759" s="5"/>
      <c r="D759" s="48"/>
      <c r="E759" s="50"/>
      <c r="F759" s="5"/>
      <c r="G759" s="5"/>
      <c r="H759" s="5"/>
      <c r="I759" s="5"/>
      <c r="J759" s="5"/>
      <c r="K759" s="50"/>
      <c r="L759" s="50"/>
      <c r="M759" s="50"/>
      <c r="N759" s="50"/>
      <c r="O759" s="50"/>
      <c r="P759" s="50"/>
      <c r="Q759" s="50"/>
      <c r="R759" s="50"/>
      <c r="S759" s="50"/>
      <c r="T759" s="50"/>
      <c r="U759" s="50"/>
      <c r="V759" s="50"/>
      <c r="W759" s="50"/>
      <c r="X759" s="50"/>
      <c r="Y759" s="50"/>
      <c r="Z759" s="50"/>
      <c r="AA759" s="50"/>
      <c r="AB759" s="50"/>
    </row>
    <row r="760" customFormat="false" ht="15.75" hidden="false" customHeight="false" outlineLevel="0" collapsed="false">
      <c r="A760" s="50"/>
      <c r="B760" s="50"/>
      <c r="C760" s="5"/>
      <c r="D760" s="48"/>
      <c r="E760" s="50"/>
      <c r="F760" s="5"/>
      <c r="G760" s="5"/>
      <c r="H760" s="5"/>
      <c r="I760" s="5"/>
      <c r="J760" s="5"/>
      <c r="K760" s="50"/>
      <c r="L760" s="50"/>
      <c r="M760" s="50"/>
      <c r="N760" s="50"/>
      <c r="O760" s="50"/>
      <c r="P760" s="50"/>
      <c r="Q760" s="50"/>
      <c r="R760" s="50"/>
      <c r="S760" s="50"/>
      <c r="T760" s="50"/>
      <c r="U760" s="50"/>
      <c r="V760" s="50"/>
      <c r="W760" s="50"/>
      <c r="X760" s="50"/>
      <c r="Y760" s="50"/>
      <c r="Z760" s="50"/>
      <c r="AA760" s="50"/>
      <c r="AB760" s="50"/>
    </row>
    <row r="761" customFormat="false" ht="15.75" hidden="false" customHeight="false" outlineLevel="0" collapsed="false">
      <c r="A761" s="50"/>
      <c r="B761" s="50"/>
      <c r="C761" s="5"/>
      <c r="D761" s="48"/>
      <c r="E761" s="50"/>
      <c r="F761" s="5"/>
      <c r="G761" s="5"/>
      <c r="H761" s="5"/>
      <c r="I761" s="5"/>
      <c r="J761" s="5"/>
      <c r="K761" s="50"/>
      <c r="L761" s="50"/>
      <c r="M761" s="50"/>
      <c r="N761" s="50"/>
      <c r="O761" s="50"/>
      <c r="P761" s="50"/>
      <c r="Q761" s="50"/>
      <c r="R761" s="50"/>
      <c r="S761" s="50"/>
      <c r="T761" s="50"/>
      <c r="U761" s="50"/>
      <c r="V761" s="50"/>
      <c r="W761" s="50"/>
      <c r="X761" s="50"/>
      <c r="Y761" s="50"/>
      <c r="Z761" s="50"/>
      <c r="AA761" s="50"/>
      <c r="AB761" s="50"/>
    </row>
    <row r="762" customFormat="false" ht="15.75" hidden="false" customHeight="false" outlineLevel="0" collapsed="false">
      <c r="A762" s="50"/>
      <c r="B762" s="50"/>
      <c r="C762" s="5"/>
      <c r="D762" s="48"/>
      <c r="E762" s="50"/>
      <c r="F762" s="5"/>
      <c r="G762" s="5"/>
      <c r="H762" s="5"/>
      <c r="I762" s="5"/>
      <c r="J762" s="5"/>
      <c r="K762" s="50"/>
      <c r="L762" s="50"/>
      <c r="M762" s="50"/>
      <c r="N762" s="50"/>
      <c r="O762" s="50"/>
      <c r="P762" s="50"/>
      <c r="Q762" s="50"/>
      <c r="R762" s="50"/>
      <c r="S762" s="50"/>
      <c r="T762" s="50"/>
      <c r="U762" s="50"/>
      <c r="V762" s="50"/>
      <c r="W762" s="50"/>
      <c r="X762" s="50"/>
      <c r="Y762" s="50"/>
      <c r="Z762" s="50"/>
      <c r="AA762" s="50"/>
      <c r="AB762" s="50"/>
    </row>
    <row r="763" customFormat="false" ht="15.75" hidden="false" customHeight="false" outlineLevel="0" collapsed="false">
      <c r="A763" s="50"/>
      <c r="B763" s="50"/>
      <c r="C763" s="5"/>
      <c r="D763" s="48"/>
      <c r="E763" s="50"/>
      <c r="F763" s="5"/>
      <c r="G763" s="5"/>
      <c r="H763" s="5"/>
      <c r="I763" s="5"/>
      <c r="J763" s="5"/>
      <c r="K763" s="50"/>
      <c r="L763" s="50"/>
      <c r="M763" s="50"/>
      <c r="N763" s="50"/>
      <c r="O763" s="50"/>
      <c r="P763" s="50"/>
      <c r="Q763" s="50"/>
      <c r="R763" s="50"/>
      <c r="S763" s="50"/>
      <c r="T763" s="50"/>
      <c r="U763" s="50"/>
      <c r="V763" s="50"/>
      <c r="W763" s="50"/>
      <c r="X763" s="50"/>
      <c r="Y763" s="50"/>
      <c r="Z763" s="50"/>
      <c r="AA763" s="50"/>
      <c r="AB763" s="50"/>
    </row>
    <row r="764" customFormat="false" ht="15.75" hidden="false" customHeight="false" outlineLevel="0" collapsed="false">
      <c r="A764" s="50"/>
      <c r="B764" s="50"/>
      <c r="C764" s="5"/>
      <c r="D764" s="48"/>
      <c r="E764" s="50"/>
      <c r="F764" s="5"/>
      <c r="G764" s="5"/>
      <c r="H764" s="5"/>
      <c r="I764" s="5"/>
      <c r="J764" s="5"/>
      <c r="K764" s="50"/>
      <c r="L764" s="50"/>
      <c r="M764" s="50"/>
      <c r="N764" s="50"/>
      <c r="O764" s="50"/>
      <c r="P764" s="50"/>
      <c r="Q764" s="50"/>
      <c r="R764" s="50"/>
      <c r="S764" s="50"/>
      <c r="T764" s="50"/>
      <c r="U764" s="50"/>
      <c r="V764" s="50"/>
      <c r="W764" s="50"/>
      <c r="X764" s="50"/>
      <c r="Y764" s="50"/>
      <c r="Z764" s="50"/>
      <c r="AA764" s="50"/>
      <c r="AB764" s="50"/>
    </row>
    <row r="765" customFormat="false" ht="15.75" hidden="false" customHeight="false" outlineLevel="0" collapsed="false">
      <c r="A765" s="50"/>
      <c r="B765" s="50"/>
      <c r="C765" s="5"/>
      <c r="D765" s="48"/>
      <c r="E765" s="50"/>
      <c r="F765" s="5"/>
      <c r="G765" s="5"/>
      <c r="H765" s="5"/>
      <c r="I765" s="5"/>
      <c r="J765" s="5"/>
      <c r="K765" s="50"/>
      <c r="L765" s="50"/>
      <c r="M765" s="50"/>
      <c r="N765" s="50"/>
      <c r="O765" s="50"/>
      <c r="P765" s="50"/>
      <c r="Q765" s="50"/>
      <c r="R765" s="50"/>
      <c r="S765" s="50"/>
      <c r="T765" s="50"/>
      <c r="U765" s="50"/>
      <c r="V765" s="50"/>
      <c r="W765" s="50"/>
      <c r="X765" s="50"/>
      <c r="Y765" s="50"/>
      <c r="Z765" s="50"/>
      <c r="AA765" s="50"/>
      <c r="AB765" s="50"/>
    </row>
    <row r="766" customFormat="false" ht="15.75" hidden="false" customHeight="false" outlineLevel="0" collapsed="false">
      <c r="A766" s="50"/>
      <c r="B766" s="50"/>
      <c r="C766" s="5"/>
      <c r="D766" s="48"/>
      <c r="E766" s="50"/>
      <c r="F766" s="5"/>
      <c r="G766" s="5"/>
      <c r="H766" s="5"/>
      <c r="I766" s="5"/>
      <c r="J766" s="5"/>
      <c r="K766" s="50"/>
      <c r="L766" s="50"/>
      <c r="M766" s="50"/>
      <c r="N766" s="50"/>
      <c r="O766" s="50"/>
      <c r="P766" s="50"/>
      <c r="Q766" s="50"/>
      <c r="R766" s="50"/>
      <c r="S766" s="50"/>
      <c r="T766" s="50"/>
      <c r="U766" s="50"/>
      <c r="V766" s="50"/>
      <c r="W766" s="50"/>
      <c r="X766" s="50"/>
      <c r="Y766" s="50"/>
      <c r="Z766" s="50"/>
      <c r="AA766" s="50"/>
      <c r="AB766" s="50"/>
    </row>
    <row r="767" customFormat="false" ht="15.75" hidden="false" customHeight="false" outlineLevel="0" collapsed="false">
      <c r="A767" s="50"/>
      <c r="B767" s="50"/>
      <c r="C767" s="5"/>
      <c r="D767" s="48"/>
      <c r="E767" s="50"/>
      <c r="F767" s="5"/>
      <c r="G767" s="5"/>
      <c r="H767" s="5"/>
      <c r="I767" s="5"/>
      <c r="J767" s="5"/>
      <c r="K767" s="50"/>
      <c r="L767" s="50"/>
      <c r="M767" s="50"/>
      <c r="N767" s="50"/>
      <c r="O767" s="50"/>
      <c r="P767" s="50"/>
      <c r="Q767" s="50"/>
      <c r="R767" s="50"/>
      <c r="S767" s="50"/>
      <c r="T767" s="50"/>
      <c r="U767" s="50"/>
      <c r="V767" s="50"/>
      <c r="W767" s="50"/>
      <c r="X767" s="50"/>
      <c r="Y767" s="50"/>
      <c r="Z767" s="50"/>
      <c r="AA767" s="50"/>
      <c r="AB767" s="50"/>
    </row>
    <row r="768" customFormat="false" ht="15.75" hidden="false" customHeight="false" outlineLevel="0" collapsed="false">
      <c r="A768" s="50"/>
      <c r="B768" s="50"/>
      <c r="C768" s="5"/>
      <c r="D768" s="48"/>
      <c r="E768" s="50"/>
      <c r="F768" s="5"/>
      <c r="G768" s="5"/>
      <c r="H768" s="5"/>
      <c r="I768" s="5"/>
      <c r="J768" s="5"/>
      <c r="K768" s="50"/>
      <c r="L768" s="50"/>
      <c r="M768" s="50"/>
      <c r="N768" s="50"/>
      <c r="O768" s="50"/>
      <c r="P768" s="50"/>
      <c r="Q768" s="50"/>
      <c r="R768" s="50"/>
      <c r="S768" s="50"/>
      <c r="T768" s="50"/>
      <c r="U768" s="50"/>
      <c r="V768" s="50"/>
      <c r="W768" s="50"/>
      <c r="X768" s="50"/>
      <c r="Y768" s="50"/>
      <c r="Z768" s="50"/>
      <c r="AA768" s="50"/>
      <c r="AB768" s="50"/>
    </row>
    <row r="769" customFormat="false" ht="15.75" hidden="false" customHeight="false" outlineLevel="0" collapsed="false">
      <c r="A769" s="50"/>
      <c r="B769" s="50"/>
      <c r="C769" s="5"/>
      <c r="D769" s="48"/>
      <c r="E769" s="50"/>
      <c r="F769" s="5"/>
      <c r="G769" s="5"/>
      <c r="H769" s="5"/>
      <c r="I769" s="5"/>
      <c r="J769" s="5"/>
      <c r="K769" s="50"/>
      <c r="L769" s="50"/>
      <c r="M769" s="50"/>
      <c r="N769" s="50"/>
      <c r="O769" s="50"/>
      <c r="P769" s="50"/>
      <c r="Q769" s="50"/>
      <c r="R769" s="50"/>
      <c r="S769" s="50"/>
      <c r="T769" s="50"/>
      <c r="U769" s="50"/>
      <c r="V769" s="50"/>
      <c r="W769" s="50"/>
      <c r="X769" s="50"/>
      <c r="Y769" s="50"/>
      <c r="Z769" s="50"/>
      <c r="AA769" s="50"/>
      <c r="AB769" s="50"/>
    </row>
    <row r="770" customFormat="false" ht="15.75" hidden="false" customHeight="false" outlineLevel="0" collapsed="false">
      <c r="A770" s="50"/>
      <c r="B770" s="50"/>
      <c r="C770" s="5"/>
      <c r="D770" s="48"/>
      <c r="E770" s="50"/>
      <c r="F770" s="5"/>
      <c r="G770" s="5"/>
      <c r="H770" s="5"/>
      <c r="I770" s="5"/>
      <c r="J770" s="5"/>
      <c r="K770" s="50"/>
      <c r="L770" s="50"/>
      <c r="M770" s="50"/>
      <c r="N770" s="50"/>
      <c r="O770" s="50"/>
      <c r="P770" s="50"/>
      <c r="Q770" s="50"/>
      <c r="R770" s="50"/>
      <c r="S770" s="50"/>
      <c r="T770" s="50"/>
      <c r="U770" s="50"/>
      <c r="V770" s="50"/>
      <c r="W770" s="50"/>
      <c r="X770" s="50"/>
      <c r="Y770" s="50"/>
      <c r="Z770" s="50"/>
      <c r="AA770" s="50"/>
      <c r="AB770" s="50"/>
    </row>
    <row r="771" customFormat="false" ht="15.75" hidden="false" customHeight="false" outlineLevel="0" collapsed="false">
      <c r="A771" s="50"/>
      <c r="B771" s="50"/>
      <c r="C771" s="5"/>
      <c r="D771" s="48"/>
      <c r="E771" s="50"/>
      <c r="F771" s="5"/>
      <c r="G771" s="5"/>
      <c r="H771" s="5"/>
      <c r="I771" s="5"/>
      <c r="J771" s="5"/>
      <c r="K771" s="50"/>
      <c r="L771" s="50"/>
      <c r="M771" s="50"/>
      <c r="N771" s="50"/>
      <c r="O771" s="50"/>
      <c r="P771" s="50"/>
      <c r="Q771" s="50"/>
      <c r="R771" s="50"/>
      <c r="S771" s="50"/>
      <c r="T771" s="50"/>
      <c r="U771" s="50"/>
      <c r="V771" s="50"/>
      <c r="W771" s="50"/>
      <c r="X771" s="50"/>
      <c r="Y771" s="50"/>
      <c r="Z771" s="50"/>
      <c r="AA771" s="50"/>
      <c r="AB771" s="50"/>
    </row>
    <row r="772" customFormat="false" ht="15.75" hidden="false" customHeight="false" outlineLevel="0" collapsed="false">
      <c r="A772" s="50"/>
      <c r="B772" s="50"/>
      <c r="C772" s="5"/>
      <c r="D772" s="48"/>
      <c r="E772" s="50"/>
      <c r="F772" s="5"/>
      <c r="G772" s="5"/>
      <c r="H772" s="5"/>
      <c r="I772" s="5"/>
      <c r="J772" s="5"/>
      <c r="K772" s="50"/>
      <c r="L772" s="50"/>
      <c r="M772" s="50"/>
      <c r="N772" s="50"/>
      <c r="O772" s="50"/>
      <c r="P772" s="50"/>
      <c r="Q772" s="50"/>
      <c r="R772" s="50"/>
      <c r="S772" s="50"/>
      <c r="T772" s="50"/>
      <c r="U772" s="50"/>
      <c r="V772" s="50"/>
      <c r="W772" s="50"/>
      <c r="X772" s="50"/>
      <c r="Y772" s="50"/>
      <c r="Z772" s="50"/>
      <c r="AA772" s="50"/>
      <c r="AB772" s="50"/>
    </row>
    <row r="773" customFormat="false" ht="15.75" hidden="false" customHeight="false" outlineLevel="0" collapsed="false">
      <c r="A773" s="50"/>
      <c r="B773" s="50"/>
      <c r="C773" s="5"/>
      <c r="D773" s="48"/>
      <c r="E773" s="50"/>
      <c r="F773" s="5"/>
      <c r="G773" s="5"/>
      <c r="H773" s="5"/>
      <c r="I773" s="5"/>
      <c r="J773" s="5"/>
      <c r="K773" s="50"/>
      <c r="L773" s="50"/>
      <c r="M773" s="50"/>
      <c r="N773" s="50"/>
      <c r="O773" s="50"/>
      <c r="P773" s="50"/>
      <c r="Q773" s="50"/>
      <c r="R773" s="50"/>
      <c r="S773" s="50"/>
      <c r="T773" s="50"/>
      <c r="U773" s="50"/>
      <c r="V773" s="50"/>
      <c r="W773" s="50"/>
      <c r="X773" s="50"/>
      <c r="Y773" s="50"/>
      <c r="Z773" s="50"/>
      <c r="AA773" s="50"/>
      <c r="AB773" s="50"/>
    </row>
    <row r="774" customFormat="false" ht="15.75" hidden="false" customHeight="false" outlineLevel="0" collapsed="false">
      <c r="A774" s="50"/>
      <c r="B774" s="50"/>
      <c r="C774" s="5"/>
      <c r="D774" s="48"/>
      <c r="E774" s="50"/>
      <c r="F774" s="5"/>
      <c r="G774" s="5"/>
      <c r="H774" s="5"/>
      <c r="I774" s="5"/>
      <c r="J774" s="5"/>
      <c r="K774" s="50"/>
      <c r="L774" s="50"/>
      <c r="M774" s="50"/>
      <c r="N774" s="50"/>
      <c r="O774" s="50"/>
      <c r="P774" s="50"/>
      <c r="Q774" s="50"/>
      <c r="R774" s="50"/>
      <c r="S774" s="50"/>
      <c r="T774" s="50"/>
      <c r="U774" s="50"/>
      <c r="V774" s="50"/>
      <c r="W774" s="50"/>
      <c r="X774" s="50"/>
      <c r="Y774" s="50"/>
      <c r="Z774" s="50"/>
      <c r="AA774" s="50"/>
      <c r="AB774" s="50"/>
    </row>
    <row r="775" customFormat="false" ht="15.75" hidden="false" customHeight="false" outlineLevel="0" collapsed="false">
      <c r="A775" s="50"/>
      <c r="B775" s="50"/>
      <c r="C775" s="5"/>
      <c r="D775" s="48"/>
      <c r="E775" s="50"/>
      <c r="F775" s="5"/>
      <c r="G775" s="5"/>
      <c r="H775" s="5"/>
      <c r="I775" s="5"/>
      <c r="J775" s="5"/>
      <c r="K775" s="50"/>
      <c r="L775" s="50"/>
      <c r="M775" s="50"/>
      <c r="N775" s="50"/>
      <c r="O775" s="50"/>
      <c r="P775" s="50"/>
      <c r="Q775" s="50"/>
      <c r="R775" s="50"/>
      <c r="S775" s="50"/>
      <c r="T775" s="50"/>
      <c r="U775" s="50"/>
      <c r="V775" s="50"/>
      <c r="W775" s="50"/>
      <c r="X775" s="50"/>
      <c r="Y775" s="50"/>
      <c r="Z775" s="50"/>
      <c r="AA775" s="50"/>
      <c r="AB775" s="50"/>
    </row>
    <row r="776" customFormat="false" ht="15.75" hidden="false" customHeight="false" outlineLevel="0" collapsed="false">
      <c r="A776" s="50"/>
      <c r="B776" s="50"/>
      <c r="C776" s="5"/>
      <c r="D776" s="48"/>
      <c r="E776" s="50"/>
      <c r="F776" s="5"/>
      <c r="G776" s="5"/>
      <c r="H776" s="5"/>
      <c r="I776" s="5"/>
      <c r="J776" s="5"/>
      <c r="K776" s="50"/>
      <c r="L776" s="50"/>
      <c r="M776" s="50"/>
      <c r="N776" s="50"/>
      <c r="O776" s="50"/>
      <c r="P776" s="50"/>
      <c r="Q776" s="50"/>
      <c r="R776" s="50"/>
      <c r="S776" s="50"/>
      <c r="T776" s="50"/>
      <c r="U776" s="50"/>
      <c r="V776" s="50"/>
      <c r="W776" s="50"/>
      <c r="X776" s="50"/>
      <c r="Y776" s="50"/>
      <c r="Z776" s="50"/>
      <c r="AA776" s="50"/>
      <c r="AB776" s="50"/>
    </row>
    <row r="777" customFormat="false" ht="15.75" hidden="false" customHeight="false" outlineLevel="0" collapsed="false">
      <c r="A777" s="50"/>
      <c r="B777" s="50"/>
      <c r="C777" s="5"/>
      <c r="D777" s="48"/>
      <c r="E777" s="50"/>
      <c r="F777" s="5"/>
      <c r="G777" s="5"/>
      <c r="H777" s="5"/>
      <c r="I777" s="5"/>
      <c r="J777" s="5"/>
      <c r="K777" s="50"/>
      <c r="L777" s="50"/>
      <c r="M777" s="50"/>
      <c r="N777" s="50"/>
      <c r="O777" s="50"/>
      <c r="P777" s="50"/>
      <c r="Q777" s="50"/>
      <c r="R777" s="50"/>
      <c r="S777" s="50"/>
      <c r="T777" s="50"/>
      <c r="U777" s="50"/>
      <c r="V777" s="50"/>
      <c r="W777" s="50"/>
      <c r="X777" s="50"/>
      <c r="Y777" s="50"/>
      <c r="Z777" s="50"/>
      <c r="AA777" s="50"/>
      <c r="AB777" s="50"/>
    </row>
    <row r="778" customFormat="false" ht="15.75" hidden="false" customHeight="false" outlineLevel="0" collapsed="false">
      <c r="A778" s="50"/>
      <c r="B778" s="50"/>
      <c r="C778" s="5"/>
      <c r="D778" s="48"/>
      <c r="E778" s="50"/>
      <c r="F778" s="5"/>
      <c r="G778" s="5"/>
      <c r="H778" s="5"/>
      <c r="I778" s="5"/>
      <c r="J778" s="5"/>
      <c r="K778" s="50"/>
      <c r="L778" s="50"/>
      <c r="M778" s="50"/>
      <c r="N778" s="50"/>
      <c r="O778" s="50"/>
      <c r="P778" s="50"/>
      <c r="Q778" s="50"/>
      <c r="R778" s="50"/>
      <c r="S778" s="50"/>
      <c r="T778" s="50"/>
      <c r="U778" s="50"/>
      <c r="V778" s="50"/>
      <c r="W778" s="50"/>
      <c r="X778" s="50"/>
      <c r="Y778" s="50"/>
      <c r="Z778" s="50"/>
      <c r="AA778" s="50"/>
      <c r="AB778" s="50"/>
    </row>
    <row r="779" customFormat="false" ht="15.75" hidden="false" customHeight="false" outlineLevel="0" collapsed="false">
      <c r="A779" s="50"/>
      <c r="B779" s="50"/>
      <c r="C779" s="5"/>
      <c r="D779" s="48"/>
      <c r="E779" s="50"/>
      <c r="F779" s="5"/>
      <c r="G779" s="5"/>
      <c r="H779" s="5"/>
      <c r="I779" s="5"/>
      <c r="J779" s="5"/>
      <c r="K779" s="50"/>
      <c r="L779" s="50"/>
      <c r="M779" s="50"/>
      <c r="N779" s="50"/>
      <c r="O779" s="50"/>
      <c r="P779" s="50"/>
      <c r="Q779" s="50"/>
      <c r="R779" s="50"/>
      <c r="S779" s="50"/>
      <c r="T779" s="50"/>
      <c r="U779" s="50"/>
      <c r="V779" s="50"/>
      <c r="W779" s="50"/>
      <c r="X779" s="50"/>
      <c r="Y779" s="50"/>
      <c r="Z779" s="50"/>
      <c r="AA779" s="50"/>
      <c r="AB779" s="50"/>
    </row>
    <row r="780" customFormat="false" ht="15.75" hidden="false" customHeight="false" outlineLevel="0" collapsed="false">
      <c r="A780" s="50"/>
      <c r="B780" s="50"/>
      <c r="C780" s="5"/>
      <c r="D780" s="48"/>
      <c r="E780" s="50"/>
      <c r="F780" s="5"/>
      <c r="G780" s="5"/>
      <c r="H780" s="5"/>
      <c r="I780" s="5"/>
      <c r="J780" s="5"/>
      <c r="K780" s="50"/>
      <c r="L780" s="50"/>
      <c r="M780" s="50"/>
      <c r="N780" s="50"/>
      <c r="O780" s="50"/>
      <c r="P780" s="50"/>
      <c r="Q780" s="50"/>
      <c r="R780" s="50"/>
      <c r="S780" s="50"/>
      <c r="T780" s="50"/>
      <c r="U780" s="50"/>
      <c r="V780" s="50"/>
      <c r="W780" s="50"/>
      <c r="X780" s="50"/>
      <c r="Y780" s="50"/>
      <c r="Z780" s="50"/>
      <c r="AA780" s="50"/>
      <c r="AB780" s="50"/>
    </row>
    <row r="781" customFormat="false" ht="15.75" hidden="false" customHeight="false" outlineLevel="0" collapsed="false">
      <c r="A781" s="50"/>
      <c r="B781" s="50"/>
      <c r="C781" s="5"/>
      <c r="D781" s="48"/>
      <c r="E781" s="50"/>
      <c r="F781" s="5"/>
      <c r="G781" s="5"/>
      <c r="H781" s="5"/>
      <c r="I781" s="5"/>
      <c r="J781" s="5"/>
      <c r="K781" s="50"/>
      <c r="L781" s="50"/>
      <c r="M781" s="50"/>
      <c r="N781" s="50"/>
      <c r="O781" s="50"/>
      <c r="P781" s="50"/>
      <c r="Q781" s="50"/>
      <c r="R781" s="50"/>
      <c r="S781" s="50"/>
      <c r="T781" s="50"/>
      <c r="U781" s="50"/>
      <c r="V781" s="50"/>
      <c r="W781" s="50"/>
      <c r="X781" s="50"/>
      <c r="Y781" s="50"/>
      <c r="Z781" s="50"/>
      <c r="AA781" s="50"/>
      <c r="AB781" s="50"/>
    </row>
    <row r="782" customFormat="false" ht="15.75" hidden="false" customHeight="false" outlineLevel="0" collapsed="false">
      <c r="A782" s="50"/>
      <c r="B782" s="50"/>
      <c r="C782" s="5"/>
      <c r="D782" s="48"/>
      <c r="E782" s="50"/>
      <c r="F782" s="5"/>
      <c r="G782" s="5"/>
      <c r="H782" s="5"/>
      <c r="I782" s="5"/>
      <c r="J782" s="5"/>
      <c r="K782" s="50"/>
      <c r="L782" s="50"/>
      <c r="M782" s="50"/>
      <c r="N782" s="50"/>
      <c r="O782" s="50"/>
      <c r="P782" s="50"/>
      <c r="Q782" s="50"/>
      <c r="R782" s="50"/>
      <c r="S782" s="50"/>
      <c r="T782" s="50"/>
      <c r="U782" s="50"/>
      <c r="V782" s="50"/>
      <c r="W782" s="50"/>
      <c r="X782" s="50"/>
      <c r="Y782" s="50"/>
      <c r="Z782" s="50"/>
      <c r="AA782" s="50"/>
      <c r="AB782" s="50"/>
    </row>
    <row r="783" customFormat="false" ht="15.75" hidden="false" customHeight="false" outlineLevel="0" collapsed="false">
      <c r="A783" s="50"/>
      <c r="B783" s="50"/>
      <c r="C783" s="5"/>
      <c r="D783" s="48"/>
      <c r="E783" s="50"/>
      <c r="F783" s="5"/>
      <c r="G783" s="5"/>
      <c r="H783" s="5"/>
      <c r="I783" s="5"/>
      <c r="J783" s="5"/>
      <c r="K783" s="50"/>
      <c r="L783" s="50"/>
      <c r="M783" s="50"/>
      <c r="N783" s="50"/>
      <c r="O783" s="50"/>
      <c r="P783" s="50"/>
      <c r="Q783" s="50"/>
      <c r="R783" s="50"/>
      <c r="S783" s="50"/>
      <c r="T783" s="50"/>
      <c r="U783" s="50"/>
      <c r="V783" s="50"/>
      <c r="W783" s="50"/>
      <c r="X783" s="50"/>
      <c r="Y783" s="50"/>
      <c r="Z783" s="50"/>
      <c r="AA783" s="50"/>
      <c r="AB783" s="50"/>
    </row>
    <row r="784" customFormat="false" ht="15.75" hidden="false" customHeight="false" outlineLevel="0" collapsed="false">
      <c r="A784" s="50"/>
      <c r="B784" s="50"/>
      <c r="C784" s="5"/>
      <c r="D784" s="48"/>
      <c r="E784" s="50"/>
      <c r="F784" s="5"/>
      <c r="G784" s="5"/>
      <c r="H784" s="5"/>
      <c r="I784" s="5"/>
      <c r="J784" s="5"/>
      <c r="K784" s="50"/>
      <c r="L784" s="50"/>
      <c r="M784" s="50"/>
      <c r="N784" s="50"/>
      <c r="O784" s="50"/>
      <c r="P784" s="50"/>
      <c r="Q784" s="50"/>
      <c r="R784" s="50"/>
      <c r="S784" s="50"/>
      <c r="T784" s="50"/>
      <c r="U784" s="50"/>
      <c r="V784" s="50"/>
      <c r="W784" s="50"/>
      <c r="X784" s="50"/>
      <c r="Y784" s="50"/>
      <c r="Z784" s="50"/>
      <c r="AA784" s="50"/>
      <c r="AB784" s="50"/>
    </row>
    <row r="785" customFormat="false" ht="15.75" hidden="false" customHeight="false" outlineLevel="0" collapsed="false">
      <c r="A785" s="50"/>
      <c r="B785" s="50"/>
      <c r="C785" s="5"/>
      <c r="D785" s="48"/>
      <c r="E785" s="50"/>
      <c r="F785" s="5"/>
      <c r="G785" s="5"/>
      <c r="H785" s="5"/>
      <c r="I785" s="5"/>
      <c r="J785" s="5"/>
      <c r="K785" s="50"/>
      <c r="L785" s="50"/>
      <c r="M785" s="50"/>
      <c r="N785" s="50"/>
      <c r="O785" s="50"/>
      <c r="P785" s="50"/>
      <c r="Q785" s="50"/>
      <c r="R785" s="50"/>
      <c r="S785" s="50"/>
      <c r="T785" s="50"/>
      <c r="U785" s="50"/>
      <c r="V785" s="50"/>
      <c r="W785" s="50"/>
      <c r="X785" s="50"/>
      <c r="Y785" s="50"/>
      <c r="Z785" s="50"/>
      <c r="AA785" s="50"/>
      <c r="AB785" s="50"/>
    </row>
    <row r="786" customFormat="false" ht="15.75" hidden="false" customHeight="false" outlineLevel="0" collapsed="false">
      <c r="A786" s="50"/>
      <c r="B786" s="50"/>
      <c r="C786" s="5"/>
      <c r="D786" s="48"/>
      <c r="E786" s="50"/>
      <c r="F786" s="5"/>
      <c r="G786" s="5"/>
      <c r="H786" s="5"/>
      <c r="I786" s="5"/>
      <c r="J786" s="5"/>
      <c r="K786" s="50"/>
      <c r="L786" s="50"/>
      <c r="M786" s="50"/>
      <c r="N786" s="50"/>
      <c r="O786" s="50"/>
      <c r="P786" s="50"/>
      <c r="Q786" s="50"/>
      <c r="R786" s="50"/>
      <c r="S786" s="50"/>
      <c r="T786" s="50"/>
      <c r="U786" s="50"/>
      <c r="V786" s="50"/>
      <c r="W786" s="50"/>
      <c r="X786" s="50"/>
      <c r="Y786" s="50"/>
      <c r="Z786" s="50"/>
      <c r="AA786" s="50"/>
      <c r="AB786" s="50"/>
    </row>
    <row r="787" customFormat="false" ht="15.75" hidden="false" customHeight="false" outlineLevel="0" collapsed="false">
      <c r="A787" s="50"/>
      <c r="B787" s="50"/>
      <c r="C787" s="5"/>
      <c r="D787" s="48"/>
      <c r="E787" s="50"/>
      <c r="F787" s="5"/>
      <c r="G787" s="5"/>
      <c r="H787" s="5"/>
      <c r="I787" s="5"/>
      <c r="J787" s="5"/>
      <c r="K787" s="50"/>
      <c r="L787" s="50"/>
      <c r="M787" s="50"/>
      <c r="N787" s="50"/>
      <c r="O787" s="50"/>
      <c r="P787" s="50"/>
      <c r="Q787" s="50"/>
      <c r="R787" s="50"/>
      <c r="S787" s="50"/>
      <c r="T787" s="50"/>
      <c r="U787" s="50"/>
      <c r="V787" s="50"/>
      <c r="W787" s="50"/>
      <c r="X787" s="50"/>
      <c r="Y787" s="50"/>
      <c r="Z787" s="50"/>
      <c r="AA787" s="50"/>
      <c r="AB787" s="50"/>
    </row>
    <row r="788" customFormat="false" ht="15.75" hidden="false" customHeight="false" outlineLevel="0" collapsed="false">
      <c r="A788" s="50"/>
      <c r="B788" s="50"/>
      <c r="C788" s="5"/>
      <c r="D788" s="48"/>
      <c r="E788" s="50"/>
      <c r="F788" s="5"/>
      <c r="G788" s="5"/>
      <c r="H788" s="5"/>
      <c r="I788" s="5"/>
      <c r="J788" s="5"/>
      <c r="K788" s="50"/>
      <c r="L788" s="50"/>
      <c r="M788" s="50"/>
      <c r="N788" s="50"/>
      <c r="O788" s="50"/>
      <c r="P788" s="50"/>
      <c r="Q788" s="50"/>
      <c r="R788" s="50"/>
      <c r="S788" s="50"/>
      <c r="T788" s="50"/>
      <c r="U788" s="50"/>
      <c r="V788" s="50"/>
      <c r="W788" s="50"/>
      <c r="X788" s="50"/>
      <c r="Y788" s="50"/>
      <c r="Z788" s="50"/>
      <c r="AA788" s="50"/>
      <c r="AB788" s="50"/>
    </row>
    <row r="789" customFormat="false" ht="15.75" hidden="false" customHeight="false" outlineLevel="0" collapsed="false">
      <c r="A789" s="50"/>
      <c r="B789" s="50"/>
      <c r="C789" s="5"/>
      <c r="D789" s="48"/>
      <c r="E789" s="50"/>
      <c r="F789" s="5"/>
      <c r="G789" s="5"/>
      <c r="H789" s="5"/>
      <c r="I789" s="5"/>
      <c r="J789" s="5"/>
      <c r="K789" s="50"/>
      <c r="L789" s="50"/>
      <c r="M789" s="50"/>
      <c r="N789" s="50"/>
      <c r="O789" s="50"/>
      <c r="P789" s="50"/>
      <c r="Q789" s="50"/>
      <c r="R789" s="50"/>
      <c r="S789" s="50"/>
      <c r="T789" s="50"/>
      <c r="U789" s="50"/>
      <c r="V789" s="50"/>
      <c r="W789" s="50"/>
      <c r="X789" s="50"/>
      <c r="Y789" s="50"/>
      <c r="Z789" s="50"/>
      <c r="AA789" s="50"/>
      <c r="AB789" s="50"/>
    </row>
    <row r="790" customFormat="false" ht="15.75" hidden="false" customHeight="false" outlineLevel="0" collapsed="false">
      <c r="A790" s="50"/>
      <c r="B790" s="50"/>
      <c r="C790" s="5"/>
      <c r="D790" s="48"/>
      <c r="E790" s="50"/>
      <c r="F790" s="5"/>
      <c r="G790" s="5"/>
      <c r="H790" s="5"/>
      <c r="I790" s="5"/>
      <c r="J790" s="5"/>
      <c r="K790" s="50"/>
      <c r="L790" s="50"/>
      <c r="M790" s="50"/>
      <c r="N790" s="50"/>
      <c r="O790" s="50"/>
      <c r="P790" s="50"/>
      <c r="Q790" s="50"/>
      <c r="R790" s="50"/>
      <c r="S790" s="50"/>
      <c r="T790" s="50"/>
      <c r="U790" s="50"/>
      <c r="V790" s="50"/>
      <c r="W790" s="50"/>
      <c r="X790" s="50"/>
      <c r="Y790" s="50"/>
      <c r="Z790" s="50"/>
      <c r="AA790" s="50"/>
      <c r="AB790" s="50"/>
    </row>
    <row r="791" customFormat="false" ht="15.75" hidden="false" customHeight="false" outlineLevel="0" collapsed="false">
      <c r="A791" s="50"/>
      <c r="B791" s="50"/>
      <c r="C791" s="5"/>
      <c r="D791" s="48"/>
      <c r="E791" s="50"/>
      <c r="F791" s="5"/>
      <c r="G791" s="5"/>
      <c r="H791" s="5"/>
      <c r="I791" s="5"/>
      <c r="J791" s="5"/>
      <c r="K791" s="50"/>
      <c r="L791" s="50"/>
      <c r="M791" s="50"/>
      <c r="N791" s="50"/>
      <c r="O791" s="50"/>
      <c r="P791" s="50"/>
      <c r="Q791" s="50"/>
      <c r="R791" s="50"/>
      <c r="S791" s="50"/>
      <c r="T791" s="50"/>
      <c r="U791" s="50"/>
      <c r="V791" s="50"/>
      <c r="W791" s="50"/>
      <c r="X791" s="50"/>
      <c r="Y791" s="50"/>
      <c r="Z791" s="50"/>
      <c r="AA791" s="50"/>
      <c r="AB791" s="50"/>
    </row>
    <row r="792" customFormat="false" ht="15.75" hidden="false" customHeight="false" outlineLevel="0" collapsed="false">
      <c r="A792" s="50"/>
      <c r="B792" s="50"/>
      <c r="C792" s="5"/>
      <c r="D792" s="48"/>
      <c r="E792" s="50"/>
      <c r="F792" s="5"/>
      <c r="G792" s="5"/>
      <c r="H792" s="5"/>
      <c r="I792" s="5"/>
      <c r="J792" s="5"/>
      <c r="K792" s="50"/>
      <c r="L792" s="50"/>
      <c r="M792" s="50"/>
      <c r="N792" s="50"/>
      <c r="O792" s="50"/>
      <c r="P792" s="50"/>
      <c r="Q792" s="50"/>
      <c r="R792" s="50"/>
      <c r="S792" s="50"/>
      <c r="T792" s="50"/>
      <c r="U792" s="50"/>
      <c r="V792" s="50"/>
      <c r="W792" s="50"/>
      <c r="X792" s="50"/>
      <c r="Y792" s="50"/>
      <c r="Z792" s="50"/>
      <c r="AA792" s="50"/>
      <c r="AB792" s="50"/>
    </row>
    <row r="793" customFormat="false" ht="15.75" hidden="false" customHeight="false" outlineLevel="0" collapsed="false">
      <c r="A793" s="50"/>
      <c r="B793" s="50"/>
      <c r="C793" s="5"/>
      <c r="D793" s="48"/>
      <c r="E793" s="50"/>
      <c r="F793" s="5"/>
      <c r="G793" s="5"/>
      <c r="H793" s="5"/>
      <c r="I793" s="5"/>
      <c r="J793" s="5"/>
      <c r="K793" s="50"/>
      <c r="L793" s="50"/>
      <c r="M793" s="50"/>
      <c r="N793" s="50"/>
      <c r="O793" s="50"/>
      <c r="P793" s="50"/>
      <c r="Q793" s="50"/>
      <c r="R793" s="50"/>
      <c r="S793" s="50"/>
      <c r="T793" s="50"/>
      <c r="U793" s="50"/>
      <c r="V793" s="50"/>
      <c r="W793" s="50"/>
      <c r="X793" s="50"/>
      <c r="Y793" s="50"/>
      <c r="Z793" s="50"/>
      <c r="AA793" s="50"/>
      <c r="AB793" s="50"/>
    </row>
    <row r="794" customFormat="false" ht="15.75" hidden="false" customHeight="false" outlineLevel="0" collapsed="false">
      <c r="A794" s="50"/>
      <c r="B794" s="50"/>
      <c r="C794" s="5"/>
      <c r="D794" s="48"/>
      <c r="E794" s="50"/>
      <c r="F794" s="5"/>
      <c r="G794" s="5"/>
      <c r="H794" s="5"/>
      <c r="I794" s="5"/>
      <c r="J794" s="5"/>
      <c r="K794" s="50"/>
      <c r="L794" s="50"/>
      <c r="M794" s="50"/>
      <c r="N794" s="50"/>
      <c r="O794" s="50"/>
      <c r="P794" s="50"/>
      <c r="Q794" s="50"/>
      <c r="R794" s="50"/>
      <c r="S794" s="50"/>
      <c r="T794" s="50"/>
      <c r="U794" s="50"/>
      <c r="V794" s="50"/>
      <c r="W794" s="50"/>
      <c r="X794" s="50"/>
      <c r="Y794" s="50"/>
      <c r="Z794" s="50"/>
      <c r="AA794" s="50"/>
      <c r="AB794" s="50"/>
    </row>
    <row r="795" customFormat="false" ht="15.75" hidden="false" customHeight="false" outlineLevel="0" collapsed="false">
      <c r="A795" s="50"/>
      <c r="B795" s="50"/>
      <c r="C795" s="5"/>
      <c r="D795" s="48"/>
      <c r="E795" s="50"/>
      <c r="F795" s="5"/>
      <c r="G795" s="5"/>
      <c r="H795" s="5"/>
      <c r="I795" s="5"/>
      <c r="J795" s="5"/>
      <c r="K795" s="50"/>
      <c r="L795" s="50"/>
      <c r="M795" s="50"/>
      <c r="N795" s="50"/>
      <c r="O795" s="50"/>
      <c r="P795" s="50"/>
      <c r="Q795" s="50"/>
      <c r="R795" s="50"/>
      <c r="S795" s="50"/>
      <c r="T795" s="50"/>
      <c r="U795" s="50"/>
      <c r="V795" s="50"/>
      <c r="W795" s="50"/>
      <c r="X795" s="50"/>
      <c r="Y795" s="50"/>
      <c r="Z795" s="50"/>
      <c r="AA795" s="50"/>
      <c r="AB795" s="50"/>
    </row>
    <row r="796" customFormat="false" ht="15.75" hidden="false" customHeight="false" outlineLevel="0" collapsed="false">
      <c r="A796" s="50"/>
      <c r="B796" s="50"/>
      <c r="C796" s="5"/>
      <c r="D796" s="48"/>
      <c r="E796" s="50"/>
      <c r="F796" s="5"/>
      <c r="G796" s="5"/>
      <c r="H796" s="5"/>
      <c r="I796" s="5"/>
      <c r="J796" s="5"/>
      <c r="K796" s="50"/>
      <c r="L796" s="50"/>
      <c r="M796" s="50"/>
      <c r="N796" s="50"/>
      <c r="O796" s="50"/>
      <c r="P796" s="50"/>
      <c r="Q796" s="50"/>
      <c r="R796" s="50"/>
      <c r="S796" s="50"/>
      <c r="T796" s="50"/>
      <c r="U796" s="50"/>
      <c r="V796" s="50"/>
      <c r="W796" s="50"/>
      <c r="X796" s="50"/>
      <c r="Y796" s="50"/>
      <c r="Z796" s="50"/>
      <c r="AA796" s="50"/>
      <c r="AB796" s="50"/>
    </row>
    <row r="797" customFormat="false" ht="15.75" hidden="false" customHeight="false" outlineLevel="0" collapsed="false">
      <c r="A797" s="50"/>
      <c r="B797" s="50"/>
      <c r="C797" s="5"/>
      <c r="D797" s="48"/>
      <c r="E797" s="50"/>
      <c r="F797" s="5"/>
      <c r="G797" s="5"/>
      <c r="H797" s="5"/>
      <c r="I797" s="5"/>
      <c r="J797" s="5"/>
      <c r="K797" s="50"/>
      <c r="L797" s="50"/>
      <c r="M797" s="50"/>
      <c r="N797" s="50"/>
      <c r="O797" s="50"/>
      <c r="P797" s="50"/>
      <c r="Q797" s="50"/>
      <c r="R797" s="50"/>
      <c r="S797" s="50"/>
      <c r="T797" s="50"/>
      <c r="U797" s="50"/>
      <c r="V797" s="50"/>
      <c r="W797" s="50"/>
      <c r="X797" s="50"/>
      <c r="Y797" s="50"/>
      <c r="Z797" s="50"/>
      <c r="AA797" s="50"/>
      <c r="AB797" s="50"/>
    </row>
    <row r="798" customFormat="false" ht="15.75" hidden="false" customHeight="false" outlineLevel="0" collapsed="false">
      <c r="A798" s="50"/>
      <c r="B798" s="50"/>
      <c r="C798" s="5"/>
      <c r="D798" s="48"/>
      <c r="E798" s="50"/>
      <c r="F798" s="5"/>
      <c r="G798" s="5"/>
      <c r="H798" s="5"/>
      <c r="I798" s="5"/>
      <c r="J798" s="5"/>
      <c r="K798" s="50"/>
      <c r="L798" s="50"/>
      <c r="M798" s="50"/>
      <c r="N798" s="50"/>
      <c r="O798" s="50"/>
      <c r="P798" s="50"/>
      <c r="Q798" s="50"/>
      <c r="R798" s="50"/>
      <c r="S798" s="50"/>
      <c r="T798" s="50"/>
      <c r="U798" s="50"/>
      <c r="V798" s="50"/>
      <c r="W798" s="50"/>
      <c r="X798" s="50"/>
      <c r="Y798" s="50"/>
      <c r="Z798" s="50"/>
      <c r="AA798" s="50"/>
      <c r="AB798" s="50"/>
    </row>
    <row r="799" customFormat="false" ht="15.75" hidden="false" customHeight="false" outlineLevel="0" collapsed="false">
      <c r="A799" s="50"/>
      <c r="B799" s="50"/>
      <c r="C799" s="5"/>
      <c r="D799" s="48"/>
      <c r="E799" s="50"/>
      <c r="F799" s="5"/>
      <c r="G799" s="5"/>
      <c r="H799" s="5"/>
      <c r="I799" s="5"/>
      <c r="J799" s="5"/>
      <c r="K799" s="50"/>
      <c r="L799" s="50"/>
      <c r="M799" s="50"/>
      <c r="N799" s="50"/>
      <c r="O799" s="50"/>
      <c r="P799" s="50"/>
      <c r="Q799" s="50"/>
      <c r="R799" s="50"/>
      <c r="S799" s="50"/>
      <c r="T799" s="50"/>
      <c r="U799" s="50"/>
      <c r="V799" s="50"/>
      <c r="W799" s="50"/>
      <c r="X799" s="50"/>
      <c r="Y799" s="50"/>
      <c r="Z799" s="50"/>
      <c r="AA799" s="50"/>
      <c r="AB799" s="50"/>
    </row>
    <row r="800" customFormat="false" ht="15.75" hidden="false" customHeight="false" outlineLevel="0" collapsed="false">
      <c r="A800" s="50"/>
      <c r="B800" s="50"/>
      <c r="C800" s="5"/>
      <c r="D800" s="48"/>
      <c r="E800" s="50"/>
      <c r="F800" s="5"/>
      <c r="G800" s="5"/>
      <c r="H800" s="5"/>
      <c r="I800" s="5"/>
      <c r="J800" s="5"/>
      <c r="K800" s="50"/>
      <c r="L800" s="50"/>
      <c r="M800" s="50"/>
      <c r="N800" s="50"/>
      <c r="O800" s="50"/>
      <c r="P800" s="50"/>
      <c r="Q800" s="50"/>
      <c r="R800" s="50"/>
      <c r="S800" s="50"/>
      <c r="T800" s="50"/>
      <c r="U800" s="50"/>
      <c r="V800" s="50"/>
      <c r="W800" s="50"/>
      <c r="X800" s="50"/>
      <c r="Y800" s="50"/>
      <c r="Z800" s="50"/>
      <c r="AA800" s="50"/>
      <c r="AB800" s="50"/>
    </row>
    <row r="801" customFormat="false" ht="15.75" hidden="false" customHeight="false" outlineLevel="0" collapsed="false">
      <c r="A801" s="50"/>
      <c r="B801" s="50"/>
      <c r="C801" s="5"/>
      <c r="D801" s="48"/>
      <c r="E801" s="50"/>
      <c r="F801" s="5"/>
      <c r="G801" s="5"/>
      <c r="H801" s="5"/>
      <c r="I801" s="5"/>
      <c r="J801" s="5"/>
      <c r="K801" s="50"/>
      <c r="L801" s="50"/>
      <c r="M801" s="50"/>
      <c r="N801" s="50"/>
      <c r="O801" s="50"/>
      <c r="P801" s="50"/>
      <c r="Q801" s="50"/>
      <c r="R801" s="50"/>
      <c r="S801" s="50"/>
      <c r="T801" s="50"/>
      <c r="U801" s="50"/>
      <c r="V801" s="50"/>
      <c r="W801" s="50"/>
      <c r="X801" s="50"/>
      <c r="Y801" s="50"/>
      <c r="Z801" s="50"/>
      <c r="AA801" s="50"/>
      <c r="AB801" s="50"/>
    </row>
    <row r="802" customFormat="false" ht="15.75" hidden="false" customHeight="false" outlineLevel="0" collapsed="false">
      <c r="A802" s="50"/>
      <c r="B802" s="50"/>
      <c r="C802" s="5"/>
      <c r="D802" s="48"/>
      <c r="E802" s="50"/>
      <c r="F802" s="5"/>
      <c r="G802" s="5"/>
      <c r="H802" s="5"/>
      <c r="I802" s="5"/>
      <c r="J802" s="5"/>
      <c r="K802" s="50"/>
      <c r="L802" s="50"/>
      <c r="M802" s="50"/>
      <c r="N802" s="50"/>
      <c r="O802" s="50"/>
      <c r="P802" s="50"/>
      <c r="Q802" s="50"/>
      <c r="R802" s="50"/>
      <c r="S802" s="50"/>
      <c r="T802" s="50"/>
      <c r="U802" s="50"/>
      <c r="V802" s="50"/>
      <c r="W802" s="50"/>
      <c r="X802" s="50"/>
      <c r="Y802" s="50"/>
      <c r="Z802" s="50"/>
      <c r="AA802" s="50"/>
      <c r="AB802" s="50"/>
    </row>
    <row r="803" customFormat="false" ht="15.75" hidden="false" customHeight="false" outlineLevel="0" collapsed="false">
      <c r="A803" s="50"/>
      <c r="B803" s="50"/>
      <c r="C803" s="5"/>
      <c r="D803" s="48"/>
      <c r="E803" s="50"/>
      <c r="F803" s="5"/>
      <c r="G803" s="5"/>
      <c r="H803" s="5"/>
      <c r="I803" s="5"/>
      <c r="J803" s="5"/>
      <c r="K803" s="50"/>
      <c r="L803" s="50"/>
      <c r="M803" s="50"/>
      <c r="N803" s="50"/>
      <c r="O803" s="50"/>
      <c r="P803" s="50"/>
      <c r="Q803" s="50"/>
      <c r="R803" s="50"/>
      <c r="S803" s="50"/>
      <c r="T803" s="50"/>
      <c r="U803" s="50"/>
      <c r="V803" s="50"/>
      <c r="W803" s="50"/>
      <c r="X803" s="50"/>
      <c r="Y803" s="50"/>
      <c r="Z803" s="50"/>
      <c r="AA803" s="50"/>
      <c r="AB803" s="50"/>
    </row>
    <row r="804" customFormat="false" ht="15.75" hidden="false" customHeight="false" outlineLevel="0" collapsed="false">
      <c r="A804" s="50"/>
      <c r="B804" s="50"/>
      <c r="C804" s="5"/>
      <c r="D804" s="48"/>
      <c r="E804" s="50"/>
      <c r="F804" s="5"/>
      <c r="G804" s="5"/>
      <c r="H804" s="5"/>
      <c r="I804" s="5"/>
      <c r="J804" s="5"/>
      <c r="K804" s="50"/>
      <c r="L804" s="50"/>
      <c r="M804" s="50"/>
      <c r="N804" s="50"/>
      <c r="O804" s="50"/>
      <c r="P804" s="50"/>
      <c r="Q804" s="50"/>
      <c r="R804" s="50"/>
      <c r="S804" s="50"/>
      <c r="T804" s="50"/>
      <c r="U804" s="50"/>
      <c r="V804" s="50"/>
      <c r="W804" s="50"/>
      <c r="X804" s="50"/>
      <c r="Y804" s="50"/>
      <c r="Z804" s="50"/>
      <c r="AA804" s="50"/>
      <c r="AB804" s="50"/>
    </row>
    <row r="805" customFormat="false" ht="15.75" hidden="false" customHeight="false" outlineLevel="0" collapsed="false">
      <c r="A805" s="50"/>
      <c r="B805" s="50"/>
      <c r="C805" s="5"/>
      <c r="D805" s="48"/>
      <c r="E805" s="50"/>
      <c r="F805" s="5"/>
      <c r="G805" s="5"/>
      <c r="H805" s="5"/>
      <c r="I805" s="5"/>
      <c r="J805" s="5"/>
      <c r="K805" s="50"/>
      <c r="L805" s="50"/>
      <c r="M805" s="50"/>
      <c r="N805" s="50"/>
      <c r="O805" s="50"/>
      <c r="P805" s="50"/>
      <c r="Q805" s="50"/>
      <c r="R805" s="50"/>
      <c r="S805" s="50"/>
      <c r="T805" s="50"/>
      <c r="U805" s="50"/>
      <c r="V805" s="50"/>
      <c r="W805" s="50"/>
      <c r="X805" s="50"/>
      <c r="Y805" s="50"/>
      <c r="Z805" s="50"/>
      <c r="AA805" s="50"/>
      <c r="AB805" s="50"/>
    </row>
    <row r="806" customFormat="false" ht="15.75" hidden="false" customHeight="false" outlineLevel="0" collapsed="false">
      <c r="A806" s="50"/>
      <c r="B806" s="50"/>
      <c r="C806" s="5"/>
      <c r="D806" s="48"/>
      <c r="E806" s="50"/>
      <c r="F806" s="5"/>
      <c r="G806" s="5"/>
      <c r="H806" s="5"/>
      <c r="I806" s="5"/>
      <c r="J806" s="5"/>
      <c r="K806" s="50"/>
      <c r="L806" s="50"/>
      <c r="M806" s="50"/>
      <c r="N806" s="50"/>
      <c r="O806" s="50"/>
      <c r="P806" s="50"/>
      <c r="Q806" s="50"/>
      <c r="R806" s="50"/>
      <c r="S806" s="50"/>
      <c r="T806" s="50"/>
      <c r="U806" s="50"/>
      <c r="V806" s="50"/>
      <c r="W806" s="50"/>
      <c r="X806" s="50"/>
      <c r="Y806" s="50"/>
      <c r="Z806" s="50"/>
      <c r="AA806" s="50"/>
      <c r="AB806" s="50"/>
    </row>
    <row r="807" customFormat="false" ht="15.75" hidden="false" customHeight="false" outlineLevel="0" collapsed="false">
      <c r="A807" s="50"/>
      <c r="B807" s="50"/>
      <c r="C807" s="5"/>
      <c r="D807" s="48"/>
      <c r="E807" s="50"/>
      <c r="F807" s="5"/>
      <c r="G807" s="5"/>
      <c r="H807" s="5"/>
      <c r="I807" s="5"/>
      <c r="J807" s="5"/>
      <c r="K807" s="50"/>
      <c r="L807" s="50"/>
      <c r="M807" s="50"/>
      <c r="N807" s="50"/>
      <c r="O807" s="50"/>
      <c r="P807" s="50"/>
      <c r="Q807" s="50"/>
      <c r="R807" s="50"/>
      <c r="S807" s="50"/>
      <c r="T807" s="50"/>
      <c r="U807" s="50"/>
      <c r="V807" s="50"/>
      <c r="W807" s="50"/>
      <c r="X807" s="50"/>
      <c r="Y807" s="50"/>
      <c r="Z807" s="50"/>
      <c r="AA807" s="50"/>
      <c r="AB807" s="50"/>
    </row>
    <row r="808" customFormat="false" ht="15.75" hidden="false" customHeight="false" outlineLevel="0" collapsed="false">
      <c r="A808" s="50"/>
      <c r="B808" s="50"/>
      <c r="C808" s="5"/>
      <c r="D808" s="48"/>
      <c r="E808" s="50"/>
      <c r="F808" s="5"/>
      <c r="G808" s="5"/>
      <c r="H808" s="5"/>
      <c r="I808" s="5"/>
      <c r="J808" s="5"/>
      <c r="K808" s="50"/>
      <c r="L808" s="50"/>
      <c r="M808" s="50"/>
      <c r="N808" s="50"/>
      <c r="O808" s="50"/>
      <c r="P808" s="50"/>
      <c r="Q808" s="50"/>
      <c r="R808" s="50"/>
      <c r="S808" s="50"/>
      <c r="T808" s="50"/>
      <c r="U808" s="50"/>
      <c r="V808" s="50"/>
      <c r="W808" s="50"/>
      <c r="X808" s="50"/>
      <c r="Y808" s="50"/>
      <c r="Z808" s="50"/>
      <c r="AA808" s="50"/>
      <c r="AB808" s="50"/>
    </row>
    <row r="809" customFormat="false" ht="15.75" hidden="false" customHeight="false" outlineLevel="0" collapsed="false">
      <c r="A809" s="50"/>
      <c r="B809" s="50"/>
      <c r="C809" s="5"/>
      <c r="D809" s="48"/>
      <c r="E809" s="50"/>
      <c r="F809" s="5"/>
      <c r="G809" s="5"/>
      <c r="H809" s="5"/>
      <c r="I809" s="5"/>
      <c r="J809" s="5"/>
      <c r="K809" s="50"/>
      <c r="L809" s="50"/>
      <c r="M809" s="50"/>
      <c r="N809" s="50"/>
      <c r="O809" s="50"/>
      <c r="P809" s="50"/>
      <c r="Q809" s="50"/>
      <c r="R809" s="50"/>
      <c r="S809" s="50"/>
      <c r="T809" s="50"/>
      <c r="U809" s="50"/>
      <c r="V809" s="50"/>
      <c r="W809" s="50"/>
      <c r="X809" s="50"/>
      <c r="Y809" s="50"/>
      <c r="Z809" s="50"/>
      <c r="AA809" s="50"/>
      <c r="AB809" s="50"/>
    </row>
    <row r="810" customFormat="false" ht="15.75" hidden="false" customHeight="false" outlineLevel="0" collapsed="false">
      <c r="A810" s="50"/>
      <c r="B810" s="50"/>
      <c r="C810" s="5"/>
      <c r="D810" s="48"/>
      <c r="E810" s="50"/>
      <c r="F810" s="5"/>
      <c r="G810" s="5"/>
      <c r="H810" s="5"/>
      <c r="I810" s="5"/>
      <c r="J810" s="5"/>
      <c r="K810" s="50"/>
      <c r="L810" s="50"/>
      <c r="M810" s="50"/>
      <c r="N810" s="50"/>
      <c r="O810" s="50"/>
      <c r="P810" s="50"/>
      <c r="Q810" s="50"/>
      <c r="R810" s="50"/>
      <c r="S810" s="50"/>
      <c r="T810" s="50"/>
      <c r="U810" s="50"/>
      <c r="V810" s="50"/>
      <c r="W810" s="50"/>
      <c r="X810" s="50"/>
      <c r="Y810" s="50"/>
      <c r="Z810" s="50"/>
      <c r="AA810" s="50"/>
      <c r="AB810" s="50"/>
    </row>
    <row r="811" customFormat="false" ht="15.75" hidden="false" customHeight="false" outlineLevel="0" collapsed="false">
      <c r="A811" s="50"/>
      <c r="B811" s="50"/>
      <c r="C811" s="5"/>
      <c r="D811" s="48"/>
      <c r="E811" s="50"/>
      <c r="F811" s="5"/>
      <c r="G811" s="5"/>
      <c r="H811" s="5"/>
      <c r="I811" s="5"/>
      <c r="J811" s="5"/>
      <c r="K811" s="50"/>
      <c r="L811" s="50"/>
      <c r="M811" s="50"/>
      <c r="N811" s="50"/>
      <c r="O811" s="50"/>
      <c r="P811" s="50"/>
      <c r="Q811" s="50"/>
      <c r="R811" s="50"/>
      <c r="S811" s="50"/>
      <c r="T811" s="50"/>
      <c r="U811" s="50"/>
      <c r="V811" s="50"/>
      <c r="W811" s="50"/>
      <c r="X811" s="50"/>
      <c r="Y811" s="50"/>
      <c r="Z811" s="50"/>
      <c r="AA811" s="50"/>
      <c r="AB811" s="50"/>
    </row>
    <row r="812" customFormat="false" ht="15.75" hidden="false" customHeight="false" outlineLevel="0" collapsed="false">
      <c r="A812" s="50"/>
      <c r="B812" s="50"/>
      <c r="C812" s="5"/>
      <c r="D812" s="48"/>
      <c r="E812" s="50"/>
      <c r="F812" s="5"/>
      <c r="G812" s="5"/>
      <c r="H812" s="5"/>
      <c r="I812" s="5"/>
      <c r="J812" s="5"/>
      <c r="K812" s="50"/>
      <c r="L812" s="50"/>
      <c r="M812" s="50"/>
      <c r="N812" s="50"/>
      <c r="O812" s="50"/>
      <c r="P812" s="50"/>
      <c r="Q812" s="50"/>
      <c r="R812" s="50"/>
      <c r="S812" s="50"/>
      <c r="T812" s="50"/>
      <c r="U812" s="50"/>
      <c r="V812" s="50"/>
      <c r="W812" s="50"/>
      <c r="X812" s="50"/>
      <c r="Y812" s="50"/>
      <c r="Z812" s="50"/>
      <c r="AA812" s="50"/>
      <c r="AB812" s="50"/>
    </row>
    <row r="813" customFormat="false" ht="15.75" hidden="false" customHeight="false" outlineLevel="0" collapsed="false">
      <c r="A813" s="50"/>
      <c r="B813" s="50"/>
      <c r="C813" s="5"/>
      <c r="D813" s="48"/>
      <c r="E813" s="50"/>
      <c r="F813" s="5"/>
      <c r="G813" s="5"/>
      <c r="H813" s="5"/>
      <c r="I813" s="5"/>
      <c r="J813" s="5"/>
      <c r="K813" s="50"/>
      <c r="L813" s="50"/>
      <c r="M813" s="50"/>
      <c r="N813" s="50"/>
      <c r="O813" s="50"/>
      <c r="P813" s="50"/>
      <c r="Q813" s="50"/>
      <c r="R813" s="50"/>
      <c r="S813" s="50"/>
      <c r="T813" s="50"/>
      <c r="U813" s="50"/>
      <c r="V813" s="50"/>
      <c r="W813" s="50"/>
      <c r="X813" s="50"/>
      <c r="Y813" s="50"/>
      <c r="Z813" s="50"/>
      <c r="AA813" s="50"/>
      <c r="AB813" s="50"/>
    </row>
    <row r="814" customFormat="false" ht="15.75" hidden="false" customHeight="false" outlineLevel="0" collapsed="false">
      <c r="A814" s="50"/>
      <c r="B814" s="50"/>
      <c r="C814" s="5"/>
      <c r="D814" s="48"/>
      <c r="E814" s="50"/>
      <c r="F814" s="5"/>
      <c r="G814" s="5"/>
      <c r="H814" s="5"/>
      <c r="I814" s="5"/>
      <c r="J814" s="5"/>
      <c r="K814" s="50"/>
      <c r="L814" s="50"/>
      <c r="M814" s="50"/>
      <c r="N814" s="50"/>
      <c r="O814" s="50"/>
      <c r="P814" s="50"/>
      <c r="Q814" s="50"/>
      <c r="R814" s="50"/>
      <c r="S814" s="50"/>
      <c r="T814" s="50"/>
      <c r="U814" s="50"/>
      <c r="V814" s="50"/>
      <c r="W814" s="50"/>
      <c r="X814" s="50"/>
      <c r="Y814" s="50"/>
      <c r="Z814" s="50"/>
      <c r="AA814" s="50"/>
      <c r="AB814" s="50"/>
    </row>
    <row r="815" customFormat="false" ht="15.75" hidden="false" customHeight="false" outlineLevel="0" collapsed="false">
      <c r="A815" s="50"/>
      <c r="B815" s="50"/>
      <c r="C815" s="5"/>
      <c r="D815" s="48"/>
      <c r="E815" s="50"/>
      <c r="F815" s="5"/>
      <c r="G815" s="5"/>
      <c r="H815" s="5"/>
      <c r="I815" s="5"/>
      <c r="J815" s="5"/>
      <c r="K815" s="50"/>
      <c r="L815" s="50"/>
      <c r="M815" s="50"/>
      <c r="N815" s="50"/>
      <c r="O815" s="50"/>
      <c r="P815" s="50"/>
      <c r="Q815" s="50"/>
      <c r="R815" s="50"/>
      <c r="S815" s="50"/>
      <c r="T815" s="50"/>
      <c r="U815" s="50"/>
      <c r="V815" s="50"/>
      <c r="W815" s="50"/>
      <c r="X815" s="50"/>
      <c r="Y815" s="50"/>
      <c r="Z815" s="50"/>
      <c r="AA815" s="50"/>
      <c r="AB815" s="50"/>
    </row>
    <row r="816" customFormat="false" ht="15.75" hidden="false" customHeight="false" outlineLevel="0" collapsed="false">
      <c r="A816" s="50"/>
      <c r="B816" s="50"/>
      <c r="C816" s="5"/>
      <c r="D816" s="48"/>
      <c r="E816" s="50"/>
      <c r="F816" s="5"/>
      <c r="G816" s="5"/>
      <c r="H816" s="5"/>
      <c r="I816" s="5"/>
      <c r="J816" s="5"/>
      <c r="K816" s="50"/>
      <c r="L816" s="50"/>
      <c r="M816" s="50"/>
      <c r="N816" s="50"/>
      <c r="O816" s="50"/>
      <c r="P816" s="50"/>
      <c r="Q816" s="50"/>
      <c r="R816" s="50"/>
      <c r="S816" s="50"/>
      <c r="T816" s="50"/>
      <c r="U816" s="50"/>
      <c r="V816" s="50"/>
      <c r="W816" s="50"/>
      <c r="X816" s="50"/>
      <c r="Y816" s="50"/>
      <c r="Z816" s="50"/>
      <c r="AA816" s="50"/>
      <c r="AB816" s="50"/>
    </row>
    <row r="817" customFormat="false" ht="15.75" hidden="false" customHeight="false" outlineLevel="0" collapsed="false">
      <c r="A817" s="50"/>
      <c r="B817" s="50"/>
      <c r="C817" s="5"/>
      <c r="D817" s="48"/>
      <c r="E817" s="50"/>
      <c r="F817" s="5"/>
      <c r="G817" s="5"/>
      <c r="H817" s="5"/>
      <c r="I817" s="5"/>
      <c r="J817" s="5"/>
      <c r="K817" s="50"/>
      <c r="L817" s="50"/>
      <c r="M817" s="50"/>
      <c r="N817" s="50"/>
      <c r="O817" s="50"/>
      <c r="P817" s="50"/>
      <c r="Q817" s="50"/>
      <c r="R817" s="50"/>
      <c r="S817" s="50"/>
      <c r="T817" s="50"/>
      <c r="U817" s="50"/>
      <c r="V817" s="50"/>
      <c r="W817" s="50"/>
      <c r="X817" s="50"/>
      <c r="Y817" s="50"/>
      <c r="Z817" s="50"/>
      <c r="AA817" s="50"/>
      <c r="AB817" s="50"/>
    </row>
    <row r="818" customFormat="false" ht="15.75" hidden="false" customHeight="false" outlineLevel="0" collapsed="false">
      <c r="A818" s="50"/>
      <c r="B818" s="50"/>
      <c r="C818" s="5"/>
      <c r="D818" s="48"/>
      <c r="E818" s="50"/>
      <c r="F818" s="5"/>
      <c r="G818" s="5"/>
      <c r="H818" s="5"/>
      <c r="I818" s="5"/>
      <c r="J818" s="5"/>
      <c r="K818" s="50"/>
      <c r="L818" s="50"/>
      <c r="M818" s="50"/>
      <c r="N818" s="50"/>
      <c r="O818" s="50"/>
      <c r="P818" s="50"/>
      <c r="Q818" s="50"/>
      <c r="R818" s="50"/>
      <c r="S818" s="50"/>
      <c r="T818" s="50"/>
      <c r="U818" s="50"/>
      <c r="V818" s="50"/>
      <c r="W818" s="50"/>
      <c r="X818" s="50"/>
      <c r="Y818" s="50"/>
      <c r="Z818" s="50"/>
      <c r="AA818" s="50"/>
      <c r="AB818" s="50"/>
    </row>
    <row r="819" customFormat="false" ht="15.75" hidden="false" customHeight="false" outlineLevel="0" collapsed="false">
      <c r="A819" s="50"/>
      <c r="B819" s="50"/>
      <c r="C819" s="5"/>
      <c r="D819" s="48"/>
      <c r="E819" s="50"/>
      <c r="F819" s="5"/>
      <c r="G819" s="5"/>
      <c r="H819" s="5"/>
      <c r="I819" s="5"/>
      <c r="J819" s="5"/>
      <c r="K819" s="50"/>
      <c r="L819" s="50"/>
      <c r="M819" s="50"/>
      <c r="N819" s="50"/>
      <c r="O819" s="50"/>
      <c r="P819" s="50"/>
      <c r="Q819" s="50"/>
      <c r="R819" s="50"/>
      <c r="S819" s="50"/>
      <c r="T819" s="50"/>
      <c r="U819" s="50"/>
      <c r="V819" s="50"/>
      <c r="W819" s="50"/>
      <c r="X819" s="50"/>
      <c r="Y819" s="50"/>
      <c r="Z819" s="50"/>
      <c r="AA819" s="50"/>
      <c r="AB819" s="50"/>
    </row>
    <row r="820" customFormat="false" ht="15.75" hidden="false" customHeight="false" outlineLevel="0" collapsed="false">
      <c r="A820" s="50"/>
      <c r="B820" s="50"/>
      <c r="C820" s="5"/>
      <c r="D820" s="48"/>
      <c r="E820" s="50"/>
      <c r="F820" s="5"/>
      <c r="G820" s="5"/>
      <c r="H820" s="5"/>
      <c r="I820" s="5"/>
      <c r="J820" s="5"/>
      <c r="K820" s="50"/>
      <c r="L820" s="50"/>
      <c r="M820" s="50"/>
      <c r="N820" s="50"/>
      <c r="O820" s="50"/>
      <c r="P820" s="50"/>
      <c r="Q820" s="50"/>
      <c r="R820" s="50"/>
      <c r="S820" s="50"/>
      <c r="T820" s="50"/>
      <c r="U820" s="50"/>
      <c r="V820" s="50"/>
      <c r="W820" s="50"/>
      <c r="X820" s="50"/>
      <c r="Y820" s="50"/>
      <c r="Z820" s="50"/>
      <c r="AA820" s="50"/>
      <c r="AB820" s="50"/>
    </row>
    <row r="821" customFormat="false" ht="15.75" hidden="false" customHeight="false" outlineLevel="0" collapsed="false">
      <c r="A821" s="50"/>
      <c r="B821" s="50"/>
      <c r="C821" s="5"/>
      <c r="D821" s="48"/>
      <c r="E821" s="50"/>
      <c r="F821" s="5"/>
      <c r="G821" s="5"/>
      <c r="H821" s="5"/>
      <c r="I821" s="5"/>
      <c r="J821" s="5"/>
      <c r="K821" s="50"/>
      <c r="L821" s="50"/>
      <c r="M821" s="50"/>
      <c r="N821" s="50"/>
      <c r="O821" s="50"/>
      <c r="P821" s="50"/>
      <c r="Q821" s="50"/>
      <c r="R821" s="50"/>
      <c r="S821" s="50"/>
      <c r="T821" s="50"/>
      <c r="U821" s="50"/>
      <c r="V821" s="50"/>
      <c r="W821" s="50"/>
      <c r="X821" s="50"/>
      <c r="Y821" s="50"/>
      <c r="Z821" s="50"/>
      <c r="AA821" s="50"/>
      <c r="AB821" s="50"/>
    </row>
    <row r="822" customFormat="false" ht="15.75" hidden="false" customHeight="false" outlineLevel="0" collapsed="false">
      <c r="A822" s="50"/>
      <c r="B822" s="50"/>
      <c r="C822" s="5"/>
      <c r="D822" s="48"/>
      <c r="E822" s="50"/>
      <c r="F822" s="5"/>
      <c r="G822" s="5"/>
      <c r="H822" s="5"/>
      <c r="I822" s="5"/>
      <c r="J822" s="5"/>
      <c r="K822" s="50"/>
      <c r="L822" s="50"/>
      <c r="M822" s="50"/>
      <c r="N822" s="50"/>
      <c r="O822" s="50"/>
      <c r="P822" s="50"/>
      <c r="Q822" s="50"/>
      <c r="R822" s="50"/>
      <c r="S822" s="50"/>
      <c r="T822" s="50"/>
      <c r="U822" s="50"/>
      <c r="V822" s="50"/>
      <c r="W822" s="50"/>
      <c r="X822" s="50"/>
      <c r="Y822" s="50"/>
      <c r="Z822" s="50"/>
      <c r="AA822" s="50"/>
      <c r="AB822" s="50"/>
    </row>
    <row r="823" customFormat="false" ht="15.75" hidden="false" customHeight="false" outlineLevel="0" collapsed="false">
      <c r="A823" s="50"/>
      <c r="B823" s="50"/>
      <c r="C823" s="5"/>
      <c r="D823" s="48"/>
      <c r="E823" s="50"/>
      <c r="F823" s="5"/>
      <c r="G823" s="5"/>
      <c r="H823" s="5"/>
      <c r="I823" s="5"/>
      <c r="J823" s="5"/>
      <c r="K823" s="50"/>
      <c r="L823" s="50"/>
      <c r="M823" s="50"/>
      <c r="N823" s="50"/>
      <c r="O823" s="50"/>
      <c r="P823" s="50"/>
      <c r="Q823" s="50"/>
      <c r="R823" s="50"/>
      <c r="S823" s="50"/>
      <c r="T823" s="50"/>
      <c r="U823" s="50"/>
      <c r="V823" s="50"/>
      <c r="W823" s="50"/>
      <c r="X823" s="50"/>
      <c r="Y823" s="50"/>
      <c r="Z823" s="50"/>
      <c r="AA823" s="50"/>
      <c r="AB823" s="50"/>
    </row>
    <row r="824" customFormat="false" ht="15.75" hidden="false" customHeight="false" outlineLevel="0" collapsed="false">
      <c r="A824" s="50"/>
      <c r="B824" s="50"/>
      <c r="C824" s="5"/>
      <c r="D824" s="48"/>
      <c r="E824" s="50"/>
      <c r="F824" s="5"/>
      <c r="G824" s="5"/>
      <c r="H824" s="5"/>
      <c r="I824" s="5"/>
      <c r="J824" s="5"/>
      <c r="K824" s="50"/>
      <c r="L824" s="50"/>
      <c r="M824" s="50"/>
      <c r="N824" s="50"/>
      <c r="O824" s="50"/>
      <c r="P824" s="50"/>
      <c r="Q824" s="50"/>
      <c r="R824" s="50"/>
      <c r="S824" s="50"/>
      <c r="T824" s="50"/>
      <c r="U824" s="50"/>
      <c r="V824" s="50"/>
      <c r="W824" s="50"/>
      <c r="X824" s="50"/>
      <c r="Y824" s="50"/>
      <c r="Z824" s="50"/>
      <c r="AA824" s="50"/>
      <c r="AB824" s="50"/>
    </row>
    <row r="825" customFormat="false" ht="15.75" hidden="false" customHeight="false" outlineLevel="0" collapsed="false">
      <c r="A825" s="50"/>
      <c r="B825" s="50"/>
      <c r="C825" s="5"/>
      <c r="D825" s="48"/>
      <c r="E825" s="50"/>
      <c r="F825" s="5"/>
      <c r="G825" s="5"/>
      <c r="H825" s="5"/>
      <c r="I825" s="5"/>
      <c r="J825" s="5"/>
      <c r="K825" s="50"/>
      <c r="L825" s="50"/>
      <c r="M825" s="50"/>
      <c r="N825" s="50"/>
      <c r="O825" s="50"/>
      <c r="P825" s="50"/>
      <c r="Q825" s="50"/>
      <c r="R825" s="50"/>
      <c r="S825" s="50"/>
      <c r="T825" s="50"/>
      <c r="U825" s="50"/>
      <c r="V825" s="50"/>
      <c r="W825" s="50"/>
      <c r="X825" s="50"/>
      <c r="Y825" s="50"/>
      <c r="Z825" s="50"/>
      <c r="AA825" s="50"/>
      <c r="AB825" s="50"/>
    </row>
    <row r="826" customFormat="false" ht="15.75" hidden="false" customHeight="false" outlineLevel="0" collapsed="false">
      <c r="A826" s="50"/>
      <c r="B826" s="50"/>
      <c r="C826" s="5"/>
      <c r="D826" s="48"/>
      <c r="E826" s="50"/>
      <c r="F826" s="5"/>
      <c r="G826" s="5"/>
      <c r="H826" s="5"/>
      <c r="I826" s="5"/>
      <c r="J826" s="5"/>
      <c r="K826" s="50"/>
      <c r="L826" s="50"/>
      <c r="M826" s="50"/>
      <c r="N826" s="50"/>
      <c r="O826" s="50"/>
      <c r="P826" s="50"/>
      <c r="Q826" s="50"/>
      <c r="R826" s="50"/>
      <c r="S826" s="50"/>
      <c r="T826" s="50"/>
      <c r="U826" s="50"/>
      <c r="V826" s="50"/>
      <c r="W826" s="50"/>
      <c r="X826" s="50"/>
      <c r="Y826" s="50"/>
      <c r="Z826" s="50"/>
      <c r="AA826" s="50"/>
      <c r="AB826" s="50"/>
    </row>
    <row r="827" customFormat="false" ht="15.75" hidden="false" customHeight="false" outlineLevel="0" collapsed="false">
      <c r="A827" s="50"/>
      <c r="B827" s="50"/>
      <c r="C827" s="5"/>
      <c r="D827" s="48"/>
      <c r="E827" s="50"/>
      <c r="F827" s="5"/>
      <c r="G827" s="5"/>
      <c r="H827" s="5"/>
      <c r="I827" s="5"/>
      <c r="J827" s="5"/>
      <c r="K827" s="50"/>
      <c r="L827" s="50"/>
      <c r="M827" s="50"/>
      <c r="N827" s="50"/>
      <c r="O827" s="50"/>
      <c r="P827" s="50"/>
      <c r="Q827" s="50"/>
      <c r="R827" s="50"/>
      <c r="S827" s="50"/>
      <c r="T827" s="50"/>
      <c r="U827" s="50"/>
      <c r="V827" s="50"/>
      <c r="W827" s="50"/>
      <c r="X827" s="50"/>
      <c r="Y827" s="50"/>
      <c r="Z827" s="50"/>
      <c r="AA827" s="50"/>
      <c r="AB827" s="50"/>
    </row>
    <row r="828" customFormat="false" ht="15.75" hidden="false" customHeight="false" outlineLevel="0" collapsed="false">
      <c r="A828" s="50"/>
      <c r="B828" s="50"/>
      <c r="C828" s="5"/>
      <c r="D828" s="48"/>
      <c r="E828" s="50"/>
      <c r="F828" s="5"/>
      <c r="G828" s="5"/>
      <c r="H828" s="5"/>
      <c r="I828" s="5"/>
      <c r="J828" s="5"/>
      <c r="K828" s="50"/>
      <c r="L828" s="50"/>
      <c r="M828" s="50"/>
      <c r="N828" s="50"/>
      <c r="O828" s="50"/>
      <c r="P828" s="50"/>
      <c r="Q828" s="50"/>
      <c r="R828" s="50"/>
      <c r="S828" s="50"/>
      <c r="T828" s="50"/>
      <c r="U828" s="50"/>
      <c r="V828" s="50"/>
      <c r="W828" s="50"/>
      <c r="X828" s="50"/>
      <c r="Y828" s="50"/>
      <c r="Z828" s="50"/>
      <c r="AA828" s="50"/>
      <c r="AB828" s="50"/>
    </row>
    <row r="829" customFormat="false" ht="15.75" hidden="false" customHeight="false" outlineLevel="0" collapsed="false">
      <c r="A829" s="50"/>
      <c r="B829" s="50"/>
      <c r="C829" s="5"/>
      <c r="D829" s="48"/>
      <c r="E829" s="50"/>
      <c r="F829" s="5"/>
      <c r="G829" s="5"/>
      <c r="H829" s="5"/>
      <c r="I829" s="5"/>
      <c r="J829" s="5"/>
      <c r="K829" s="50"/>
      <c r="L829" s="50"/>
      <c r="M829" s="50"/>
      <c r="N829" s="50"/>
      <c r="O829" s="50"/>
      <c r="P829" s="50"/>
      <c r="Q829" s="50"/>
      <c r="R829" s="50"/>
      <c r="S829" s="50"/>
      <c r="T829" s="50"/>
      <c r="U829" s="50"/>
      <c r="V829" s="50"/>
      <c r="W829" s="50"/>
      <c r="X829" s="50"/>
      <c r="Y829" s="50"/>
      <c r="Z829" s="50"/>
      <c r="AA829" s="50"/>
      <c r="AB829" s="50"/>
    </row>
    <row r="830" customFormat="false" ht="15.75" hidden="false" customHeight="false" outlineLevel="0" collapsed="false">
      <c r="A830" s="50"/>
      <c r="B830" s="50"/>
      <c r="C830" s="5"/>
      <c r="D830" s="48"/>
      <c r="E830" s="50"/>
      <c r="F830" s="5"/>
      <c r="G830" s="5"/>
      <c r="H830" s="5"/>
      <c r="I830" s="5"/>
      <c r="J830" s="5"/>
      <c r="K830" s="50"/>
      <c r="L830" s="50"/>
      <c r="M830" s="50"/>
      <c r="N830" s="50"/>
      <c r="O830" s="50"/>
      <c r="P830" s="50"/>
      <c r="Q830" s="50"/>
      <c r="R830" s="50"/>
      <c r="S830" s="50"/>
      <c r="T830" s="50"/>
      <c r="U830" s="50"/>
      <c r="V830" s="50"/>
      <c r="W830" s="50"/>
      <c r="X830" s="50"/>
      <c r="Y830" s="50"/>
      <c r="Z830" s="50"/>
      <c r="AA830" s="50"/>
      <c r="AB830" s="50"/>
    </row>
    <row r="831" customFormat="false" ht="15.75" hidden="false" customHeight="false" outlineLevel="0" collapsed="false">
      <c r="A831" s="50"/>
      <c r="B831" s="50"/>
      <c r="C831" s="5"/>
      <c r="D831" s="48"/>
      <c r="E831" s="50"/>
      <c r="F831" s="5"/>
      <c r="G831" s="5"/>
      <c r="H831" s="5"/>
      <c r="I831" s="5"/>
      <c r="J831" s="5"/>
      <c r="K831" s="50"/>
      <c r="L831" s="50"/>
      <c r="M831" s="50"/>
      <c r="N831" s="50"/>
      <c r="O831" s="50"/>
      <c r="P831" s="50"/>
      <c r="Q831" s="50"/>
      <c r="R831" s="50"/>
      <c r="S831" s="50"/>
      <c r="T831" s="50"/>
      <c r="U831" s="50"/>
      <c r="V831" s="50"/>
      <c r="W831" s="50"/>
      <c r="X831" s="50"/>
      <c r="Y831" s="50"/>
      <c r="Z831" s="50"/>
      <c r="AA831" s="50"/>
      <c r="AB831" s="50"/>
    </row>
    <row r="832" customFormat="false" ht="15.75" hidden="false" customHeight="false" outlineLevel="0" collapsed="false">
      <c r="A832" s="50"/>
      <c r="B832" s="50"/>
      <c r="C832" s="5"/>
      <c r="D832" s="48"/>
      <c r="E832" s="50"/>
      <c r="F832" s="5"/>
      <c r="G832" s="5"/>
      <c r="H832" s="5"/>
      <c r="I832" s="5"/>
      <c r="J832" s="5"/>
      <c r="K832" s="50"/>
      <c r="L832" s="50"/>
      <c r="M832" s="50"/>
      <c r="N832" s="50"/>
      <c r="O832" s="50"/>
      <c r="P832" s="50"/>
      <c r="Q832" s="50"/>
      <c r="R832" s="50"/>
      <c r="S832" s="50"/>
      <c r="T832" s="50"/>
      <c r="U832" s="50"/>
      <c r="V832" s="50"/>
      <c r="W832" s="50"/>
      <c r="X832" s="50"/>
      <c r="Y832" s="50"/>
      <c r="Z832" s="50"/>
      <c r="AA832" s="50"/>
      <c r="AB832" s="50"/>
    </row>
    <row r="833" customFormat="false" ht="15.75" hidden="false" customHeight="false" outlineLevel="0" collapsed="false">
      <c r="A833" s="50"/>
      <c r="B833" s="50"/>
      <c r="C833" s="5"/>
      <c r="D833" s="48"/>
      <c r="E833" s="50"/>
      <c r="F833" s="5"/>
      <c r="G833" s="5"/>
      <c r="H833" s="5"/>
      <c r="I833" s="5"/>
      <c r="J833" s="5"/>
      <c r="K833" s="50"/>
      <c r="L833" s="50"/>
      <c r="M833" s="50"/>
      <c r="N833" s="50"/>
      <c r="O833" s="50"/>
      <c r="P833" s="50"/>
      <c r="Q833" s="50"/>
      <c r="R833" s="50"/>
      <c r="S833" s="50"/>
      <c r="T833" s="50"/>
      <c r="U833" s="50"/>
      <c r="V833" s="50"/>
      <c r="W833" s="50"/>
      <c r="X833" s="50"/>
      <c r="Y833" s="50"/>
      <c r="Z833" s="50"/>
      <c r="AA833" s="50"/>
      <c r="AB833" s="50"/>
    </row>
    <row r="834" customFormat="false" ht="15.75" hidden="false" customHeight="false" outlineLevel="0" collapsed="false">
      <c r="A834" s="50"/>
      <c r="B834" s="50"/>
      <c r="C834" s="5"/>
      <c r="D834" s="48"/>
      <c r="E834" s="50"/>
      <c r="F834" s="5"/>
      <c r="G834" s="5"/>
      <c r="H834" s="5"/>
      <c r="I834" s="5"/>
      <c r="J834" s="5"/>
      <c r="K834" s="50"/>
      <c r="L834" s="50"/>
      <c r="M834" s="50"/>
      <c r="N834" s="50"/>
      <c r="O834" s="50"/>
      <c r="P834" s="50"/>
      <c r="Q834" s="50"/>
      <c r="R834" s="50"/>
      <c r="S834" s="50"/>
      <c r="T834" s="50"/>
      <c r="U834" s="50"/>
      <c r="V834" s="50"/>
      <c r="W834" s="50"/>
      <c r="X834" s="50"/>
      <c r="Y834" s="50"/>
      <c r="Z834" s="50"/>
      <c r="AA834" s="50"/>
      <c r="AB834" s="50"/>
    </row>
    <row r="835" customFormat="false" ht="15.75" hidden="false" customHeight="false" outlineLevel="0" collapsed="false">
      <c r="A835" s="50"/>
      <c r="B835" s="50"/>
      <c r="C835" s="5"/>
      <c r="D835" s="48"/>
      <c r="E835" s="50"/>
      <c r="F835" s="5"/>
      <c r="G835" s="5"/>
      <c r="H835" s="5"/>
      <c r="I835" s="5"/>
      <c r="J835" s="5"/>
      <c r="K835" s="50"/>
      <c r="L835" s="50"/>
      <c r="M835" s="50"/>
      <c r="N835" s="50"/>
      <c r="O835" s="50"/>
      <c r="P835" s="50"/>
      <c r="Q835" s="50"/>
      <c r="R835" s="50"/>
      <c r="S835" s="50"/>
      <c r="T835" s="50"/>
      <c r="U835" s="50"/>
      <c r="V835" s="50"/>
      <c r="W835" s="50"/>
      <c r="X835" s="50"/>
      <c r="Y835" s="50"/>
      <c r="Z835" s="50"/>
      <c r="AA835" s="50"/>
      <c r="AB835" s="50"/>
    </row>
    <row r="836" customFormat="false" ht="15.75" hidden="false" customHeight="false" outlineLevel="0" collapsed="false">
      <c r="A836" s="50"/>
      <c r="B836" s="50"/>
      <c r="C836" s="5"/>
      <c r="D836" s="48"/>
      <c r="E836" s="50"/>
      <c r="F836" s="5"/>
      <c r="G836" s="5"/>
      <c r="H836" s="5"/>
      <c r="I836" s="5"/>
      <c r="J836" s="5"/>
      <c r="K836" s="50"/>
      <c r="L836" s="50"/>
      <c r="M836" s="50"/>
      <c r="N836" s="50"/>
      <c r="O836" s="50"/>
      <c r="P836" s="50"/>
      <c r="Q836" s="50"/>
      <c r="R836" s="50"/>
      <c r="S836" s="50"/>
      <c r="T836" s="50"/>
      <c r="U836" s="50"/>
      <c r="V836" s="50"/>
      <c r="W836" s="50"/>
      <c r="X836" s="50"/>
      <c r="Y836" s="50"/>
      <c r="Z836" s="50"/>
      <c r="AA836" s="50"/>
      <c r="AB836" s="50"/>
    </row>
    <row r="837" customFormat="false" ht="15.75" hidden="false" customHeight="false" outlineLevel="0" collapsed="false">
      <c r="A837" s="50"/>
      <c r="B837" s="50"/>
      <c r="C837" s="5"/>
      <c r="D837" s="48"/>
      <c r="E837" s="50"/>
      <c r="F837" s="5"/>
      <c r="G837" s="5"/>
      <c r="H837" s="5"/>
      <c r="I837" s="5"/>
      <c r="J837" s="5"/>
      <c r="K837" s="50"/>
      <c r="L837" s="50"/>
      <c r="M837" s="50"/>
      <c r="N837" s="50"/>
      <c r="O837" s="50"/>
      <c r="P837" s="50"/>
      <c r="Q837" s="50"/>
      <c r="R837" s="50"/>
      <c r="S837" s="50"/>
      <c r="T837" s="50"/>
      <c r="U837" s="50"/>
      <c r="V837" s="50"/>
      <c r="W837" s="50"/>
      <c r="X837" s="50"/>
      <c r="Y837" s="50"/>
      <c r="Z837" s="50"/>
      <c r="AA837" s="50"/>
      <c r="AB837" s="50"/>
    </row>
    <row r="838" customFormat="false" ht="15.75" hidden="false" customHeight="false" outlineLevel="0" collapsed="false">
      <c r="A838" s="50"/>
      <c r="B838" s="50"/>
      <c r="C838" s="5"/>
      <c r="D838" s="48"/>
      <c r="E838" s="50"/>
      <c r="F838" s="5"/>
      <c r="G838" s="5"/>
      <c r="H838" s="5"/>
      <c r="I838" s="5"/>
      <c r="J838" s="5"/>
      <c r="K838" s="50"/>
      <c r="L838" s="50"/>
      <c r="M838" s="50"/>
      <c r="N838" s="50"/>
      <c r="O838" s="50"/>
      <c r="P838" s="50"/>
      <c r="Q838" s="50"/>
      <c r="R838" s="50"/>
      <c r="S838" s="50"/>
      <c r="T838" s="50"/>
      <c r="U838" s="50"/>
      <c r="V838" s="50"/>
      <c r="W838" s="50"/>
      <c r="X838" s="50"/>
      <c r="Y838" s="50"/>
      <c r="Z838" s="50"/>
      <c r="AA838" s="50"/>
      <c r="AB838" s="50"/>
    </row>
    <row r="839" customFormat="false" ht="15.75" hidden="false" customHeight="false" outlineLevel="0" collapsed="false">
      <c r="A839" s="50"/>
      <c r="B839" s="50"/>
      <c r="C839" s="5"/>
      <c r="D839" s="48"/>
      <c r="E839" s="50"/>
      <c r="F839" s="5"/>
      <c r="G839" s="5"/>
      <c r="H839" s="5"/>
      <c r="I839" s="5"/>
      <c r="J839" s="5"/>
      <c r="K839" s="50"/>
      <c r="L839" s="50"/>
      <c r="M839" s="50"/>
      <c r="N839" s="50"/>
      <c r="O839" s="50"/>
      <c r="P839" s="50"/>
      <c r="Q839" s="50"/>
      <c r="R839" s="50"/>
      <c r="S839" s="50"/>
      <c r="T839" s="50"/>
      <c r="U839" s="50"/>
      <c r="V839" s="50"/>
      <c r="W839" s="50"/>
      <c r="X839" s="50"/>
      <c r="Y839" s="50"/>
      <c r="Z839" s="50"/>
      <c r="AA839" s="50"/>
      <c r="AB839" s="50"/>
    </row>
    <row r="840" customFormat="false" ht="15.75" hidden="false" customHeight="false" outlineLevel="0" collapsed="false">
      <c r="A840" s="50"/>
      <c r="B840" s="50"/>
      <c r="C840" s="5"/>
      <c r="D840" s="48"/>
      <c r="E840" s="50"/>
      <c r="F840" s="5"/>
      <c r="G840" s="5"/>
      <c r="H840" s="5"/>
      <c r="I840" s="5"/>
      <c r="J840" s="5"/>
      <c r="K840" s="50"/>
      <c r="L840" s="50"/>
      <c r="M840" s="50"/>
      <c r="N840" s="50"/>
      <c r="O840" s="50"/>
      <c r="P840" s="50"/>
      <c r="Q840" s="50"/>
      <c r="R840" s="50"/>
      <c r="S840" s="50"/>
      <c r="T840" s="50"/>
      <c r="U840" s="50"/>
      <c r="V840" s="50"/>
      <c r="W840" s="50"/>
      <c r="X840" s="50"/>
      <c r="Y840" s="50"/>
      <c r="Z840" s="50"/>
      <c r="AA840" s="50"/>
      <c r="AB840" s="50"/>
    </row>
    <row r="841" customFormat="false" ht="15.75" hidden="false" customHeight="false" outlineLevel="0" collapsed="false">
      <c r="A841" s="50"/>
      <c r="B841" s="50"/>
      <c r="C841" s="5"/>
      <c r="D841" s="48"/>
      <c r="E841" s="50"/>
      <c r="F841" s="5"/>
      <c r="G841" s="5"/>
      <c r="H841" s="5"/>
      <c r="I841" s="5"/>
      <c r="J841" s="5"/>
      <c r="K841" s="50"/>
      <c r="L841" s="50"/>
      <c r="M841" s="50"/>
      <c r="N841" s="50"/>
      <c r="O841" s="50"/>
      <c r="P841" s="50"/>
      <c r="Q841" s="50"/>
      <c r="R841" s="50"/>
      <c r="S841" s="50"/>
      <c r="T841" s="50"/>
      <c r="U841" s="50"/>
      <c r="V841" s="50"/>
      <c r="W841" s="50"/>
      <c r="X841" s="50"/>
      <c r="Y841" s="50"/>
      <c r="Z841" s="50"/>
      <c r="AA841" s="50"/>
      <c r="AB841" s="50"/>
    </row>
    <row r="842" customFormat="false" ht="15.75" hidden="false" customHeight="false" outlineLevel="0" collapsed="false">
      <c r="A842" s="50"/>
      <c r="B842" s="50"/>
      <c r="C842" s="5"/>
      <c r="D842" s="48"/>
      <c r="E842" s="50"/>
      <c r="F842" s="5"/>
      <c r="G842" s="5"/>
      <c r="H842" s="5"/>
      <c r="I842" s="5"/>
      <c r="J842" s="5"/>
      <c r="K842" s="50"/>
      <c r="L842" s="50"/>
      <c r="M842" s="50"/>
      <c r="N842" s="50"/>
      <c r="O842" s="50"/>
      <c r="P842" s="50"/>
      <c r="Q842" s="50"/>
      <c r="R842" s="50"/>
      <c r="S842" s="50"/>
      <c r="T842" s="50"/>
      <c r="U842" s="50"/>
      <c r="V842" s="50"/>
      <c r="W842" s="50"/>
      <c r="X842" s="50"/>
      <c r="Y842" s="50"/>
      <c r="Z842" s="50"/>
      <c r="AA842" s="50"/>
      <c r="AB842" s="50"/>
    </row>
    <row r="843" customFormat="false" ht="15.75" hidden="false" customHeight="false" outlineLevel="0" collapsed="false">
      <c r="A843" s="50"/>
      <c r="B843" s="50"/>
      <c r="C843" s="5"/>
      <c r="D843" s="48"/>
      <c r="E843" s="50"/>
      <c r="F843" s="5"/>
      <c r="G843" s="5"/>
      <c r="H843" s="5"/>
      <c r="I843" s="5"/>
      <c r="J843" s="5"/>
      <c r="K843" s="50"/>
      <c r="L843" s="50"/>
      <c r="M843" s="50"/>
      <c r="N843" s="50"/>
      <c r="O843" s="50"/>
      <c r="P843" s="50"/>
      <c r="Q843" s="50"/>
      <c r="R843" s="50"/>
      <c r="S843" s="50"/>
      <c r="T843" s="50"/>
      <c r="U843" s="50"/>
      <c r="V843" s="50"/>
      <c r="W843" s="50"/>
      <c r="X843" s="50"/>
      <c r="Y843" s="50"/>
      <c r="Z843" s="50"/>
      <c r="AA843" s="50"/>
      <c r="AB843" s="50"/>
    </row>
    <row r="844" customFormat="false" ht="15.75" hidden="false" customHeight="false" outlineLevel="0" collapsed="false">
      <c r="A844" s="50"/>
      <c r="B844" s="50"/>
      <c r="C844" s="5"/>
      <c r="D844" s="48"/>
      <c r="E844" s="50"/>
      <c r="F844" s="5"/>
      <c r="G844" s="5"/>
      <c r="H844" s="5"/>
      <c r="I844" s="5"/>
      <c r="J844" s="5"/>
      <c r="K844" s="50"/>
      <c r="L844" s="50"/>
      <c r="M844" s="50"/>
      <c r="N844" s="50"/>
      <c r="O844" s="50"/>
      <c r="P844" s="50"/>
      <c r="Q844" s="50"/>
      <c r="R844" s="50"/>
      <c r="S844" s="50"/>
      <c r="T844" s="50"/>
      <c r="U844" s="50"/>
      <c r="V844" s="50"/>
      <c r="W844" s="50"/>
      <c r="X844" s="50"/>
      <c r="Y844" s="50"/>
      <c r="Z844" s="50"/>
      <c r="AA844" s="50"/>
      <c r="AB844" s="50"/>
    </row>
    <row r="845" customFormat="false" ht="15.75" hidden="false" customHeight="false" outlineLevel="0" collapsed="false">
      <c r="A845" s="50"/>
      <c r="B845" s="50"/>
      <c r="C845" s="5"/>
      <c r="D845" s="48"/>
      <c r="E845" s="50"/>
      <c r="F845" s="5"/>
      <c r="G845" s="5"/>
      <c r="H845" s="5"/>
      <c r="I845" s="5"/>
      <c r="J845" s="5"/>
      <c r="K845" s="50"/>
      <c r="L845" s="50"/>
      <c r="M845" s="50"/>
      <c r="N845" s="50"/>
      <c r="O845" s="50"/>
      <c r="P845" s="50"/>
      <c r="Q845" s="50"/>
      <c r="R845" s="50"/>
      <c r="S845" s="50"/>
      <c r="T845" s="50"/>
      <c r="U845" s="50"/>
      <c r="V845" s="50"/>
      <c r="W845" s="50"/>
      <c r="X845" s="50"/>
      <c r="Y845" s="50"/>
      <c r="Z845" s="50"/>
      <c r="AA845" s="50"/>
      <c r="AB845" s="50"/>
    </row>
    <row r="846" customFormat="false" ht="15.75" hidden="false" customHeight="false" outlineLevel="0" collapsed="false">
      <c r="A846" s="50"/>
      <c r="B846" s="50"/>
      <c r="C846" s="5"/>
      <c r="D846" s="48"/>
      <c r="E846" s="50"/>
      <c r="F846" s="5"/>
      <c r="G846" s="5"/>
      <c r="H846" s="5"/>
      <c r="I846" s="5"/>
      <c r="J846" s="5"/>
      <c r="K846" s="50"/>
      <c r="L846" s="50"/>
      <c r="M846" s="50"/>
      <c r="N846" s="50"/>
      <c r="O846" s="50"/>
      <c r="P846" s="50"/>
      <c r="Q846" s="50"/>
      <c r="R846" s="50"/>
      <c r="S846" s="50"/>
      <c r="T846" s="50"/>
      <c r="U846" s="50"/>
      <c r="V846" s="50"/>
      <c r="W846" s="50"/>
      <c r="X846" s="50"/>
      <c r="Y846" s="50"/>
      <c r="Z846" s="50"/>
      <c r="AA846" s="50"/>
      <c r="AB846" s="50"/>
    </row>
    <row r="847" customFormat="false" ht="15.75" hidden="false" customHeight="false" outlineLevel="0" collapsed="false">
      <c r="A847" s="50"/>
      <c r="B847" s="50"/>
      <c r="C847" s="5"/>
      <c r="D847" s="48"/>
      <c r="E847" s="50"/>
      <c r="F847" s="5"/>
      <c r="G847" s="5"/>
      <c r="H847" s="5"/>
      <c r="I847" s="5"/>
      <c r="J847" s="5"/>
      <c r="K847" s="50"/>
      <c r="L847" s="50"/>
      <c r="M847" s="50"/>
      <c r="N847" s="50"/>
      <c r="O847" s="50"/>
      <c r="P847" s="50"/>
      <c r="Q847" s="50"/>
      <c r="R847" s="50"/>
      <c r="S847" s="50"/>
      <c r="T847" s="50"/>
      <c r="U847" s="50"/>
      <c r="V847" s="50"/>
      <c r="W847" s="50"/>
      <c r="X847" s="50"/>
      <c r="Y847" s="50"/>
      <c r="Z847" s="50"/>
      <c r="AA847" s="50"/>
      <c r="AB847" s="50"/>
    </row>
    <row r="848" customFormat="false" ht="15.75" hidden="false" customHeight="false" outlineLevel="0" collapsed="false">
      <c r="A848" s="50"/>
      <c r="B848" s="50"/>
      <c r="C848" s="5"/>
      <c r="D848" s="48"/>
      <c r="E848" s="50"/>
      <c r="F848" s="5"/>
      <c r="G848" s="5"/>
      <c r="H848" s="5"/>
      <c r="I848" s="5"/>
      <c r="J848" s="5"/>
      <c r="K848" s="50"/>
      <c r="L848" s="50"/>
      <c r="M848" s="50"/>
      <c r="N848" s="50"/>
      <c r="O848" s="50"/>
      <c r="P848" s="50"/>
      <c r="Q848" s="50"/>
      <c r="R848" s="50"/>
      <c r="S848" s="50"/>
      <c r="T848" s="50"/>
      <c r="U848" s="50"/>
      <c r="V848" s="50"/>
      <c r="W848" s="50"/>
      <c r="X848" s="50"/>
      <c r="Y848" s="50"/>
      <c r="Z848" s="50"/>
      <c r="AA848" s="50"/>
      <c r="AB848" s="50"/>
    </row>
    <row r="849" customFormat="false" ht="15.75" hidden="false" customHeight="false" outlineLevel="0" collapsed="false">
      <c r="A849" s="50"/>
      <c r="B849" s="50"/>
      <c r="C849" s="5"/>
      <c r="D849" s="48"/>
      <c r="E849" s="50"/>
      <c r="F849" s="5"/>
      <c r="G849" s="5"/>
      <c r="H849" s="5"/>
      <c r="I849" s="5"/>
      <c r="J849" s="5"/>
      <c r="K849" s="50"/>
      <c r="L849" s="50"/>
      <c r="M849" s="50"/>
      <c r="N849" s="50"/>
      <c r="O849" s="50"/>
      <c r="P849" s="50"/>
      <c r="Q849" s="50"/>
      <c r="R849" s="50"/>
      <c r="S849" s="50"/>
      <c r="T849" s="50"/>
      <c r="U849" s="50"/>
      <c r="V849" s="50"/>
      <c r="W849" s="50"/>
      <c r="X849" s="50"/>
      <c r="Y849" s="50"/>
      <c r="Z849" s="50"/>
      <c r="AA849" s="50"/>
      <c r="AB849" s="50"/>
    </row>
    <row r="850" customFormat="false" ht="15.75" hidden="false" customHeight="false" outlineLevel="0" collapsed="false">
      <c r="A850" s="50"/>
      <c r="B850" s="50"/>
      <c r="C850" s="5"/>
      <c r="D850" s="48"/>
      <c r="E850" s="50"/>
      <c r="F850" s="5"/>
      <c r="G850" s="5"/>
      <c r="H850" s="5"/>
      <c r="I850" s="5"/>
      <c r="J850" s="5"/>
      <c r="K850" s="50"/>
      <c r="L850" s="50"/>
      <c r="M850" s="50"/>
      <c r="N850" s="50"/>
      <c r="O850" s="50"/>
      <c r="P850" s="50"/>
      <c r="Q850" s="50"/>
      <c r="R850" s="50"/>
      <c r="S850" s="50"/>
      <c r="T850" s="50"/>
      <c r="U850" s="50"/>
      <c r="V850" s="50"/>
      <c r="W850" s="50"/>
      <c r="X850" s="50"/>
      <c r="Y850" s="50"/>
      <c r="Z850" s="50"/>
      <c r="AA850" s="50"/>
      <c r="AB850" s="50"/>
    </row>
    <row r="851" customFormat="false" ht="15.75" hidden="false" customHeight="false" outlineLevel="0" collapsed="false">
      <c r="A851" s="50"/>
      <c r="B851" s="50"/>
      <c r="C851" s="5"/>
      <c r="D851" s="48"/>
      <c r="E851" s="50"/>
      <c r="F851" s="5"/>
      <c r="G851" s="5"/>
      <c r="H851" s="5"/>
      <c r="I851" s="5"/>
      <c r="J851" s="5"/>
      <c r="K851" s="50"/>
      <c r="L851" s="50"/>
      <c r="M851" s="50"/>
      <c r="N851" s="50"/>
      <c r="O851" s="50"/>
      <c r="P851" s="50"/>
      <c r="Q851" s="50"/>
      <c r="R851" s="50"/>
      <c r="S851" s="50"/>
      <c r="T851" s="50"/>
      <c r="U851" s="50"/>
      <c r="V851" s="50"/>
      <c r="W851" s="50"/>
      <c r="X851" s="50"/>
      <c r="Y851" s="50"/>
      <c r="Z851" s="50"/>
      <c r="AA851" s="50"/>
      <c r="AB851" s="50"/>
    </row>
    <row r="852" customFormat="false" ht="15.75" hidden="false" customHeight="false" outlineLevel="0" collapsed="false">
      <c r="A852" s="50"/>
      <c r="B852" s="50"/>
      <c r="C852" s="5"/>
      <c r="D852" s="48"/>
      <c r="E852" s="50"/>
      <c r="F852" s="5"/>
      <c r="G852" s="5"/>
      <c r="H852" s="5"/>
      <c r="I852" s="5"/>
      <c r="J852" s="5"/>
      <c r="K852" s="50"/>
      <c r="L852" s="50"/>
      <c r="M852" s="50"/>
      <c r="N852" s="50"/>
      <c r="O852" s="50"/>
      <c r="P852" s="50"/>
      <c r="Q852" s="50"/>
      <c r="R852" s="50"/>
      <c r="S852" s="50"/>
      <c r="T852" s="50"/>
      <c r="U852" s="50"/>
      <c r="V852" s="50"/>
      <c r="W852" s="50"/>
      <c r="X852" s="50"/>
      <c r="Y852" s="50"/>
      <c r="Z852" s="50"/>
      <c r="AA852" s="50"/>
      <c r="AB852" s="50"/>
    </row>
    <row r="853" customFormat="false" ht="15.75" hidden="false" customHeight="false" outlineLevel="0" collapsed="false">
      <c r="A853" s="50"/>
      <c r="B853" s="50"/>
      <c r="C853" s="5"/>
      <c r="D853" s="48"/>
      <c r="E853" s="50"/>
      <c r="F853" s="5"/>
      <c r="G853" s="5"/>
      <c r="H853" s="5"/>
      <c r="I853" s="5"/>
      <c r="J853" s="5"/>
      <c r="K853" s="50"/>
      <c r="L853" s="50"/>
      <c r="M853" s="50"/>
      <c r="N853" s="50"/>
      <c r="O853" s="50"/>
      <c r="P853" s="50"/>
      <c r="Q853" s="50"/>
      <c r="R853" s="50"/>
      <c r="S853" s="50"/>
      <c r="T853" s="50"/>
      <c r="U853" s="50"/>
      <c r="V853" s="50"/>
      <c r="W853" s="50"/>
      <c r="X853" s="50"/>
      <c r="Y853" s="50"/>
      <c r="Z853" s="50"/>
      <c r="AA853" s="50"/>
      <c r="AB853" s="50"/>
    </row>
    <row r="854" customFormat="false" ht="15.75" hidden="false" customHeight="false" outlineLevel="0" collapsed="false">
      <c r="A854" s="50"/>
      <c r="B854" s="50"/>
      <c r="C854" s="5"/>
      <c r="D854" s="48"/>
      <c r="E854" s="50"/>
      <c r="F854" s="5"/>
      <c r="G854" s="5"/>
      <c r="H854" s="5"/>
      <c r="I854" s="5"/>
      <c r="J854" s="5"/>
      <c r="K854" s="50"/>
      <c r="L854" s="50"/>
      <c r="M854" s="50"/>
      <c r="N854" s="50"/>
      <c r="O854" s="50"/>
      <c r="P854" s="50"/>
      <c r="Q854" s="50"/>
      <c r="R854" s="50"/>
      <c r="S854" s="50"/>
      <c r="T854" s="50"/>
      <c r="U854" s="50"/>
      <c r="V854" s="50"/>
      <c r="W854" s="50"/>
      <c r="X854" s="50"/>
      <c r="Y854" s="50"/>
      <c r="Z854" s="50"/>
      <c r="AA854" s="50"/>
      <c r="AB854" s="50"/>
    </row>
    <row r="855" customFormat="false" ht="15.75" hidden="false" customHeight="false" outlineLevel="0" collapsed="false">
      <c r="A855" s="50"/>
      <c r="B855" s="50"/>
      <c r="C855" s="5"/>
      <c r="D855" s="48"/>
      <c r="E855" s="50"/>
      <c r="F855" s="5"/>
      <c r="G855" s="5"/>
      <c r="H855" s="5"/>
      <c r="I855" s="5"/>
      <c r="J855" s="5"/>
      <c r="K855" s="50"/>
      <c r="L855" s="50"/>
      <c r="M855" s="50"/>
      <c r="N855" s="50"/>
      <c r="O855" s="50"/>
      <c r="P855" s="50"/>
      <c r="Q855" s="50"/>
      <c r="R855" s="50"/>
      <c r="S855" s="50"/>
      <c r="T855" s="50"/>
      <c r="U855" s="50"/>
      <c r="V855" s="50"/>
      <c r="W855" s="50"/>
      <c r="X855" s="50"/>
      <c r="Y855" s="50"/>
      <c r="Z855" s="50"/>
      <c r="AA855" s="50"/>
      <c r="AB855" s="50"/>
    </row>
    <row r="856" customFormat="false" ht="15.75" hidden="false" customHeight="false" outlineLevel="0" collapsed="false">
      <c r="A856" s="50"/>
      <c r="B856" s="50"/>
      <c r="C856" s="5"/>
      <c r="D856" s="48"/>
      <c r="E856" s="50"/>
      <c r="F856" s="5"/>
      <c r="G856" s="5"/>
      <c r="H856" s="5"/>
      <c r="I856" s="5"/>
      <c r="J856" s="5"/>
      <c r="K856" s="50"/>
      <c r="L856" s="50"/>
      <c r="M856" s="50"/>
      <c r="N856" s="50"/>
      <c r="O856" s="50"/>
      <c r="P856" s="50"/>
      <c r="Q856" s="50"/>
      <c r="R856" s="50"/>
      <c r="S856" s="50"/>
      <c r="T856" s="50"/>
      <c r="U856" s="50"/>
      <c r="V856" s="50"/>
      <c r="W856" s="50"/>
      <c r="X856" s="50"/>
      <c r="Y856" s="50"/>
      <c r="Z856" s="50"/>
      <c r="AA856" s="50"/>
      <c r="AB856" s="50"/>
    </row>
    <row r="857" customFormat="false" ht="15.75" hidden="false" customHeight="false" outlineLevel="0" collapsed="false">
      <c r="A857" s="50"/>
      <c r="B857" s="50"/>
      <c r="C857" s="5"/>
      <c r="D857" s="48"/>
      <c r="E857" s="50"/>
      <c r="F857" s="5"/>
      <c r="G857" s="5"/>
      <c r="H857" s="5"/>
      <c r="I857" s="5"/>
      <c r="J857" s="5"/>
      <c r="K857" s="50"/>
      <c r="L857" s="50"/>
      <c r="M857" s="50"/>
      <c r="N857" s="50"/>
      <c r="O857" s="50"/>
      <c r="P857" s="50"/>
      <c r="Q857" s="50"/>
      <c r="R857" s="50"/>
      <c r="S857" s="50"/>
      <c r="T857" s="50"/>
      <c r="U857" s="50"/>
      <c r="V857" s="50"/>
      <c r="W857" s="50"/>
      <c r="X857" s="50"/>
      <c r="Y857" s="50"/>
      <c r="Z857" s="50"/>
      <c r="AA857" s="50"/>
      <c r="AB857" s="50"/>
    </row>
    <row r="858" customFormat="false" ht="15.75" hidden="false" customHeight="false" outlineLevel="0" collapsed="false">
      <c r="A858" s="50"/>
      <c r="B858" s="50"/>
      <c r="C858" s="5"/>
      <c r="D858" s="48"/>
      <c r="E858" s="50"/>
      <c r="F858" s="5"/>
      <c r="G858" s="5"/>
      <c r="H858" s="5"/>
      <c r="I858" s="5"/>
      <c r="J858" s="5"/>
      <c r="K858" s="50"/>
      <c r="L858" s="50"/>
      <c r="M858" s="50"/>
      <c r="N858" s="50"/>
      <c r="O858" s="50"/>
      <c r="P858" s="50"/>
      <c r="Q858" s="50"/>
      <c r="R858" s="50"/>
      <c r="S858" s="50"/>
      <c r="T858" s="50"/>
      <c r="U858" s="50"/>
      <c r="V858" s="50"/>
      <c r="W858" s="50"/>
      <c r="X858" s="50"/>
      <c r="Y858" s="50"/>
      <c r="Z858" s="50"/>
      <c r="AA858" s="50"/>
      <c r="AB858" s="50"/>
    </row>
    <row r="859" customFormat="false" ht="15.75" hidden="false" customHeight="false" outlineLevel="0" collapsed="false">
      <c r="A859" s="50"/>
      <c r="B859" s="50"/>
      <c r="C859" s="5"/>
      <c r="D859" s="48"/>
      <c r="E859" s="50"/>
      <c r="F859" s="5"/>
      <c r="G859" s="5"/>
      <c r="H859" s="5"/>
      <c r="I859" s="5"/>
      <c r="J859" s="5"/>
      <c r="K859" s="50"/>
      <c r="L859" s="50"/>
      <c r="M859" s="50"/>
      <c r="N859" s="50"/>
      <c r="O859" s="50"/>
      <c r="P859" s="50"/>
      <c r="Q859" s="50"/>
      <c r="R859" s="50"/>
      <c r="S859" s="50"/>
      <c r="T859" s="50"/>
      <c r="U859" s="50"/>
      <c r="V859" s="50"/>
      <c r="W859" s="50"/>
      <c r="X859" s="50"/>
      <c r="Y859" s="50"/>
      <c r="Z859" s="50"/>
      <c r="AA859" s="50"/>
      <c r="AB859" s="50"/>
    </row>
    <row r="860" customFormat="false" ht="15.75" hidden="false" customHeight="false" outlineLevel="0" collapsed="false">
      <c r="A860" s="50"/>
      <c r="B860" s="50"/>
      <c r="C860" s="5"/>
      <c r="D860" s="48"/>
      <c r="E860" s="50"/>
      <c r="F860" s="5"/>
      <c r="G860" s="5"/>
      <c r="H860" s="5"/>
      <c r="I860" s="5"/>
      <c r="J860" s="5"/>
      <c r="K860" s="50"/>
      <c r="L860" s="50"/>
      <c r="M860" s="50"/>
      <c r="N860" s="50"/>
      <c r="O860" s="50"/>
      <c r="P860" s="50"/>
      <c r="Q860" s="50"/>
      <c r="R860" s="50"/>
      <c r="S860" s="50"/>
      <c r="T860" s="50"/>
      <c r="U860" s="50"/>
      <c r="V860" s="50"/>
      <c r="W860" s="50"/>
      <c r="X860" s="50"/>
      <c r="Y860" s="50"/>
      <c r="Z860" s="50"/>
      <c r="AA860" s="50"/>
      <c r="AB860" s="50"/>
    </row>
    <row r="861" customFormat="false" ht="15.75" hidden="false" customHeight="false" outlineLevel="0" collapsed="false">
      <c r="A861" s="50"/>
      <c r="B861" s="50"/>
      <c r="C861" s="5"/>
      <c r="D861" s="48"/>
      <c r="E861" s="50"/>
      <c r="F861" s="5"/>
      <c r="G861" s="5"/>
      <c r="H861" s="5"/>
      <c r="I861" s="5"/>
      <c r="J861" s="5"/>
      <c r="K861" s="50"/>
      <c r="L861" s="50"/>
      <c r="M861" s="50"/>
      <c r="N861" s="50"/>
      <c r="O861" s="50"/>
      <c r="P861" s="50"/>
      <c r="Q861" s="50"/>
      <c r="R861" s="50"/>
      <c r="S861" s="50"/>
      <c r="T861" s="50"/>
      <c r="U861" s="50"/>
      <c r="V861" s="50"/>
      <c r="W861" s="50"/>
      <c r="X861" s="50"/>
      <c r="Y861" s="50"/>
      <c r="Z861" s="50"/>
      <c r="AA861" s="50"/>
      <c r="AB861" s="50"/>
    </row>
    <row r="862" customFormat="false" ht="15.75" hidden="false" customHeight="false" outlineLevel="0" collapsed="false">
      <c r="A862" s="50"/>
      <c r="B862" s="50"/>
      <c r="C862" s="5"/>
      <c r="D862" s="48"/>
      <c r="E862" s="50"/>
      <c r="F862" s="5"/>
      <c r="G862" s="5"/>
      <c r="H862" s="5"/>
      <c r="I862" s="5"/>
      <c r="J862" s="5"/>
      <c r="K862" s="50"/>
      <c r="L862" s="50"/>
      <c r="M862" s="50"/>
      <c r="N862" s="50"/>
      <c r="O862" s="50"/>
      <c r="P862" s="50"/>
      <c r="Q862" s="50"/>
      <c r="R862" s="50"/>
      <c r="S862" s="50"/>
      <c r="T862" s="50"/>
      <c r="U862" s="50"/>
      <c r="V862" s="50"/>
      <c r="W862" s="50"/>
      <c r="X862" s="50"/>
      <c r="Y862" s="50"/>
      <c r="Z862" s="50"/>
      <c r="AA862" s="50"/>
      <c r="AB862" s="50"/>
    </row>
    <row r="863" customFormat="false" ht="15.75" hidden="false" customHeight="false" outlineLevel="0" collapsed="false">
      <c r="A863" s="50"/>
      <c r="B863" s="50"/>
      <c r="C863" s="5"/>
      <c r="D863" s="48"/>
      <c r="E863" s="50"/>
      <c r="F863" s="5"/>
      <c r="G863" s="5"/>
      <c r="H863" s="5"/>
      <c r="I863" s="5"/>
      <c r="J863" s="5"/>
      <c r="K863" s="50"/>
      <c r="L863" s="50"/>
      <c r="M863" s="50"/>
      <c r="N863" s="50"/>
      <c r="O863" s="50"/>
      <c r="P863" s="50"/>
      <c r="Q863" s="50"/>
      <c r="R863" s="50"/>
      <c r="S863" s="50"/>
      <c r="T863" s="50"/>
      <c r="U863" s="50"/>
      <c r="V863" s="50"/>
      <c r="W863" s="50"/>
      <c r="X863" s="50"/>
      <c r="Y863" s="50"/>
      <c r="Z863" s="50"/>
      <c r="AA863" s="50"/>
      <c r="AB863" s="50"/>
    </row>
    <row r="864" customFormat="false" ht="15.75" hidden="false" customHeight="false" outlineLevel="0" collapsed="false">
      <c r="A864" s="50"/>
      <c r="B864" s="50"/>
      <c r="C864" s="5"/>
      <c r="D864" s="48"/>
      <c r="E864" s="50"/>
      <c r="F864" s="5"/>
      <c r="G864" s="5"/>
      <c r="H864" s="5"/>
      <c r="I864" s="5"/>
      <c r="J864" s="5"/>
      <c r="K864" s="50"/>
      <c r="L864" s="50"/>
      <c r="M864" s="50"/>
      <c r="N864" s="50"/>
      <c r="O864" s="50"/>
      <c r="P864" s="50"/>
      <c r="Q864" s="50"/>
      <c r="R864" s="50"/>
      <c r="S864" s="50"/>
      <c r="T864" s="50"/>
      <c r="U864" s="50"/>
      <c r="V864" s="50"/>
      <c r="W864" s="50"/>
      <c r="X864" s="50"/>
      <c r="Y864" s="50"/>
      <c r="Z864" s="50"/>
      <c r="AA864" s="50"/>
      <c r="AB864" s="50"/>
    </row>
    <row r="865" customFormat="false" ht="15.75" hidden="false" customHeight="false" outlineLevel="0" collapsed="false">
      <c r="A865" s="50"/>
      <c r="B865" s="50"/>
      <c r="C865" s="5"/>
      <c r="D865" s="48"/>
      <c r="E865" s="50"/>
      <c r="F865" s="5"/>
      <c r="G865" s="5"/>
      <c r="H865" s="5"/>
      <c r="I865" s="5"/>
      <c r="J865" s="5"/>
      <c r="K865" s="50"/>
      <c r="L865" s="50"/>
      <c r="M865" s="50"/>
      <c r="N865" s="50"/>
      <c r="O865" s="50"/>
      <c r="P865" s="50"/>
      <c r="Q865" s="50"/>
      <c r="R865" s="50"/>
      <c r="S865" s="50"/>
      <c r="T865" s="50"/>
      <c r="U865" s="50"/>
      <c r="V865" s="50"/>
      <c r="W865" s="50"/>
      <c r="X865" s="50"/>
      <c r="Y865" s="50"/>
      <c r="Z865" s="50"/>
      <c r="AA865" s="50"/>
      <c r="AB865" s="50"/>
    </row>
    <row r="866" customFormat="false" ht="15.75" hidden="false" customHeight="false" outlineLevel="0" collapsed="false">
      <c r="A866" s="50"/>
      <c r="B866" s="50"/>
      <c r="C866" s="5"/>
      <c r="D866" s="48"/>
      <c r="E866" s="50"/>
      <c r="F866" s="5"/>
      <c r="G866" s="5"/>
      <c r="H866" s="5"/>
      <c r="I866" s="5"/>
      <c r="J866" s="5"/>
      <c r="K866" s="50"/>
      <c r="L866" s="50"/>
      <c r="M866" s="50"/>
      <c r="N866" s="50"/>
      <c r="O866" s="50"/>
      <c r="P866" s="50"/>
      <c r="Q866" s="50"/>
      <c r="R866" s="50"/>
      <c r="S866" s="50"/>
      <c r="T866" s="50"/>
      <c r="U866" s="50"/>
      <c r="V866" s="50"/>
      <c r="W866" s="50"/>
      <c r="X866" s="50"/>
      <c r="Y866" s="50"/>
      <c r="Z866" s="50"/>
      <c r="AA866" s="50"/>
      <c r="AB866" s="50"/>
    </row>
    <row r="867" customFormat="false" ht="15.75" hidden="false" customHeight="false" outlineLevel="0" collapsed="false">
      <c r="A867" s="50"/>
      <c r="B867" s="50"/>
      <c r="C867" s="5"/>
      <c r="D867" s="48"/>
      <c r="E867" s="50"/>
      <c r="F867" s="5"/>
      <c r="G867" s="5"/>
      <c r="H867" s="5"/>
      <c r="I867" s="5"/>
      <c r="J867" s="5"/>
      <c r="K867" s="50"/>
      <c r="L867" s="50"/>
      <c r="M867" s="50"/>
      <c r="N867" s="50"/>
      <c r="O867" s="50"/>
      <c r="P867" s="50"/>
      <c r="Q867" s="50"/>
      <c r="R867" s="50"/>
      <c r="S867" s="50"/>
      <c r="T867" s="50"/>
      <c r="U867" s="50"/>
      <c r="V867" s="50"/>
      <c r="W867" s="50"/>
      <c r="X867" s="50"/>
      <c r="Y867" s="50"/>
      <c r="Z867" s="50"/>
      <c r="AA867" s="50"/>
      <c r="AB867" s="50"/>
    </row>
    <row r="868" customFormat="false" ht="15.75" hidden="false" customHeight="false" outlineLevel="0" collapsed="false">
      <c r="A868" s="50"/>
      <c r="B868" s="50"/>
      <c r="C868" s="5"/>
      <c r="D868" s="48"/>
      <c r="E868" s="50"/>
      <c r="F868" s="5"/>
      <c r="G868" s="5"/>
      <c r="H868" s="5"/>
      <c r="I868" s="5"/>
      <c r="J868" s="5"/>
      <c r="K868" s="50"/>
      <c r="L868" s="50"/>
      <c r="M868" s="50"/>
      <c r="N868" s="50"/>
      <c r="O868" s="50"/>
      <c r="P868" s="50"/>
      <c r="Q868" s="50"/>
      <c r="R868" s="50"/>
      <c r="S868" s="50"/>
      <c r="T868" s="50"/>
      <c r="U868" s="50"/>
      <c r="V868" s="50"/>
      <c r="W868" s="50"/>
      <c r="X868" s="50"/>
      <c r="Y868" s="50"/>
      <c r="Z868" s="50"/>
      <c r="AA868" s="50"/>
      <c r="AB868" s="50"/>
    </row>
    <row r="869" customFormat="false" ht="15.75" hidden="false" customHeight="false" outlineLevel="0" collapsed="false">
      <c r="A869" s="50"/>
      <c r="B869" s="50"/>
      <c r="C869" s="5"/>
      <c r="D869" s="48"/>
      <c r="E869" s="50"/>
      <c r="F869" s="5"/>
      <c r="G869" s="5"/>
      <c r="H869" s="5"/>
      <c r="I869" s="5"/>
      <c r="J869" s="5"/>
      <c r="K869" s="50"/>
      <c r="L869" s="50"/>
      <c r="M869" s="50"/>
      <c r="N869" s="50"/>
      <c r="O869" s="50"/>
      <c r="P869" s="50"/>
      <c r="Q869" s="50"/>
      <c r="R869" s="50"/>
      <c r="S869" s="50"/>
      <c r="T869" s="50"/>
      <c r="U869" s="50"/>
      <c r="V869" s="50"/>
      <c r="W869" s="50"/>
      <c r="X869" s="50"/>
      <c r="Y869" s="50"/>
      <c r="Z869" s="50"/>
      <c r="AA869" s="50"/>
      <c r="AB869" s="50"/>
    </row>
    <row r="870" customFormat="false" ht="15.75" hidden="false" customHeight="false" outlineLevel="0" collapsed="false">
      <c r="A870" s="50"/>
      <c r="B870" s="50"/>
      <c r="C870" s="5"/>
      <c r="D870" s="48"/>
      <c r="E870" s="50"/>
      <c r="F870" s="5"/>
      <c r="G870" s="5"/>
      <c r="H870" s="5"/>
      <c r="I870" s="5"/>
      <c r="J870" s="5"/>
      <c r="K870" s="50"/>
      <c r="L870" s="50"/>
      <c r="M870" s="50"/>
      <c r="N870" s="50"/>
      <c r="O870" s="50"/>
      <c r="P870" s="50"/>
      <c r="Q870" s="50"/>
      <c r="R870" s="50"/>
      <c r="S870" s="50"/>
      <c r="T870" s="50"/>
      <c r="U870" s="50"/>
      <c r="V870" s="50"/>
      <c r="W870" s="50"/>
      <c r="X870" s="50"/>
      <c r="Y870" s="50"/>
      <c r="Z870" s="50"/>
      <c r="AA870" s="50"/>
      <c r="AB870" s="50"/>
    </row>
    <row r="871" customFormat="false" ht="15.75" hidden="false" customHeight="false" outlineLevel="0" collapsed="false">
      <c r="A871" s="50"/>
      <c r="B871" s="50"/>
      <c r="C871" s="5"/>
      <c r="D871" s="48"/>
      <c r="E871" s="50"/>
      <c r="F871" s="5"/>
      <c r="G871" s="5"/>
      <c r="H871" s="5"/>
      <c r="I871" s="5"/>
      <c r="J871" s="5"/>
      <c r="K871" s="50"/>
      <c r="L871" s="50"/>
      <c r="M871" s="50"/>
      <c r="N871" s="50"/>
      <c r="O871" s="50"/>
      <c r="P871" s="50"/>
      <c r="Q871" s="50"/>
      <c r="R871" s="50"/>
      <c r="S871" s="50"/>
      <c r="T871" s="50"/>
      <c r="U871" s="50"/>
      <c r="V871" s="50"/>
      <c r="W871" s="50"/>
      <c r="X871" s="50"/>
      <c r="Y871" s="50"/>
      <c r="Z871" s="50"/>
      <c r="AA871" s="50"/>
      <c r="AB871" s="50"/>
    </row>
    <row r="872" customFormat="false" ht="15.75" hidden="false" customHeight="false" outlineLevel="0" collapsed="false">
      <c r="A872" s="50"/>
      <c r="B872" s="50"/>
      <c r="C872" s="5"/>
      <c r="D872" s="48"/>
      <c r="E872" s="50"/>
      <c r="F872" s="5"/>
      <c r="G872" s="5"/>
      <c r="H872" s="5"/>
      <c r="I872" s="5"/>
      <c r="J872" s="5"/>
      <c r="K872" s="50"/>
      <c r="L872" s="50"/>
      <c r="M872" s="50"/>
      <c r="N872" s="50"/>
      <c r="O872" s="50"/>
      <c r="P872" s="50"/>
      <c r="Q872" s="50"/>
      <c r="R872" s="50"/>
      <c r="S872" s="50"/>
      <c r="T872" s="50"/>
      <c r="U872" s="50"/>
      <c r="V872" s="50"/>
      <c r="W872" s="50"/>
      <c r="X872" s="50"/>
      <c r="Y872" s="50"/>
      <c r="Z872" s="50"/>
      <c r="AA872" s="50"/>
      <c r="AB872" s="50"/>
    </row>
    <row r="873" customFormat="false" ht="15.75" hidden="false" customHeight="false" outlineLevel="0" collapsed="false">
      <c r="A873" s="50"/>
      <c r="B873" s="50"/>
      <c r="C873" s="5"/>
      <c r="D873" s="48"/>
      <c r="E873" s="50"/>
      <c r="F873" s="5"/>
      <c r="G873" s="5"/>
      <c r="H873" s="5"/>
      <c r="I873" s="5"/>
      <c r="J873" s="5"/>
      <c r="K873" s="50"/>
      <c r="L873" s="50"/>
      <c r="M873" s="50"/>
      <c r="N873" s="50"/>
      <c r="O873" s="50"/>
      <c r="P873" s="50"/>
      <c r="Q873" s="50"/>
      <c r="R873" s="50"/>
      <c r="S873" s="50"/>
      <c r="T873" s="50"/>
      <c r="U873" s="50"/>
      <c r="V873" s="50"/>
      <c r="W873" s="50"/>
      <c r="X873" s="50"/>
      <c r="Y873" s="50"/>
      <c r="Z873" s="50"/>
      <c r="AA873" s="50"/>
      <c r="AB873" s="50"/>
    </row>
    <row r="874" customFormat="false" ht="15.75" hidden="false" customHeight="false" outlineLevel="0" collapsed="false">
      <c r="A874" s="50"/>
      <c r="B874" s="50"/>
      <c r="C874" s="5"/>
      <c r="D874" s="48"/>
      <c r="E874" s="50"/>
      <c r="F874" s="5"/>
      <c r="G874" s="5"/>
      <c r="H874" s="5"/>
      <c r="I874" s="5"/>
      <c r="J874" s="5"/>
      <c r="K874" s="50"/>
      <c r="L874" s="50"/>
      <c r="M874" s="50"/>
      <c r="N874" s="50"/>
      <c r="O874" s="50"/>
      <c r="P874" s="50"/>
      <c r="Q874" s="50"/>
      <c r="R874" s="50"/>
      <c r="S874" s="50"/>
      <c r="T874" s="50"/>
      <c r="U874" s="50"/>
      <c r="V874" s="50"/>
      <c r="W874" s="50"/>
      <c r="X874" s="50"/>
      <c r="Y874" s="50"/>
      <c r="Z874" s="50"/>
      <c r="AA874" s="50"/>
      <c r="AB874" s="50"/>
    </row>
    <row r="875" customFormat="false" ht="15.75" hidden="false" customHeight="false" outlineLevel="0" collapsed="false">
      <c r="A875" s="50"/>
      <c r="B875" s="50"/>
      <c r="C875" s="5"/>
      <c r="D875" s="48"/>
      <c r="E875" s="50"/>
      <c r="F875" s="5"/>
      <c r="G875" s="5"/>
      <c r="H875" s="5"/>
      <c r="I875" s="5"/>
      <c r="J875" s="5"/>
      <c r="K875" s="50"/>
      <c r="L875" s="50"/>
      <c r="M875" s="50"/>
      <c r="N875" s="50"/>
      <c r="O875" s="50"/>
      <c r="P875" s="50"/>
      <c r="Q875" s="50"/>
      <c r="R875" s="50"/>
      <c r="S875" s="50"/>
      <c r="T875" s="50"/>
      <c r="U875" s="50"/>
      <c r="V875" s="50"/>
      <c r="W875" s="50"/>
      <c r="X875" s="50"/>
      <c r="Y875" s="50"/>
      <c r="Z875" s="50"/>
      <c r="AA875" s="50"/>
      <c r="AB875" s="50"/>
    </row>
    <row r="876" customFormat="false" ht="15.75" hidden="false" customHeight="false" outlineLevel="0" collapsed="false">
      <c r="A876" s="50"/>
      <c r="B876" s="50"/>
      <c r="C876" s="5"/>
      <c r="D876" s="48"/>
      <c r="E876" s="50"/>
      <c r="F876" s="5"/>
      <c r="G876" s="5"/>
      <c r="H876" s="5"/>
      <c r="I876" s="5"/>
      <c r="J876" s="5"/>
      <c r="K876" s="50"/>
      <c r="L876" s="50"/>
      <c r="M876" s="50"/>
      <c r="N876" s="50"/>
      <c r="O876" s="50"/>
      <c r="P876" s="50"/>
      <c r="Q876" s="50"/>
      <c r="R876" s="50"/>
      <c r="S876" s="50"/>
      <c r="T876" s="50"/>
      <c r="U876" s="50"/>
      <c r="V876" s="50"/>
      <c r="W876" s="50"/>
      <c r="X876" s="50"/>
      <c r="Y876" s="50"/>
      <c r="Z876" s="50"/>
      <c r="AA876" s="50"/>
      <c r="AB876" s="50"/>
    </row>
    <row r="877" customFormat="false" ht="15.75" hidden="false" customHeight="false" outlineLevel="0" collapsed="false">
      <c r="A877" s="50"/>
      <c r="B877" s="50"/>
      <c r="C877" s="5"/>
      <c r="D877" s="48"/>
      <c r="E877" s="50"/>
      <c r="F877" s="5"/>
      <c r="G877" s="5"/>
      <c r="H877" s="5"/>
      <c r="I877" s="5"/>
      <c r="J877" s="5"/>
      <c r="K877" s="50"/>
      <c r="L877" s="50"/>
      <c r="M877" s="50"/>
      <c r="N877" s="50"/>
      <c r="O877" s="50"/>
      <c r="P877" s="50"/>
      <c r="Q877" s="50"/>
      <c r="R877" s="50"/>
      <c r="S877" s="50"/>
      <c r="T877" s="50"/>
      <c r="U877" s="50"/>
      <c r="V877" s="50"/>
      <c r="W877" s="50"/>
      <c r="X877" s="50"/>
      <c r="Y877" s="50"/>
      <c r="Z877" s="50"/>
      <c r="AA877" s="50"/>
      <c r="AB877" s="50"/>
    </row>
    <row r="878" customFormat="false" ht="15.75" hidden="false" customHeight="false" outlineLevel="0" collapsed="false">
      <c r="A878" s="50"/>
      <c r="B878" s="50"/>
      <c r="C878" s="5"/>
      <c r="D878" s="48"/>
      <c r="E878" s="50"/>
      <c r="F878" s="5"/>
      <c r="G878" s="5"/>
      <c r="H878" s="5"/>
      <c r="I878" s="5"/>
      <c r="J878" s="5"/>
      <c r="K878" s="50"/>
      <c r="L878" s="50"/>
      <c r="M878" s="50"/>
      <c r="N878" s="50"/>
      <c r="O878" s="50"/>
      <c r="P878" s="50"/>
      <c r="Q878" s="50"/>
      <c r="R878" s="50"/>
      <c r="S878" s="50"/>
      <c r="T878" s="50"/>
      <c r="U878" s="50"/>
      <c r="V878" s="50"/>
      <c r="W878" s="50"/>
      <c r="X878" s="50"/>
      <c r="Y878" s="50"/>
      <c r="Z878" s="50"/>
      <c r="AA878" s="50"/>
      <c r="AB878" s="50"/>
    </row>
    <row r="879" customFormat="false" ht="15.75" hidden="false" customHeight="false" outlineLevel="0" collapsed="false">
      <c r="A879" s="50"/>
      <c r="B879" s="50"/>
      <c r="C879" s="5"/>
      <c r="D879" s="48"/>
      <c r="E879" s="50"/>
      <c r="F879" s="5"/>
      <c r="G879" s="5"/>
      <c r="H879" s="5"/>
      <c r="I879" s="5"/>
      <c r="J879" s="5"/>
      <c r="K879" s="50"/>
      <c r="L879" s="50"/>
      <c r="M879" s="50"/>
      <c r="N879" s="50"/>
      <c r="O879" s="50"/>
      <c r="P879" s="50"/>
      <c r="Q879" s="50"/>
      <c r="R879" s="50"/>
      <c r="S879" s="50"/>
      <c r="T879" s="50"/>
      <c r="U879" s="50"/>
      <c r="V879" s="50"/>
      <c r="W879" s="50"/>
      <c r="X879" s="50"/>
      <c r="Y879" s="50"/>
      <c r="Z879" s="50"/>
      <c r="AA879" s="50"/>
      <c r="AB879" s="50"/>
    </row>
    <row r="880" customFormat="false" ht="15.75" hidden="false" customHeight="false" outlineLevel="0" collapsed="false">
      <c r="A880" s="50"/>
      <c r="B880" s="50"/>
      <c r="C880" s="5"/>
      <c r="D880" s="48"/>
      <c r="E880" s="50"/>
      <c r="F880" s="5"/>
      <c r="G880" s="5"/>
      <c r="H880" s="5"/>
      <c r="I880" s="5"/>
      <c r="J880" s="5"/>
      <c r="K880" s="50"/>
      <c r="L880" s="50"/>
      <c r="M880" s="50"/>
      <c r="N880" s="50"/>
      <c r="O880" s="50"/>
      <c r="P880" s="50"/>
      <c r="Q880" s="50"/>
      <c r="R880" s="50"/>
      <c r="S880" s="50"/>
      <c r="T880" s="50"/>
      <c r="U880" s="50"/>
      <c r="V880" s="50"/>
      <c r="W880" s="50"/>
      <c r="X880" s="50"/>
      <c r="Y880" s="50"/>
      <c r="Z880" s="50"/>
      <c r="AA880" s="50"/>
      <c r="AB880" s="50"/>
    </row>
    <row r="881" customFormat="false" ht="15.75" hidden="false" customHeight="false" outlineLevel="0" collapsed="false">
      <c r="A881" s="50"/>
      <c r="B881" s="50"/>
      <c r="C881" s="5"/>
      <c r="D881" s="48"/>
      <c r="E881" s="50"/>
      <c r="F881" s="5"/>
      <c r="G881" s="5"/>
      <c r="H881" s="5"/>
      <c r="I881" s="5"/>
      <c r="J881" s="5"/>
      <c r="K881" s="50"/>
      <c r="L881" s="50"/>
      <c r="M881" s="50"/>
      <c r="N881" s="50"/>
      <c r="O881" s="50"/>
      <c r="P881" s="50"/>
      <c r="Q881" s="50"/>
      <c r="R881" s="50"/>
      <c r="S881" s="50"/>
      <c r="T881" s="50"/>
      <c r="U881" s="50"/>
      <c r="V881" s="50"/>
      <c r="W881" s="50"/>
      <c r="X881" s="50"/>
      <c r="Y881" s="50"/>
      <c r="Z881" s="50"/>
      <c r="AA881" s="50"/>
      <c r="AB881" s="50"/>
    </row>
    <row r="882" customFormat="false" ht="15.75" hidden="false" customHeight="false" outlineLevel="0" collapsed="false">
      <c r="A882" s="50"/>
      <c r="B882" s="50"/>
      <c r="C882" s="5"/>
      <c r="D882" s="48"/>
      <c r="E882" s="50"/>
      <c r="F882" s="5"/>
      <c r="G882" s="5"/>
      <c r="H882" s="5"/>
      <c r="I882" s="5"/>
      <c r="J882" s="5"/>
      <c r="K882" s="50"/>
      <c r="L882" s="50"/>
      <c r="M882" s="50"/>
      <c r="N882" s="50"/>
      <c r="O882" s="50"/>
      <c r="P882" s="50"/>
      <c r="Q882" s="50"/>
      <c r="R882" s="50"/>
      <c r="S882" s="50"/>
      <c r="T882" s="50"/>
      <c r="U882" s="50"/>
      <c r="V882" s="50"/>
      <c r="W882" s="50"/>
      <c r="X882" s="50"/>
      <c r="Y882" s="50"/>
      <c r="Z882" s="50"/>
      <c r="AA882" s="50"/>
      <c r="AB882" s="50"/>
    </row>
    <row r="883" customFormat="false" ht="15.75" hidden="false" customHeight="false" outlineLevel="0" collapsed="false">
      <c r="A883" s="50"/>
      <c r="B883" s="50"/>
      <c r="C883" s="5"/>
      <c r="D883" s="48"/>
      <c r="E883" s="50"/>
      <c r="F883" s="5"/>
      <c r="G883" s="5"/>
      <c r="H883" s="5"/>
      <c r="I883" s="5"/>
      <c r="J883" s="5"/>
      <c r="K883" s="50"/>
      <c r="L883" s="50"/>
      <c r="M883" s="50"/>
      <c r="N883" s="50"/>
      <c r="O883" s="50"/>
      <c r="P883" s="50"/>
      <c r="Q883" s="50"/>
      <c r="R883" s="50"/>
      <c r="S883" s="50"/>
      <c r="T883" s="50"/>
      <c r="U883" s="50"/>
      <c r="V883" s="50"/>
      <c r="W883" s="50"/>
      <c r="X883" s="50"/>
      <c r="Y883" s="50"/>
      <c r="Z883" s="50"/>
      <c r="AA883" s="50"/>
      <c r="AB883" s="50"/>
    </row>
    <row r="884" customFormat="false" ht="15.75" hidden="false" customHeight="false" outlineLevel="0" collapsed="false">
      <c r="A884" s="50"/>
      <c r="B884" s="50"/>
      <c r="C884" s="5"/>
      <c r="D884" s="48"/>
      <c r="E884" s="50"/>
      <c r="F884" s="5"/>
      <c r="G884" s="5"/>
      <c r="H884" s="5"/>
      <c r="I884" s="5"/>
      <c r="J884" s="5"/>
      <c r="K884" s="50"/>
      <c r="L884" s="50"/>
      <c r="M884" s="50"/>
      <c r="N884" s="50"/>
      <c r="O884" s="50"/>
      <c r="P884" s="50"/>
      <c r="Q884" s="50"/>
      <c r="R884" s="50"/>
      <c r="S884" s="50"/>
      <c r="T884" s="50"/>
      <c r="U884" s="50"/>
      <c r="V884" s="50"/>
      <c r="W884" s="50"/>
      <c r="X884" s="50"/>
      <c r="Y884" s="50"/>
      <c r="Z884" s="50"/>
      <c r="AA884" s="50"/>
      <c r="AB884" s="50"/>
    </row>
    <row r="885" customFormat="false" ht="15.75" hidden="false" customHeight="false" outlineLevel="0" collapsed="false">
      <c r="A885" s="50"/>
      <c r="B885" s="50"/>
      <c r="C885" s="5"/>
      <c r="D885" s="48"/>
      <c r="E885" s="50"/>
      <c r="F885" s="5"/>
      <c r="G885" s="5"/>
      <c r="H885" s="5"/>
      <c r="I885" s="5"/>
      <c r="J885" s="5"/>
      <c r="K885" s="50"/>
      <c r="L885" s="50"/>
      <c r="M885" s="50"/>
      <c r="N885" s="50"/>
      <c r="O885" s="50"/>
      <c r="P885" s="50"/>
      <c r="Q885" s="50"/>
      <c r="R885" s="50"/>
      <c r="S885" s="50"/>
      <c r="T885" s="50"/>
      <c r="U885" s="50"/>
      <c r="V885" s="50"/>
      <c r="W885" s="50"/>
      <c r="X885" s="50"/>
      <c r="Y885" s="50"/>
      <c r="Z885" s="50"/>
      <c r="AA885" s="50"/>
      <c r="AB885" s="50"/>
    </row>
    <row r="886" customFormat="false" ht="15.75" hidden="false" customHeight="false" outlineLevel="0" collapsed="false">
      <c r="A886" s="50"/>
      <c r="B886" s="50"/>
      <c r="C886" s="5"/>
      <c r="D886" s="48"/>
      <c r="E886" s="50"/>
      <c r="F886" s="5"/>
      <c r="G886" s="5"/>
      <c r="H886" s="5"/>
      <c r="I886" s="5"/>
      <c r="J886" s="5"/>
      <c r="K886" s="50"/>
      <c r="L886" s="50"/>
      <c r="M886" s="50"/>
      <c r="N886" s="50"/>
      <c r="O886" s="50"/>
      <c r="P886" s="50"/>
      <c r="Q886" s="50"/>
      <c r="R886" s="50"/>
      <c r="S886" s="50"/>
      <c r="T886" s="50"/>
      <c r="U886" s="50"/>
      <c r="V886" s="50"/>
      <c r="W886" s="50"/>
      <c r="X886" s="50"/>
      <c r="Y886" s="50"/>
      <c r="Z886" s="50"/>
      <c r="AA886" s="50"/>
      <c r="AB886" s="50"/>
    </row>
    <row r="887" customFormat="false" ht="15.75" hidden="false" customHeight="false" outlineLevel="0" collapsed="false">
      <c r="A887" s="50"/>
      <c r="B887" s="50"/>
      <c r="C887" s="5"/>
      <c r="D887" s="48"/>
      <c r="E887" s="50"/>
      <c r="F887" s="5"/>
      <c r="G887" s="5"/>
      <c r="H887" s="5"/>
      <c r="I887" s="5"/>
      <c r="J887" s="5"/>
      <c r="K887" s="50"/>
      <c r="L887" s="50"/>
      <c r="M887" s="50"/>
      <c r="N887" s="50"/>
      <c r="O887" s="50"/>
      <c r="P887" s="50"/>
      <c r="Q887" s="50"/>
      <c r="R887" s="50"/>
      <c r="S887" s="50"/>
      <c r="T887" s="50"/>
      <c r="U887" s="50"/>
      <c r="V887" s="50"/>
      <c r="W887" s="50"/>
      <c r="X887" s="50"/>
      <c r="Y887" s="50"/>
      <c r="Z887" s="50"/>
      <c r="AA887" s="50"/>
      <c r="AB887" s="50"/>
    </row>
    <row r="888" customFormat="false" ht="15.75" hidden="false" customHeight="false" outlineLevel="0" collapsed="false">
      <c r="A888" s="50"/>
      <c r="B888" s="50"/>
      <c r="C888" s="5"/>
      <c r="D888" s="48"/>
      <c r="E888" s="50"/>
      <c r="F888" s="5"/>
      <c r="G888" s="5"/>
      <c r="H888" s="5"/>
      <c r="I888" s="5"/>
      <c r="J888" s="5"/>
      <c r="K888" s="50"/>
      <c r="L888" s="50"/>
      <c r="M888" s="50"/>
      <c r="N888" s="50"/>
      <c r="O888" s="50"/>
      <c r="P888" s="50"/>
      <c r="Q888" s="50"/>
      <c r="R888" s="50"/>
      <c r="S888" s="50"/>
      <c r="T888" s="50"/>
      <c r="U888" s="50"/>
      <c r="V888" s="50"/>
      <c r="W888" s="50"/>
      <c r="X888" s="50"/>
      <c r="Y888" s="50"/>
      <c r="Z888" s="50"/>
      <c r="AA888" s="50"/>
      <c r="AB888" s="50"/>
    </row>
    <row r="889" customFormat="false" ht="15.75" hidden="false" customHeight="false" outlineLevel="0" collapsed="false">
      <c r="A889" s="50"/>
      <c r="B889" s="50"/>
      <c r="C889" s="5"/>
      <c r="D889" s="48"/>
      <c r="E889" s="50"/>
      <c r="F889" s="5"/>
      <c r="G889" s="5"/>
      <c r="H889" s="5"/>
      <c r="I889" s="5"/>
      <c r="J889" s="5"/>
      <c r="K889" s="50"/>
      <c r="L889" s="50"/>
      <c r="M889" s="50"/>
      <c r="N889" s="50"/>
      <c r="O889" s="50"/>
      <c r="P889" s="50"/>
      <c r="Q889" s="50"/>
      <c r="R889" s="50"/>
      <c r="S889" s="50"/>
      <c r="T889" s="50"/>
      <c r="U889" s="50"/>
      <c r="V889" s="50"/>
      <c r="W889" s="50"/>
      <c r="X889" s="50"/>
      <c r="Y889" s="50"/>
      <c r="Z889" s="50"/>
      <c r="AA889" s="50"/>
      <c r="AB889" s="50"/>
    </row>
    <row r="890" customFormat="false" ht="15.75" hidden="false" customHeight="false" outlineLevel="0" collapsed="false">
      <c r="A890" s="50"/>
      <c r="B890" s="50"/>
      <c r="C890" s="5"/>
      <c r="D890" s="48"/>
      <c r="E890" s="50"/>
      <c r="F890" s="5"/>
      <c r="G890" s="5"/>
      <c r="H890" s="5"/>
      <c r="I890" s="5"/>
      <c r="J890" s="5"/>
      <c r="K890" s="50"/>
      <c r="L890" s="50"/>
      <c r="M890" s="50"/>
      <c r="N890" s="50"/>
      <c r="O890" s="50"/>
      <c r="P890" s="50"/>
      <c r="Q890" s="50"/>
      <c r="R890" s="50"/>
      <c r="S890" s="50"/>
      <c r="T890" s="50"/>
      <c r="U890" s="50"/>
      <c r="V890" s="50"/>
      <c r="W890" s="50"/>
      <c r="X890" s="50"/>
      <c r="Y890" s="50"/>
      <c r="Z890" s="50"/>
      <c r="AA890" s="50"/>
      <c r="AB890" s="50"/>
    </row>
    <row r="891" customFormat="false" ht="15.75" hidden="false" customHeight="false" outlineLevel="0" collapsed="false">
      <c r="A891" s="50"/>
      <c r="B891" s="50"/>
      <c r="C891" s="5"/>
      <c r="D891" s="48"/>
      <c r="E891" s="50"/>
      <c r="F891" s="5"/>
      <c r="G891" s="5"/>
      <c r="H891" s="5"/>
      <c r="I891" s="5"/>
      <c r="J891" s="5"/>
      <c r="K891" s="50"/>
      <c r="L891" s="50"/>
      <c r="M891" s="50"/>
      <c r="N891" s="50"/>
      <c r="O891" s="50"/>
      <c r="P891" s="50"/>
      <c r="Q891" s="50"/>
      <c r="R891" s="50"/>
      <c r="S891" s="50"/>
      <c r="T891" s="50"/>
      <c r="U891" s="50"/>
      <c r="V891" s="50"/>
      <c r="W891" s="50"/>
      <c r="X891" s="50"/>
      <c r="Y891" s="50"/>
      <c r="Z891" s="50"/>
      <c r="AA891" s="50"/>
      <c r="AB891" s="50"/>
    </row>
    <row r="892" customFormat="false" ht="15.75" hidden="false" customHeight="false" outlineLevel="0" collapsed="false">
      <c r="A892" s="50"/>
      <c r="B892" s="50"/>
      <c r="C892" s="5"/>
      <c r="D892" s="48"/>
      <c r="E892" s="50"/>
      <c r="F892" s="5"/>
      <c r="G892" s="5"/>
      <c r="H892" s="5"/>
      <c r="I892" s="5"/>
      <c r="J892" s="5"/>
      <c r="K892" s="50"/>
      <c r="L892" s="50"/>
      <c r="M892" s="50"/>
      <c r="N892" s="50"/>
      <c r="O892" s="50"/>
      <c r="P892" s="50"/>
      <c r="Q892" s="50"/>
      <c r="R892" s="50"/>
      <c r="S892" s="50"/>
      <c r="T892" s="50"/>
      <c r="U892" s="50"/>
      <c r="V892" s="50"/>
      <c r="W892" s="50"/>
      <c r="X892" s="50"/>
      <c r="Y892" s="50"/>
      <c r="Z892" s="50"/>
      <c r="AA892" s="50"/>
      <c r="AB892" s="50"/>
    </row>
    <row r="893" customFormat="false" ht="15.75" hidden="false" customHeight="false" outlineLevel="0" collapsed="false">
      <c r="A893" s="50"/>
      <c r="B893" s="50"/>
      <c r="C893" s="5"/>
      <c r="D893" s="48"/>
      <c r="E893" s="50"/>
      <c r="F893" s="5"/>
      <c r="G893" s="5"/>
      <c r="H893" s="5"/>
      <c r="I893" s="5"/>
      <c r="J893" s="5"/>
      <c r="K893" s="50"/>
      <c r="L893" s="50"/>
      <c r="M893" s="50"/>
      <c r="N893" s="50"/>
      <c r="O893" s="50"/>
      <c r="P893" s="50"/>
      <c r="Q893" s="50"/>
      <c r="R893" s="50"/>
      <c r="S893" s="50"/>
      <c r="T893" s="50"/>
      <c r="U893" s="50"/>
      <c r="V893" s="50"/>
      <c r="W893" s="50"/>
      <c r="X893" s="50"/>
      <c r="Y893" s="50"/>
      <c r="Z893" s="50"/>
      <c r="AA893" s="50"/>
      <c r="AB893" s="50"/>
    </row>
    <row r="894" customFormat="false" ht="15.75" hidden="false" customHeight="false" outlineLevel="0" collapsed="false">
      <c r="A894" s="50"/>
      <c r="B894" s="50"/>
      <c r="C894" s="5"/>
      <c r="D894" s="48"/>
      <c r="E894" s="50"/>
      <c r="F894" s="5"/>
      <c r="G894" s="5"/>
      <c r="H894" s="5"/>
      <c r="I894" s="5"/>
      <c r="J894" s="5"/>
      <c r="K894" s="50"/>
      <c r="L894" s="50"/>
      <c r="M894" s="50"/>
      <c r="N894" s="50"/>
      <c r="O894" s="50"/>
      <c r="P894" s="50"/>
      <c r="Q894" s="50"/>
      <c r="R894" s="50"/>
      <c r="S894" s="50"/>
      <c r="T894" s="50"/>
      <c r="U894" s="50"/>
      <c r="V894" s="50"/>
      <c r="W894" s="50"/>
      <c r="X894" s="50"/>
      <c r="Y894" s="50"/>
      <c r="Z894" s="50"/>
      <c r="AA894" s="50"/>
      <c r="AB894" s="50"/>
    </row>
    <row r="895" customFormat="false" ht="15.75" hidden="false" customHeight="false" outlineLevel="0" collapsed="false">
      <c r="A895" s="50"/>
      <c r="B895" s="50"/>
      <c r="C895" s="5"/>
      <c r="D895" s="48"/>
      <c r="E895" s="50"/>
      <c r="F895" s="5"/>
      <c r="G895" s="5"/>
      <c r="H895" s="5"/>
      <c r="I895" s="5"/>
      <c r="J895" s="5"/>
      <c r="K895" s="50"/>
      <c r="L895" s="50"/>
      <c r="M895" s="50"/>
      <c r="N895" s="50"/>
      <c r="O895" s="50"/>
      <c r="P895" s="50"/>
      <c r="Q895" s="50"/>
      <c r="R895" s="50"/>
      <c r="S895" s="50"/>
      <c r="T895" s="50"/>
      <c r="U895" s="50"/>
      <c r="V895" s="50"/>
      <c r="W895" s="50"/>
      <c r="X895" s="50"/>
      <c r="Y895" s="50"/>
      <c r="Z895" s="50"/>
      <c r="AA895" s="50"/>
      <c r="AB895" s="50"/>
    </row>
    <row r="896" customFormat="false" ht="15.75" hidden="false" customHeight="false" outlineLevel="0" collapsed="false">
      <c r="A896" s="50"/>
      <c r="B896" s="50"/>
      <c r="C896" s="5"/>
      <c r="D896" s="48"/>
      <c r="E896" s="50"/>
      <c r="F896" s="5"/>
      <c r="G896" s="5"/>
      <c r="H896" s="5"/>
      <c r="I896" s="5"/>
      <c r="J896" s="5"/>
      <c r="K896" s="50"/>
      <c r="L896" s="50"/>
      <c r="M896" s="50"/>
      <c r="N896" s="50"/>
      <c r="O896" s="50"/>
      <c r="P896" s="50"/>
      <c r="Q896" s="50"/>
      <c r="R896" s="50"/>
      <c r="S896" s="50"/>
      <c r="T896" s="50"/>
      <c r="U896" s="50"/>
      <c r="V896" s="50"/>
      <c r="W896" s="50"/>
      <c r="X896" s="50"/>
      <c r="Y896" s="50"/>
      <c r="Z896" s="50"/>
      <c r="AA896" s="50"/>
      <c r="AB896" s="50"/>
    </row>
    <row r="897" customFormat="false" ht="15.75" hidden="false" customHeight="false" outlineLevel="0" collapsed="false">
      <c r="A897" s="50"/>
      <c r="B897" s="50"/>
      <c r="C897" s="5"/>
      <c r="D897" s="48"/>
      <c r="E897" s="50"/>
      <c r="F897" s="5"/>
      <c r="G897" s="5"/>
      <c r="H897" s="5"/>
      <c r="I897" s="5"/>
      <c r="J897" s="5"/>
      <c r="K897" s="50"/>
      <c r="L897" s="50"/>
      <c r="M897" s="50"/>
      <c r="N897" s="50"/>
      <c r="O897" s="50"/>
      <c r="P897" s="50"/>
      <c r="Q897" s="50"/>
      <c r="R897" s="50"/>
      <c r="S897" s="50"/>
      <c r="T897" s="50"/>
      <c r="U897" s="50"/>
      <c r="V897" s="50"/>
      <c r="W897" s="50"/>
      <c r="X897" s="50"/>
      <c r="Y897" s="50"/>
      <c r="Z897" s="50"/>
      <c r="AA897" s="50"/>
      <c r="AB897" s="50"/>
    </row>
    <row r="898" customFormat="false" ht="15.75" hidden="false" customHeight="false" outlineLevel="0" collapsed="false">
      <c r="A898" s="50"/>
      <c r="B898" s="50"/>
      <c r="C898" s="5"/>
      <c r="D898" s="48"/>
      <c r="E898" s="50"/>
      <c r="F898" s="5"/>
      <c r="G898" s="5"/>
      <c r="H898" s="5"/>
      <c r="I898" s="5"/>
      <c r="J898" s="5"/>
      <c r="K898" s="50"/>
      <c r="L898" s="50"/>
      <c r="M898" s="50"/>
      <c r="N898" s="50"/>
      <c r="O898" s="50"/>
      <c r="P898" s="50"/>
      <c r="Q898" s="50"/>
      <c r="R898" s="50"/>
      <c r="S898" s="50"/>
      <c r="T898" s="50"/>
      <c r="U898" s="50"/>
      <c r="V898" s="50"/>
      <c r="W898" s="50"/>
      <c r="X898" s="50"/>
      <c r="Y898" s="50"/>
      <c r="Z898" s="50"/>
      <c r="AA898" s="50"/>
      <c r="AB898" s="50"/>
    </row>
    <row r="899" customFormat="false" ht="15.75" hidden="false" customHeight="false" outlineLevel="0" collapsed="false">
      <c r="A899" s="50"/>
      <c r="B899" s="50"/>
      <c r="C899" s="5"/>
      <c r="D899" s="48"/>
      <c r="E899" s="50"/>
      <c r="F899" s="5"/>
      <c r="G899" s="5"/>
      <c r="H899" s="5"/>
      <c r="I899" s="5"/>
      <c r="J899" s="5"/>
      <c r="K899" s="50"/>
      <c r="L899" s="50"/>
      <c r="M899" s="50"/>
      <c r="N899" s="50"/>
      <c r="O899" s="50"/>
      <c r="P899" s="50"/>
      <c r="Q899" s="50"/>
      <c r="R899" s="50"/>
      <c r="S899" s="50"/>
      <c r="T899" s="50"/>
      <c r="U899" s="50"/>
      <c r="V899" s="50"/>
      <c r="W899" s="50"/>
      <c r="X899" s="50"/>
      <c r="Y899" s="50"/>
      <c r="Z899" s="50"/>
      <c r="AA899" s="50"/>
      <c r="AB899" s="50"/>
    </row>
    <row r="900" customFormat="false" ht="15.75" hidden="false" customHeight="false" outlineLevel="0" collapsed="false">
      <c r="A900" s="50"/>
      <c r="B900" s="50"/>
      <c r="C900" s="5"/>
      <c r="D900" s="48"/>
      <c r="E900" s="50"/>
      <c r="F900" s="5"/>
      <c r="G900" s="5"/>
      <c r="H900" s="5"/>
      <c r="I900" s="5"/>
      <c r="J900" s="5"/>
      <c r="K900" s="50"/>
      <c r="L900" s="50"/>
      <c r="M900" s="50"/>
      <c r="N900" s="50"/>
      <c r="O900" s="50"/>
      <c r="P900" s="50"/>
      <c r="Q900" s="50"/>
      <c r="R900" s="50"/>
      <c r="S900" s="50"/>
      <c r="T900" s="50"/>
      <c r="U900" s="50"/>
      <c r="V900" s="50"/>
      <c r="W900" s="50"/>
      <c r="X900" s="50"/>
      <c r="Y900" s="50"/>
      <c r="Z900" s="50"/>
      <c r="AA900" s="50"/>
      <c r="AB900" s="50"/>
    </row>
    <row r="901" customFormat="false" ht="15.75" hidden="false" customHeight="false" outlineLevel="0" collapsed="false">
      <c r="A901" s="50"/>
      <c r="B901" s="50"/>
      <c r="C901" s="5"/>
      <c r="D901" s="48"/>
      <c r="E901" s="50"/>
      <c r="F901" s="5"/>
      <c r="G901" s="5"/>
      <c r="H901" s="5"/>
      <c r="I901" s="5"/>
      <c r="J901" s="5"/>
      <c r="K901" s="50"/>
      <c r="L901" s="50"/>
      <c r="M901" s="50"/>
      <c r="N901" s="50"/>
      <c r="O901" s="50"/>
      <c r="P901" s="50"/>
      <c r="Q901" s="50"/>
      <c r="R901" s="50"/>
      <c r="S901" s="50"/>
      <c r="T901" s="50"/>
      <c r="U901" s="50"/>
      <c r="V901" s="50"/>
      <c r="W901" s="50"/>
      <c r="X901" s="50"/>
      <c r="Y901" s="50"/>
      <c r="Z901" s="50"/>
      <c r="AA901" s="50"/>
      <c r="AB901" s="50"/>
    </row>
    <row r="902" customFormat="false" ht="15.75" hidden="false" customHeight="false" outlineLevel="0" collapsed="false">
      <c r="A902" s="50"/>
      <c r="B902" s="50"/>
      <c r="C902" s="5"/>
      <c r="D902" s="48"/>
      <c r="E902" s="50"/>
      <c r="F902" s="5"/>
      <c r="G902" s="5"/>
      <c r="H902" s="5"/>
      <c r="I902" s="5"/>
      <c r="J902" s="5"/>
      <c r="K902" s="50"/>
      <c r="L902" s="50"/>
      <c r="M902" s="50"/>
      <c r="N902" s="50"/>
      <c r="O902" s="50"/>
      <c r="P902" s="50"/>
      <c r="Q902" s="50"/>
      <c r="R902" s="50"/>
      <c r="S902" s="50"/>
      <c r="T902" s="50"/>
      <c r="U902" s="50"/>
      <c r="V902" s="50"/>
      <c r="W902" s="50"/>
      <c r="X902" s="50"/>
      <c r="Y902" s="50"/>
      <c r="Z902" s="50"/>
      <c r="AA902" s="50"/>
      <c r="AB902" s="50"/>
    </row>
    <row r="903" customFormat="false" ht="15.75" hidden="false" customHeight="false" outlineLevel="0" collapsed="false">
      <c r="A903" s="50"/>
      <c r="B903" s="50"/>
      <c r="C903" s="5"/>
      <c r="D903" s="48"/>
      <c r="E903" s="50"/>
      <c r="F903" s="5"/>
      <c r="G903" s="5"/>
      <c r="H903" s="5"/>
      <c r="I903" s="5"/>
      <c r="J903" s="5"/>
      <c r="K903" s="50"/>
      <c r="L903" s="50"/>
      <c r="M903" s="50"/>
      <c r="N903" s="50"/>
      <c r="O903" s="50"/>
      <c r="P903" s="50"/>
      <c r="Q903" s="50"/>
      <c r="R903" s="50"/>
      <c r="S903" s="50"/>
      <c r="T903" s="50"/>
      <c r="U903" s="50"/>
      <c r="V903" s="50"/>
      <c r="W903" s="50"/>
      <c r="X903" s="50"/>
      <c r="Y903" s="50"/>
      <c r="Z903" s="50"/>
      <c r="AA903" s="50"/>
      <c r="AB903" s="50"/>
    </row>
    <row r="904" customFormat="false" ht="15.75" hidden="false" customHeight="false" outlineLevel="0" collapsed="false">
      <c r="A904" s="50"/>
      <c r="B904" s="50"/>
      <c r="C904" s="5"/>
      <c r="D904" s="48"/>
      <c r="E904" s="50"/>
      <c r="F904" s="5"/>
      <c r="G904" s="5"/>
      <c r="H904" s="5"/>
      <c r="I904" s="5"/>
      <c r="J904" s="5"/>
      <c r="K904" s="50"/>
      <c r="L904" s="50"/>
      <c r="M904" s="50"/>
      <c r="N904" s="50"/>
      <c r="O904" s="50"/>
      <c r="P904" s="50"/>
      <c r="Q904" s="50"/>
      <c r="R904" s="50"/>
      <c r="S904" s="50"/>
      <c r="T904" s="50"/>
      <c r="U904" s="50"/>
      <c r="V904" s="50"/>
      <c r="W904" s="50"/>
      <c r="X904" s="50"/>
      <c r="Y904" s="50"/>
      <c r="Z904" s="50"/>
      <c r="AA904" s="50"/>
      <c r="AB904" s="50"/>
    </row>
    <row r="905" customFormat="false" ht="15.75" hidden="false" customHeight="false" outlineLevel="0" collapsed="false">
      <c r="A905" s="50"/>
      <c r="B905" s="50"/>
      <c r="C905" s="5"/>
      <c r="D905" s="48"/>
      <c r="E905" s="50"/>
      <c r="F905" s="5"/>
      <c r="G905" s="5"/>
      <c r="H905" s="5"/>
      <c r="I905" s="5"/>
      <c r="J905" s="5"/>
      <c r="K905" s="50"/>
      <c r="L905" s="50"/>
      <c r="M905" s="50"/>
      <c r="N905" s="50"/>
      <c r="O905" s="50"/>
      <c r="P905" s="50"/>
      <c r="Q905" s="50"/>
      <c r="R905" s="50"/>
      <c r="S905" s="50"/>
      <c r="T905" s="50"/>
      <c r="U905" s="50"/>
      <c r="V905" s="50"/>
      <c r="W905" s="50"/>
      <c r="X905" s="50"/>
      <c r="Y905" s="50"/>
      <c r="Z905" s="50"/>
      <c r="AA905" s="50"/>
      <c r="AB905" s="50"/>
    </row>
    <row r="906" customFormat="false" ht="15.75" hidden="false" customHeight="false" outlineLevel="0" collapsed="false">
      <c r="A906" s="50"/>
      <c r="B906" s="50"/>
      <c r="C906" s="5"/>
      <c r="D906" s="48"/>
      <c r="E906" s="50"/>
      <c r="F906" s="5"/>
      <c r="G906" s="5"/>
      <c r="H906" s="5"/>
      <c r="I906" s="5"/>
      <c r="J906" s="5"/>
      <c r="K906" s="50"/>
      <c r="L906" s="50"/>
      <c r="M906" s="50"/>
      <c r="N906" s="50"/>
      <c r="O906" s="50"/>
      <c r="P906" s="50"/>
      <c r="Q906" s="50"/>
      <c r="R906" s="50"/>
      <c r="S906" s="50"/>
      <c r="T906" s="50"/>
      <c r="U906" s="50"/>
      <c r="V906" s="50"/>
      <c r="W906" s="50"/>
      <c r="X906" s="50"/>
      <c r="Y906" s="50"/>
      <c r="Z906" s="50"/>
      <c r="AA906" s="50"/>
      <c r="AB906" s="50"/>
    </row>
    <row r="907" customFormat="false" ht="15.75" hidden="false" customHeight="false" outlineLevel="0" collapsed="false">
      <c r="A907" s="50"/>
      <c r="B907" s="50"/>
      <c r="C907" s="5"/>
      <c r="D907" s="48"/>
      <c r="E907" s="50"/>
      <c r="F907" s="5"/>
      <c r="G907" s="5"/>
      <c r="H907" s="5"/>
      <c r="I907" s="5"/>
      <c r="J907" s="5"/>
      <c r="K907" s="50"/>
      <c r="L907" s="50"/>
      <c r="M907" s="50"/>
      <c r="N907" s="50"/>
      <c r="O907" s="50"/>
      <c r="P907" s="50"/>
      <c r="Q907" s="50"/>
      <c r="R907" s="50"/>
      <c r="S907" s="50"/>
      <c r="T907" s="50"/>
      <c r="U907" s="50"/>
      <c r="V907" s="50"/>
      <c r="W907" s="50"/>
      <c r="X907" s="50"/>
      <c r="Y907" s="50"/>
      <c r="Z907" s="50"/>
      <c r="AA907" s="50"/>
      <c r="AB907" s="50"/>
    </row>
    <row r="908" customFormat="false" ht="15.75" hidden="false" customHeight="false" outlineLevel="0" collapsed="false">
      <c r="A908" s="50"/>
      <c r="B908" s="50"/>
      <c r="C908" s="5"/>
      <c r="D908" s="48"/>
      <c r="E908" s="50"/>
      <c r="F908" s="5"/>
      <c r="G908" s="5"/>
      <c r="H908" s="5"/>
      <c r="I908" s="5"/>
      <c r="J908" s="5"/>
      <c r="K908" s="50"/>
      <c r="L908" s="50"/>
      <c r="M908" s="50"/>
      <c r="N908" s="50"/>
      <c r="O908" s="50"/>
      <c r="P908" s="50"/>
      <c r="Q908" s="50"/>
      <c r="R908" s="50"/>
      <c r="S908" s="50"/>
      <c r="T908" s="50"/>
      <c r="U908" s="50"/>
      <c r="V908" s="50"/>
      <c r="W908" s="50"/>
      <c r="X908" s="50"/>
      <c r="Y908" s="50"/>
      <c r="Z908" s="50"/>
      <c r="AA908" s="50"/>
      <c r="AB908" s="50"/>
    </row>
    <row r="909" customFormat="false" ht="15.75" hidden="false" customHeight="false" outlineLevel="0" collapsed="false">
      <c r="A909" s="50"/>
      <c r="B909" s="50"/>
      <c r="C909" s="5"/>
      <c r="D909" s="48"/>
      <c r="E909" s="50"/>
      <c r="F909" s="5"/>
      <c r="G909" s="5"/>
      <c r="H909" s="5"/>
      <c r="I909" s="5"/>
      <c r="J909" s="5"/>
      <c r="K909" s="50"/>
      <c r="L909" s="50"/>
      <c r="M909" s="50"/>
      <c r="N909" s="50"/>
      <c r="O909" s="50"/>
      <c r="P909" s="50"/>
      <c r="Q909" s="50"/>
      <c r="R909" s="50"/>
      <c r="S909" s="50"/>
      <c r="T909" s="50"/>
      <c r="U909" s="50"/>
      <c r="V909" s="50"/>
      <c r="W909" s="50"/>
      <c r="X909" s="50"/>
      <c r="Y909" s="50"/>
      <c r="Z909" s="50"/>
      <c r="AA909" s="50"/>
      <c r="AB909" s="50"/>
    </row>
    <row r="910" customFormat="false" ht="15.75" hidden="false" customHeight="false" outlineLevel="0" collapsed="false">
      <c r="A910" s="50"/>
      <c r="B910" s="50"/>
      <c r="C910" s="5"/>
      <c r="D910" s="48"/>
      <c r="E910" s="50"/>
      <c r="F910" s="5"/>
      <c r="G910" s="5"/>
      <c r="H910" s="5"/>
      <c r="I910" s="5"/>
      <c r="J910" s="5"/>
      <c r="K910" s="50"/>
      <c r="L910" s="50"/>
      <c r="M910" s="50"/>
      <c r="N910" s="50"/>
      <c r="O910" s="50"/>
      <c r="P910" s="50"/>
      <c r="Q910" s="50"/>
      <c r="R910" s="50"/>
      <c r="S910" s="50"/>
      <c r="T910" s="50"/>
      <c r="U910" s="50"/>
      <c r="V910" s="50"/>
      <c r="W910" s="50"/>
      <c r="X910" s="50"/>
      <c r="Y910" s="50"/>
      <c r="Z910" s="50"/>
      <c r="AA910" s="50"/>
      <c r="AB910" s="50"/>
    </row>
    <row r="911" customFormat="false" ht="15.75" hidden="false" customHeight="false" outlineLevel="0" collapsed="false">
      <c r="A911" s="50"/>
      <c r="B911" s="50"/>
      <c r="C911" s="5"/>
      <c r="D911" s="48"/>
      <c r="E911" s="50"/>
      <c r="F911" s="5"/>
      <c r="G911" s="5"/>
      <c r="H911" s="5"/>
      <c r="I911" s="5"/>
      <c r="J911" s="5"/>
      <c r="K911" s="50"/>
      <c r="L911" s="50"/>
      <c r="M911" s="50"/>
      <c r="N911" s="50"/>
      <c r="O911" s="50"/>
      <c r="P911" s="50"/>
      <c r="Q911" s="50"/>
      <c r="R911" s="50"/>
      <c r="S911" s="50"/>
      <c r="T911" s="50"/>
      <c r="U911" s="50"/>
      <c r="V911" s="50"/>
      <c r="W911" s="50"/>
      <c r="X911" s="50"/>
      <c r="Y911" s="50"/>
      <c r="Z911" s="50"/>
      <c r="AA911" s="50"/>
      <c r="AB911" s="50"/>
    </row>
    <row r="912" customFormat="false" ht="15.75" hidden="false" customHeight="false" outlineLevel="0" collapsed="false">
      <c r="A912" s="50"/>
      <c r="B912" s="50"/>
      <c r="C912" s="5"/>
      <c r="D912" s="48"/>
      <c r="E912" s="50"/>
      <c r="F912" s="5"/>
      <c r="G912" s="5"/>
      <c r="H912" s="5"/>
      <c r="I912" s="5"/>
      <c r="J912" s="5"/>
      <c r="K912" s="50"/>
      <c r="L912" s="50"/>
      <c r="M912" s="50"/>
      <c r="N912" s="50"/>
      <c r="O912" s="50"/>
      <c r="P912" s="50"/>
      <c r="Q912" s="50"/>
      <c r="R912" s="50"/>
      <c r="S912" s="50"/>
      <c r="T912" s="50"/>
      <c r="U912" s="50"/>
      <c r="V912" s="50"/>
      <c r="W912" s="50"/>
      <c r="X912" s="50"/>
      <c r="Y912" s="50"/>
      <c r="Z912" s="50"/>
      <c r="AA912" s="50"/>
      <c r="AB912" s="50"/>
    </row>
    <row r="913" customFormat="false" ht="15.75" hidden="false" customHeight="false" outlineLevel="0" collapsed="false">
      <c r="A913" s="50"/>
      <c r="B913" s="50"/>
      <c r="C913" s="5"/>
      <c r="D913" s="48"/>
      <c r="E913" s="50"/>
      <c r="F913" s="5"/>
      <c r="G913" s="5"/>
      <c r="H913" s="5"/>
      <c r="I913" s="5"/>
      <c r="J913" s="5"/>
      <c r="K913" s="50"/>
      <c r="L913" s="50"/>
      <c r="M913" s="50"/>
      <c r="N913" s="50"/>
      <c r="O913" s="50"/>
      <c r="P913" s="50"/>
      <c r="Q913" s="50"/>
      <c r="R913" s="50"/>
      <c r="S913" s="50"/>
      <c r="T913" s="50"/>
      <c r="U913" s="50"/>
      <c r="V913" s="50"/>
      <c r="W913" s="50"/>
      <c r="X913" s="50"/>
      <c r="Y913" s="50"/>
      <c r="Z913" s="50"/>
      <c r="AA913" s="50"/>
      <c r="AB913" s="50"/>
    </row>
    <row r="914" customFormat="false" ht="15.75" hidden="false" customHeight="false" outlineLevel="0" collapsed="false">
      <c r="A914" s="50"/>
      <c r="B914" s="50"/>
      <c r="C914" s="5"/>
      <c r="D914" s="48"/>
      <c r="E914" s="50"/>
      <c r="F914" s="5"/>
      <c r="G914" s="5"/>
      <c r="H914" s="5"/>
      <c r="I914" s="5"/>
      <c r="J914" s="5"/>
      <c r="K914" s="50"/>
      <c r="L914" s="50"/>
      <c r="M914" s="50"/>
      <c r="N914" s="50"/>
      <c r="O914" s="50"/>
      <c r="P914" s="50"/>
      <c r="Q914" s="50"/>
      <c r="R914" s="50"/>
      <c r="S914" s="50"/>
      <c r="T914" s="50"/>
      <c r="U914" s="50"/>
      <c r="V914" s="50"/>
      <c r="W914" s="50"/>
      <c r="X914" s="50"/>
      <c r="Y914" s="50"/>
      <c r="Z914" s="50"/>
      <c r="AA914" s="50"/>
      <c r="AB914" s="50"/>
    </row>
    <row r="915" customFormat="false" ht="15.75" hidden="false" customHeight="false" outlineLevel="0" collapsed="false">
      <c r="A915" s="50"/>
      <c r="B915" s="50"/>
      <c r="C915" s="5"/>
      <c r="D915" s="48"/>
      <c r="E915" s="50"/>
      <c r="F915" s="5"/>
      <c r="G915" s="5"/>
      <c r="H915" s="5"/>
      <c r="I915" s="5"/>
      <c r="J915" s="5"/>
      <c r="K915" s="50"/>
      <c r="L915" s="50"/>
      <c r="M915" s="50"/>
      <c r="N915" s="50"/>
      <c r="O915" s="50"/>
      <c r="P915" s="50"/>
      <c r="Q915" s="50"/>
      <c r="R915" s="50"/>
      <c r="S915" s="50"/>
      <c r="T915" s="50"/>
      <c r="U915" s="50"/>
      <c r="V915" s="50"/>
      <c r="W915" s="50"/>
      <c r="X915" s="50"/>
      <c r="Y915" s="50"/>
      <c r="Z915" s="50"/>
      <c r="AA915" s="50"/>
      <c r="AB915" s="50"/>
    </row>
    <row r="916" customFormat="false" ht="15.75" hidden="false" customHeight="false" outlineLevel="0" collapsed="false">
      <c r="A916" s="50"/>
      <c r="B916" s="50"/>
      <c r="C916" s="5"/>
      <c r="D916" s="48"/>
      <c r="E916" s="50"/>
      <c r="F916" s="5"/>
      <c r="G916" s="5"/>
      <c r="H916" s="5"/>
      <c r="I916" s="5"/>
      <c r="J916" s="5"/>
      <c r="K916" s="50"/>
      <c r="L916" s="50"/>
      <c r="M916" s="50"/>
      <c r="N916" s="50"/>
      <c r="O916" s="50"/>
      <c r="P916" s="50"/>
      <c r="Q916" s="50"/>
      <c r="R916" s="50"/>
      <c r="S916" s="50"/>
      <c r="T916" s="50"/>
      <c r="U916" s="50"/>
      <c r="V916" s="50"/>
      <c r="W916" s="50"/>
      <c r="X916" s="50"/>
      <c r="Y916" s="50"/>
      <c r="Z916" s="50"/>
      <c r="AA916" s="50"/>
      <c r="AB916" s="50"/>
    </row>
    <row r="917" customFormat="false" ht="15.75" hidden="false" customHeight="false" outlineLevel="0" collapsed="false">
      <c r="A917" s="50"/>
      <c r="B917" s="50"/>
      <c r="C917" s="5"/>
      <c r="D917" s="48"/>
      <c r="E917" s="50"/>
      <c r="F917" s="5"/>
      <c r="G917" s="5"/>
      <c r="H917" s="5"/>
      <c r="I917" s="5"/>
      <c r="J917" s="5"/>
      <c r="K917" s="50"/>
      <c r="L917" s="50"/>
      <c r="M917" s="50"/>
      <c r="N917" s="50"/>
      <c r="O917" s="50"/>
      <c r="P917" s="50"/>
      <c r="Q917" s="50"/>
      <c r="R917" s="50"/>
      <c r="S917" s="50"/>
      <c r="T917" s="50"/>
      <c r="U917" s="50"/>
      <c r="V917" s="50"/>
      <c r="W917" s="50"/>
      <c r="X917" s="50"/>
      <c r="Y917" s="50"/>
      <c r="Z917" s="50"/>
      <c r="AA917" s="50"/>
      <c r="AB917" s="50"/>
    </row>
    <row r="918" customFormat="false" ht="15.75" hidden="false" customHeight="false" outlineLevel="0" collapsed="false">
      <c r="A918" s="50"/>
      <c r="B918" s="50"/>
      <c r="C918" s="5"/>
      <c r="D918" s="48"/>
      <c r="E918" s="50"/>
      <c r="F918" s="5"/>
      <c r="G918" s="5"/>
      <c r="H918" s="5"/>
      <c r="I918" s="5"/>
      <c r="J918" s="5"/>
      <c r="K918" s="50"/>
      <c r="L918" s="50"/>
      <c r="M918" s="50"/>
      <c r="N918" s="50"/>
      <c r="O918" s="50"/>
      <c r="P918" s="50"/>
      <c r="Q918" s="50"/>
      <c r="R918" s="50"/>
      <c r="S918" s="50"/>
      <c r="T918" s="50"/>
      <c r="U918" s="50"/>
      <c r="V918" s="50"/>
      <c r="W918" s="50"/>
      <c r="X918" s="50"/>
      <c r="Y918" s="50"/>
      <c r="Z918" s="50"/>
      <c r="AA918" s="50"/>
      <c r="AB918" s="50"/>
    </row>
    <row r="919" customFormat="false" ht="15.75" hidden="false" customHeight="false" outlineLevel="0" collapsed="false">
      <c r="A919" s="50"/>
      <c r="B919" s="50"/>
      <c r="C919" s="5"/>
      <c r="D919" s="48"/>
      <c r="E919" s="50"/>
      <c r="F919" s="5"/>
      <c r="G919" s="5"/>
      <c r="H919" s="5"/>
      <c r="I919" s="5"/>
      <c r="J919" s="5"/>
      <c r="K919" s="50"/>
      <c r="L919" s="50"/>
      <c r="M919" s="50"/>
      <c r="N919" s="50"/>
      <c r="O919" s="50"/>
      <c r="P919" s="50"/>
      <c r="Q919" s="50"/>
      <c r="R919" s="50"/>
      <c r="S919" s="50"/>
      <c r="T919" s="50"/>
      <c r="U919" s="50"/>
      <c r="V919" s="50"/>
      <c r="W919" s="50"/>
      <c r="X919" s="50"/>
      <c r="Y919" s="50"/>
      <c r="Z919" s="50"/>
      <c r="AA919" s="50"/>
      <c r="AB919" s="50"/>
    </row>
    <row r="920" customFormat="false" ht="15.75" hidden="false" customHeight="false" outlineLevel="0" collapsed="false">
      <c r="A920" s="50"/>
      <c r="B920" s="50"/>
      <c r="C920" s="5"/>
      <c r="D920" s="48"/>
      <c r="E920" s="50"/>
      <c r="F920" s="5"/>
      <c r="G920" s="5"/>
      <c r="H920" s="5"/>
      <c r="I920" s="5"/>
      <c r="J920" s="5"/>
      <c r="K920" s="50"/>
      <c r="L920" s="50"/>
      <c r="M920" s="50"/>
      <c r="N920" s="50"/>
      <c r="O920" s="50"/>
      <c r="P920" s="50"/>
      <c r="Q920" s="50"/>
      <c r="R920" s="50"/>
      <c r="S920" s="50"/>
      <c r="T920" s="50"/>
      <c r="U920" s="50"/>
      <c r="V920" s="50"/>
      <c r="W920" s="50"/>
      <c r="X920" s="50"/>
      <c r="Y920" s="50"/>
      <c r="Z920" s="50"/>
      <c r="AA920" s="50"/>
      <c r="AB920" s="50"/>
    </row>
    <row r="921" customFormat="false" ht="15.75" hidden="false" customHeight="false" outlineLevel="0" collapsed="false">
      <c r="A921" s="50"/>
      <c r="B921" s="50"/>
      <c r="C921" s="5"/>
      <c r="D921" s="48"/>
      <c r="E921" s="50"/>
      <c r="F921" s="5"/>
      <c r="G921" s="5"/>
      <c r="H921" s="5"/>
      <c r="I921" s="5"/>
      <c r="J921" s="5"/>
      <c r="K921" s="50"/>
      <c r="L921" s="50"/>
      <c r="M921" s="50"/>
      <c r="N921" s="50"/>
      <c r="O921" s="50"/>
      <c r="P921" s="50"/>
      <c r="Q921" s="50"/>
      <c r="R921" s="50"/>
      <c r="S921" s="50"/>
      <c r="T921" s="50"/>
      <c r="U921" s="50"/>
      <c r="V921" s="50"/>
      <c r="W921" s="50"/>
      <c r="X921" s="50"/>
      <c r="Y921" s="50"/>
      <c r="Z921" s="50"/>
      <c r="AA921" s="50"/>
      <c r="AB921" s="50"/>
    </row>
    <row r="922" customFormat="false" ht="15.75" hidden="false" customHeight="false" outlineLevel="0" collapsed="false">
      <c r="A922" s="50"/>
      <c r="B922" s="50"/>
      <c r="C922" s="5"/>
      <c r="D922" s="48"/>
      <c r="E922" s="50"/>
      <c r="F922" s="5"/>
      <c r="G922" s="5"/>
      <c r="H922" s="5"/>
      <c r="I922" s="5"/>
      <c r="J922" s="5"/>
      <c r="K922" s="50"/>
      <c r="L922" s="50"/>
      <c r="M922" s="50"/>
      <c r="N922" s="50"/>
      <c r="O922" s="50"/>
      <c r="P922" s="50"/>
      <c r="Q922" s="50"/>
      <c r="R922" s="50"/>
      <c r="S922" s="50"/>
      <c r="T922" s="50"/>
      <c r="U922" s="50"/>
      <c r="V922" s="50"/>
      <c r="W922" s="50"/>
      <c r="X922" s="50"/>
      <c r="Y922" s="50"/>
      <c r="Z922" s="50"/>
      <c r="AA922" s="50"/>
      <c r="AB922" s="50"/>
    </row>
    <row r="923" customFormat="false" ht="15.75" hidden="false" customHeight="false" outlineLevel="0" collapsed="false">
      <c r="A923" s="50"/>
      <c r="B923" s="50"/>
      <c r="C923" s="5"/>
      <c r="D923" s="48"/>
      <c r="E923" s="50"/>
      <c r="F923" s="5"/>
      <c r="G923" s="5"/>
      <c r="H923" s="5"/>
      <c r="I923" s="5"/>
      <c r="J923" s="5"/>
      <c r="K923" s="50"/>
      <c r="L923" s="50"/>
      <c r="M923" s="50"/>
      <c r="N923" s="50"/>
      <c r="O923" s="50"/>
      <c r="P923" s="50"/>
      <c r="Q923" s="50"/>
      <c r="R923" s="50"/>
      <c r="S923" s="50"/>
      <c r="T923" s="50"/>
      <c r="U923" s="50"/>
      <c r="V923" s="50"/>
      <c r="W923" s="50"/>
      <c r="X923" s="50"/>
      <c r="Y923" s="50"/>
      <c r="Z923" s="50"/>
      <c r="AA923" s="50"/>
      <c r="AB923" s="50"/>
    </row>
    <row r="924" customFormat="false" ht="15.75" hidden="false" customHeight="false" outlineLevel="0" collapsed="false">
      <c r="A924" s="50"/>
      <c r="B924" s="50"/>
      <c r="C924" s="5"/>
      <c r="D924" s="48"/>
      <c r="E924" s="50"/>
      <c r="F924" s="5"/>
      <c r="G924" s="5"/>
      <c r="H924" s="5"/>
      <c r="I924" s="5"/>
      <c r="J924" s="5"/>
      <c r="K924" s="50"/>
      <c r="L924" s="50"/>
      <c r="M924" s="50"/>
      <c r="N924" s="50"/>
      <c r="O924" s="50"/>
      <c r="P924" s="50"/>
      <c r="Q924" s="50"/>
      <c r="R924" s="50"/>
      <c r="S924" s="50"/>
      <c r="T924" s="50"/>
      <c r="U924" s="50"/>
      <c r="V924" s="50"/>
      <c r="W924" s="50"/>
      <c r="X924" s="50"/>
      <c r="Y924" s="50"/>
      <c r="Z924" s="50"/>
      <c r="AA924" s="50"/>
      <c r="AB924" s="50"/>
    </row>
    <row r="925" customFormat="false" ht="15.75" hidden="false" customHeight="false" outlineLevel="0" collapsed="false">
      <c r="A925" s="50"/>
      <c r="B925" s="50"/>
      <c r="C925" s="5"/>
      <c r="D925" s="48"/>
      <c r="E925" s="50"/>
      <c r="F925" s="5"/>
      <c r="G925" s="5"/>
      <c r="H925" s="5"/>
      <c r="I925" s="5"/>
      <c r="J925" s="5"/>
      <c r="K925" s="50"/>
      <c r="L925" s="50"/>
      <c r="M925" s="50"/>
      <c r="N925" s="50"/>
      <c r="O925" s="50"/>
      <c r="P925" s="50"/>
      <c r="Q925" s="50"/>
      <c r="R925" s="50"/>
      <c r="S925" s="50"/>
      <c r="T925" s="50"/>
      <c r="U925" s="50"/>
      <c r="V925" s="50"/>
      <c r="W925" s="50"/>
      <c r="X925" s="50"/>
      <c r="Y925" s="50"/>
      <c r="Z925" s="50"/>
      <c r="AA925" s="50"/>
      <c r="AB925" s="50"/>
    </row>
    <row r="926" customFormat="false" ht="15.75" hidden="false" customHeight="false" outlineLevel="0" collapsed="false">
      <c r="A926" s="50"/>
      <c r="B926" s="50"/>
      <c r="C926" s="5"/>
      <c r="D926" s="48"/>
      <c r="E926" s="50"/>
      <c r="F926" s="5"/>
      <c r="G926" s="5"/>
      <c r="H926" s="5"/>
      <c r="I926" s="5"/>
      <c r="J926" s="5"/>
      <c r="K926" s="50"/>
      <c r="L926" s="50"/>
      <c r="M926" s="50"/>
      <c r="N926" s="50"/>
      <c r="O926" s="50"/>
      <c r="P926" s="50"/>
      <c r="Q926" s="50"/>
      <c r="R926" s="50"/>
      <c r="S926" s="50"/>
      <c r="T926" s="50"/>
      <c r="U926" s="50"/>
      <c r="V926" s="50"/>
      <c r="W926" s="50"/>
      <c r="X926" s="50"/>
      <c r="Y926" s="50"/>
      <c r="Z926" s="50"/>
      <c r="AA926" s="50"/>
      <c r="AB926" s="50"/>
    </row>
    <row r="927" customFormat="false" ht="15.75" hidden="false" customHeight="false" outlineLevel="0" collapsed="false">
      <c r="A927" s="50"/>
      <c r="B927" s="50"/>
      <c r="C927" s="5"/>
      <c r="D927" s="48"/>
      <c r="E927" s="50"/>
      <c r="F927" s="5"/>
      <c r="G927" s="5"/>
      <c r="H927" s="5"/>
      <c r="I927" s="5"/>
      <c r="J927" s="5"/>
      <c r="K927" s="50"/>
      <c r="L927" s="50"/>
      <c r="M927" s="50"/>
      <c r="N927" s="50"/>
      <c r="O927" s="50"/>
      <c r="P927" s="50"/>
      <c r="Q927" s="50"/>
      <c r="R927" s="50"/>
      <c r="S927" s="50"/>
      <c r="T927" s="50"/>
      <c r="U927" s="50"/>
      <c r="V927" s="50"/>
      <c r="W927" s="50"/>
      <c r="X927" s="50"/>
      <c r="Y927" s="50"/>
      <c r="Z927" s="50"/>
      <c r="AA927" s="50"/>
      <c r="AB927" s="50"/>
    </row>
    <row r="928" customFormat="false" ht="15.75" hidden="false" customHeight="false" outlineLevel="0" collapsed="false">
      <c r="A928" s="50"/>
      <c r="B928" s="50"/>
      <c r="C928" s="5"/>
      <c r="D928" s="48"/>
      <c r="E928" s="50"/>
      <c r="F928" s="5"/>
      <c r="G928" s="5"/>
      <c r="H928" s="5"/>
      <c r="I928" s="5"/>
      <c r="J928" s="5"/>
      <c r="K928" s="50"/>
      <c r="L928" s="50"/>
      <c r="M928" s="50"/>
      <c r="N928" s="50"/>
      <c r="O928" s="50"/>
      <c r="P928" s="50"/>
      <c r="Q928" s="50"/>
      <c r="R928" s="50"/>
      <c r="S928" s="50"/>
      <c r="T928" s="50"/>
      <c r="U928" s="50"/>
      <c r="V928" s="50"/>
      <c r="W928" s="50"/>
      <c r="X928" s="50"/>
      <c r="Y928" s="50"/>
      <c r="Z928" s="50"/>
      <c r="AA928" s="50"/>
      <c r="AB928" s="50"/>
    </row>
    <row r="929" customFormat="false" ht="15.75" hidden="false" customHeight="false" outlineLevel="0" collapsed="false">
      <c r="A929" s="50"/>
      <c r="B929" s="50"/>
      <c r="C929" s="5"/>
      <c r="D929" s="48"/>
      <c r="E929" s="50"/>
      <c r="F929" s="5"/>
      <c r="G929" s="5"/>
      <c r="H929" s="5"/>
      <c r="I929" s="5"/>
      <c r="J929" s="5"/>
      <c r="K929" s="50"/>
      <c r="L929" s="50"/>
      <c r="M929" s="50"/>
      <c r="N929" s="50"/>
      <c r="O929" s="50"/>
      <c r="P929" s="50"/>
      <c r="Q929" s="50"/>
      <c r="R929" s="50"/>
      <c r="S929" s="50"/>
      <c r="T929" s="50"/>
      <c r="U929" s="50"/>
      <c r="V929" s="50"/>
      <c r="W929" s="50"/>
      <c r="X929" s="50"/>
      <c r="Y929" s="50"/>
      <c r="Z929" s="50"/>
      <c r="AA929" s="50"/>
      <c r="AB929" s="50"/>
    </row>
    <row r="930" customFormat="false" ht="15.75" hidden="false" customHeight="false" outlineLevel="0" collapsed="false">
      <c r="A930" s="50"/>
      <c r="B930" s="50"/>
      <c r="C930" s="5"/>
      <c r="D930" s="48"/>
      <c r="E930" s="50"/>
      <c r="F930" s="5"/>
      <c r="G930" s="5"/>
      <c r="H930" s="5"/>
      <c r="I930" s="5"/>
      <c r="J930" s="5"/>
      <c r="K930" s="50"/>
      <c r="L930" s="50"/>
      <c r="M930" s="50"/>
      <c r="N930" s="50"/>
      <c r="O930" s="50"/>
      <c r="P930" s="50"/>
      <c r="Q930" s="50"/>
      <c r="R930" s="50"/>
      <c r="S930" s="50"/>
      <c r="T930" s="50"/>
      <c r="U930" s="50"/>
      <c r="V930" s="50"/>
      <c r="W930" s="50"/>
      <c r="X930" s="50"/>
      <c r="Y930" s="50"/>
      <c r="Z930" s="50"/>
      <c r="AA930" s="50"/>
      <c r="AB930" s="50"/>
    </row>
    <row r="931" customFormat="false" ht="15.75" hidden="false" customHeight="false" outlineLevel="0" collapsed="false">
      <c r="A931" s="50"/>
      <c r="B931" s="50"/>
      <c r="C931" s="5"/>
      <c r="D931" s="48"/>
      <c r="E931" s="50"/>
      <c r="F931" s="5"/>
      <c r="G931" s="5"/>
      <c r="H931" s="5"/>
      <c r="I931" s="5"/>
      <c r="J931" s="5"/>
      <c r="K931" s="50"/>
      <c r="L931" s="50"/>
      <c r="M931" s="50"/>
      <c r="N931" s="50"/>
      <c r="O931" s="50"/>
      <c r="P931" s="50"/>
      <c r="Q931" s="50"/>
      <c r="R931" s="50"/>
      <c r="S931" s="50"/>
      <c r="T931" s="50"/>
      <c r="U931" s="50"/>
      <c r="V931" s="50"/>
      <c r="W931" s="50"/>
      <c r="X931" s="50"/>
      <c r="Y931" s="50"/>
      <c r="Z931" s="50"/>
      <c r="AA931" s="50"/>
      <c r="AB931" s="50"/>
    </row>
    <row r="932" customFormat="false" ht="15.75" hidden="false" customHeight="false" outlineLevel="0" collapsed="false">
      <c r="A932" s="50"/>
      <c r="B932" s="50"/>
      <c r="C932" s="5"/>
      <c r="D932" s="48"/>
      <c r="E932" s="50"/>
      <c r="F932" s="5"/>
      <c r="G932" s="5"/>
      <c r="H932" s="5"/>
      <c r="I932" s="5"/>
      <c r="J932" s="5"/>
      <c r="K932" s="50"/>
      <c r="L932" s="50"/>
      <c r="M932" s="50"/>
      <c r="N932" s="50"/>
      <c r="O932" s="50"/>
      <c r="P932" s="50"/>
      <c r="Q932" s="50"/>
      <c r="R932" s="50"/>
      <c r="S932" s="50"/>
      <c r="T932" s="50"/>
      <c r="U932" s="50"/>
      <c r="V932" s="50"/>
      <c r="W932" s="50"/>
      <c r="X932" s="50"/>
      <c r="Y932" s="50"/>
      <c r="Z932" s="50"/>
      <c r="AA932" s="50"/>
      <c r="AB932" s="50"/>
    </row>
    <row r="933" customFormat="false" ht="15.75" hidden="false" customHeight="false" outlineLevel="0" collapsed="false">
      <c r="A933" s="50"/>
      <c r="B933" s="50"/>
      <c r="C933" s="5"/>
      <c r="D933" s="48"/>
      <c r="E933" s="50"/>
      <c r="F933" s="5"/>
      <c r="G933" s="5"/>
      <c r="H933" s="5"/>
      <c r="I933" s="5"/>
      <c r="J933" s="5"/>
      <c r="K933" s="50"/>
      <c r="L933" s="50"/>
      <c r="M933" s="50"/>
      <c r="N933" s="50"/>
      <c r="O933" s="50"/>
      <c r="P933" s="50"/>
      <c r="Q933" s="50"/>
      <c r="R933" s="50"/>
      <c r="S933" s="50"/>
      <c r="T933" s="50"/>
      <c r="U933" s="50"/>
      <c r="V933" s="50"/>
      <c r="W933" s="50"/>
      <c r="X933" s="50"/>
      <c r="Y933" s="50"/>
      <c r="Z933" s="50"/>
      <c r="AA933" s="50"/>
      <c r="AB933" s="50"/>
    </row>
    <row r="934" customFormat="false" ht="15.75" hidden="false" customHeight="false" outlineLevel="0" collapsed="false">
      <c r="A934" s="50"/>
      <c r="B934" s="50"/>
      <c r="C934" s="5"/>
      <c r="D934" s="48"/>
      <c r="E934" s="50"/>
      <c r="F934" s="5"/>
      <c r="G934" s="5"/>
      <c r="H934" s="5"/>
      <c r="I934" s="5"/>
      <c r="J934" s="5"/>
      <c r="K934" s="50"/>
      <c r="L934" s="50"/>
      <c r="M934" s="50"/>
      <c r="N934" s="50"/>
      <c r="O934" s="50"/>
      <c r="P934" s="50"/>
      <c r="Q934" s="50"/>
      <c r="R934" s="50"/>
      <c r="S934" s="50"/>
      <c r="T934" s="50"/>
      <c r="U934" s="50"/>
      <c r="V934" s="50"/>
      <c r="W934" s="50"/>
      <c r="X934" s="50"/>
      <c r="Y934" s="50"/>
      <c r="Z934" s="50"/>
      <c r="AA934" s="50"/>
      <c r="AB934" s="50"/>
    </row>
    <row r="935" customFormat="false" ht="15.75" hidden="false" customHeight="false" outlineLevel="0" collapsed="false">
      <c r="A935" s="50"/>
      <c r="B935" s="50"/>
      <c r="C935" s="5"/>
      <c r="D935" s="48"/>
      <c r="E935" s="50"/>
      <c r="F935" s="5"/>
      <c r="G935" s="5"/>
      <c r="H935" s="5"/>
      <c r="I935" s="5"/>
      <c r="J935" s="5"/>
      <c r="K935" s="50"/>
      <c r="L935" s="50"/>
      <c r="M935" s="50"/>
      <c r="N935" s="50"/>
      <c r="O935" s="50"/>
      <c r="P935" s="50"/>
      <c r="Q935" s="50"/>
      <c r="R935" s="50"/>
      <c r="S935" s="50"/>
      <c r="T935" s="50"/>
      <c r="U935" s="50"/>
      <c r="V935" s="50"/>
      <c r="W935" s="50"/>
      <c r="X935" s="50"/>
      <c r="Y935" s="50"/>
      <c r="Z935" s="50"/>
      <c r="AA935" s="50"/>
      <c r="AB935" s="50"/>
    </row>
    <row r="936" customFormat="false" ht="15.75" hidden="false" customHeight="false" outlineLevel="0" collapsed="false">
      <c r="A936" s="50"/>
      <c r="B936" s="50"/>
      <c r="C936" s="5"/>
      <c r="D936" s="48"/>
      <c r="E936" s="50"/>
      <c r="F936" s="5"/>
      <c r="G936" s="5"/>
      <c r="H936" s="5"/>
      <c r="I936" s="5"/>
      <c r="J936" s="5"/>
      <c r="K936" s="50"/>
      <c r="L936" s="50"/>
      <c r="M936" s="50"/>
      <c r="N936" s="50"/>
      <c r="O936" s="50"/>
      <c r="P936" s="50"/>
      <c r="Q936" s="50"/>
      <c r="R936" s="50"/>
      <c r="S936" s="50"/>
      <c r="T936" s="50"/>
      <c r="U936" s="50"/>
      <c r="V936" s="50"/>
      <c r="W936" s="50"/>
      <c r="X936" s="50"/>
      <c r="Y936" s="50"/>
      <c r="Z936" s="50"/>
      <c r="AA936" s="50"/>
      <c r="AB936" s="50"/>
    </row>
    <row r="937" customFormat="false" ht="15.75" hidden="false" customHeight="false" outlineLevel="0" collapsed="false">
      <c r="A937" s="50"/>
      <c r="B937" s="50"/>
      <c r="C937" s="5"/>
      <c r="D937" s="48"/>
      <c r="E937" s="50"/>
      <c r="F937" s="5"/>
      <c r="G937" s="5"/>
      <c r="H937" s="5"/>
      <c r="I937" s="5"/>
      <c r="J937" s="5"/>
      <c r="K937" s="50"/>
      <c r="L937" s="50"/>
      <c r="M937" s="50"/>
      <c r="N937" s="50"/>
      <c r="O937" s="50"/>
      <c r="P937" s="50"/>
      <c r="Q937" s="50"/>
      <c r="R937" s="50"/>
      <c r="S937" s="50"/>
      <c r="T937" s="50"/>
      <c r="U937" s="50"/>
      <c r="V937" s="50"/>
      <c r="W937" s="50"/>
      <c r="X937" s="50"/>
      <c r="Y937" s="50"/>
      <c r="Z937" s="50"/>
      <c r="AA937" s="50"/>
      <c r="AB937" s="50"/>
    </row>
    <row r="938" customFormat="false" ht="15.75" hidden="false" customHeight="false" outlineLevel="0" collapsed="false">
      <c r="A938" s="50"/>
      <c r="B938" s="50"/>
      <c r="C938" s="5"/>
      <c r="D938" s="48"/>
      <c r="E938" s="50"/>
      <c r="F938" s="5"/>
      <c r="G938" s="5"/>
      <c r="H938" s="5"/>
      <c r="I938" s="5"/>
      <c r="J938" s="5"/>
      <c r="K938" s="50"/>
      <c r="L938" s="50"/>
      <c r="M938" s="50"/>
      <c r="N938" s="50"/>
      <c r="O938" s="50"/>
      <c r="P938" s="50"/>
      <c r="Q938" s="50"/>
      <c r="R938" s="50"/>
      <c r="S938" s="50"/>
      <c r="T938" s="50"/>
      <c r="U938" s="50"/>
      <c r="V938" s="50"/>
      <c r="W938" s="50"/>
      <c r="X938" s="50"/>
      <c r="Y938" s="50"/>
      <c r="Z938" s="50"/>
      <c r="AA938" s="50"/>
      <c r="AB938" s="50"/>
    </row>
    <row r="939" customFormat="false" ht="15.75" hidden="false" customHeight="false" outlineLevel="0" collapsed="false">
      <c r="A939" s="50"/>
      <c r="B939" s="50"/>
      <c r="C939" s="5"/>
      <c r="D939" s="48"/>
      <c r="E939" s="50"/>
      <c r="F939" s="5"/>
      <c r="G939" s="5"/>
      <c r="H939" s="5"/>
      <c r="I939" s="5"/>
      <c r="J939" s="5"/>
      <c r="K939" s="50"/>
      <c r="L939" s="50"/>
      <c r="M939" s="50"/>
      <c r="N939" s="50"/>
      <c r="O939" s="50"/>
      <c r="P939" s="50"/>
      <c r="Q939" s="50"/>
      <c r="R939" s="50"/>
      <c r="S939" s="50"/>
      <c r="T939" s="50"/>
      <c r="U939" s="50"/>
      <c r="V939" s="50"/>
      <c r="W939" s="50"/>
      <c r="X939" s="50"/>
      <c r="Y939" s="50"/>
      <c r="Z939" s="50"/>
      <c r="AA939" s="50"/>
      <c r="AB939" s="50"/>
    </row>
    <row r="940" customFormat="false" ht="15.75" hidden="false" customHeight="false" outlineLevel="0" collapsed="false">
      <c r="A940" s="50"/>
      <c r="B940" s="50"/>
      <c r="C940" s="5"/>
      <c r="D940" s="48"/>
      <c r="E940" s="50"/>
      <c r="F940" s="5"/>
      <c r="G940" s="5"/>
      <c r="H940" s="5"/>
      <c r="I940" s="5"/>
      <c r="J940" s="5"/>
      <c r="K940" s="50"/>
      <c r="L940" s="50"/>
      <c r="M940" s="50"/>
      <c r="N940" s="50"/>
      <c r="O940" s="50"/>
      <c r="P940" s="50"/>
      <c r="Q940" s="50"/>
      <c r="R940" s="50"/>
      <c r="S940" s="50"/>
      <c r="T940" s="50"/>
      <c r="U940" s="50"/>
      <c r="V940" s="50"/>
      <c r="W940" s="50"/>
      <c r="X940" s="50"/>
      <c r="Y940" s="50"/>
      <c r="Z940" s="50"/>
      <c r="AA940" s="50"/>
      <c r="AB940" s="50"/>
    </row>
    <row r="941" customFormat="false" ht="15.75" hidden="false" customHeight="false" outlineLevel="0" collapsed="false">
      <c r="A941" s="50"/>
      <c r="B941" s="50"/>
      <c r="C941" s="5"/>
      <c r="D941" s="48"/>
      <c r="E941" s="50"/>
      <c r="F941" s="5"/>
      <c r="G941" s="5"/>
      <c r="H941" s="5"/>
      <c r="I941" s="5"/>
      <c r="J941" s="5"/>
      <c r="K941" s="50"/>
      <c r="L941" s="50"/>
      <c r="M941" s="50"/>
      <c r="N941" s="50"/>
      <c r="O941" s="50"/>
      <c r="P941" s="50"/>
      <c r="Q941" s="50"/>
      <c r="R941" s="50"/>
      <c r="S941" s="50"/>
      <c r="T941" s="50"/>
      <c r="U941" s="50"/>
      <c r="V941" s="50"/>
      <c r="W941" s="50"/>
      <c r="X941" s="50"/>
      <c r="Y941" s="50"/>
      <c r="Z941" s="50"/>
      <c r="AA941" s="50"/>
      <c r="AB941" s="50"/>
    </row>
    <row r="942" customFormat="false" ht="15.75" hidden="false" customHeight="false" outlineLevel="0" collapsed="false">
      <c r="A942" s="50"/>
      <c r="B942" s="50"/>
      <c r="C942" s="5"/>
      <c r="D942" s="48"/>
      <c r="E942" s="50"/>
      <c r="F942" s="5"/>
      <c r="G942" s="5"/>
      <c r="H942" s="5"/>
      <c r="I942" s="5"/>
      <c r="J942" s="5"/>
      <c r="K942" s="50"/>
      <c r="L942" s="50"/>
      <c r="M942" s="50"/>
      <c r="N942" s="50"/>
      <c r="O942" s="50"/>
      <c r="P942" s="50"/>
      <c r="Q942" s="50"/>
      <c r="R942" s="50"/>
      <c r="S942" s="50"/>
      <c r="T942" s="50"/>
      <c r="U942" s="50"/>
      <c r="V942" s="50"/>
      <c r="W942" s="50"/>
      <c r="X942" s="50"/>
      <c r="Y942" s="50"/>
      <c r="Z942" s="50"/>
      <c r="AA942" s="50"/>
      <c r="AB942" s="50"/>
    </row>
    <row r="943" customFormat="false" ht="15.75" hidden="false" customHeight="false" outlineLevel="0" collapsed="false">
      <c r="A943" s="50"/>
      <c r="B943" s="50"/>
      <c r="C943" s="5"/>
      <c r="D943" s="48"/>
      <c r="E943" s="50"/>
      <c r="F943" s="5"/>
      <c r="G943" s="5"/>
      <c r="H943" s="5"/>
      <c r="I943" s="5"/>
      <c r="J943" s="5"/>
      <c r="K943" s="50"/>
      <c r="L943" s="50"/>
      <c r="M943" s="50"/>
      <c r="N943" s="50"/>
      <c r="O943" s="50"/>
      <c r="P943" s="50"/>
      <c r="Q943" s="50"/>
      <c r="R943" s="50"/>
      <c r="S943" s="50"/>
      <c r="T943" s="50"/>
      <c r="U943" s="50"/>
      <c r="V943" s="50"/>
      <c r="W943" s="50"/>
      <c r="X943" s="50"/>
      <c r="Y943" s="50"/>
      <c r="Z943" s="50"/>
      <c r="AA943" s="50"/>
      <c r="AB943" s="50"/>
    </row>
    <row r="944" customFormat="false" ht="15.75" hidden="false" customHeight="false" outlineLevel="0" collapsed="false">
      <c r="A944" s="50"/>
      <c r="B944" s="50"/>
      <c r="C944" s="5"/>
      <c r="D944" s="48"/>
      <c r="E944" s="50"/>
      <c r="F944" s="5"/>
      <c r="G944" s="5"/>
      <c r="H944" s="5"/>
      <c r="I944" s="5"/>
      <c r="J944" s="5"/>
      <c r="K944" s="50"/>
      <c r="L944" s="50"/>
      <c r="M944" s="50"/>
      <c r="N944" s="50"/>
      <c r="O944" s="50"/>
      <c r="P944" s="50"/>
      <c r="Q944" s="50"/>
      <c r="R944" s="50"/>
      <c r="S944" s="50"/>
      <c r="T944" s="50"/>
      <c r="U944" s="50"/>
      <c r="V944" s="50"/>
      <c r="W944" s="50"/>
      <c r="X944" s="50"/>
      <c r="Y944" s="50"/>
      <c r="Z944" s="50"/>
      <c r="AA944" s="50"/>
      <c r="AB944" s="50"/>
    </row>
    <row r="945" customFormat="false" ht="15.75" hidden="false" customHeight="false" outlineLevel="0" collapsed="false">
      <c r="A945" s="50"/>
      <c r="B945" s="50"/>
      <c r="C945" s="5"/>
      <c r="D945" s="48"/>
      <c r="E945" s="50"/>
      <c r="F945" s="5"/>
      <c r="G945" s="5"/>
      <c r="H945" s="5"/>
      <c r="I945" s="5"/>
      <c r="J945" s="5"/>
      <c r="K945" s="50"/>
      <c r="L945" s="50"/>
      <c r="M945" s="50"/>
      <c r="N945" s="50"/>
      <c r="O945" s="50"/>
      <c r="P945" s="50"/>
      <c r="Q945" s="50"/>
      <c r="R945" s="50"/>
      <c r="S945" s="50"/>
      <c r="T945" s="50"/>
      <c r="U945" s="50"/>
      <c r="V945" s="50"/>
      <c r="W945" s="50"/>
      <c r="X945" s="50"/>
      <c r="Y945" s="50"/>
      <c r="Z945" s="50"/>
      <c r="AA945" s="50"/>
      <c r="AB945" s="50"/>
    </row>
    <row r="946" customFormat="false" ht="15.75" hidden="false" customHeight="false" outlineLevel="0" collapsed="false">
      <c r="A946" s="50"/>
      <c r="B946" s="50"/>
      <c r="C946" s="5"/>
      <c r="D946" s="48"/>
      <c r="E946" s="50"/>
      <c r="F946" s="5"/>
      <c r="G946" s="5"/>
      <c r="H946" s="5"/>
      <c r="I946" s="5"/>
      <c r="J946" s="5"/>
      <c r="K946" s="50"/>
      <c r="L946" s="50"/>
      <c r="M946" s="50"/>
      <c r="N946" s="50"/>
      <c r="O946" s="50"/>
      <c r="P946" s="50"/>
      <c r="Q946" s="50"/>
      <c r="R946" s="50"/>
      <c r="S946" s="50"/>
      <c r="T946" s="50"/>
      <c r="U946" s="50"/>
      <c r="V946" s="50"/>
      <c r="W946" s="50"/>
      <c r="X946" s="50"/>
      <c r="Y946" s="50"/>
      <c r="Z946" s="50"/>
      <c r="AA946" s="50"/>
      <c r="AB946" s="50"/>
    </row>
    <row r="947" customFormat="false" ht="15.75" hidden="false" customHeight="false" outlineLevel="0" collapsed="false">
      <c r="A947" s="50"/>
      <c r="B947" s="50"/>
      <c r="C947" s="5"/>
      <c r="D947" s="48"/>
      <c r="E947" s="50"/>
      <c r="F947" s="5"/>
      <c r="G947" s="5"/>
      <c r="H947" s="5"/>
      <c r="I947" s="5"/>
      <c r="J947" s="5"/>
      <c r="K947" s="50"/>
      <c r="L947" s="50"/>
      <c r="M947" s="50"/>
      <c r="N947" s="50"/>
      <c r="O947" s="50"/>
      <c r="P947" s="50"/>
      <c r="Q947" s="50"/>
      <c r="R947" s="50"/>
      <c r="S947" s="50"/>
      <c r="T947" s="50"/>
      <c r="U947" s="50"/>
      <c r="V947" s="50"/>
      <c r="W947" s="50"/>
      <c r="X947" s="50"/>
      <c r="Y947" s="50"/>
      <c r="Z947" s="50"/>
      <c r="AA947" s="50"/>
      <c r="AB947" s="50"/>
    </row>
    <row r="948" customFormat="false" ht="15.75" hidden="false" customHeight="false" outlineLevel="0" collapsed="false">
      <c r="A948" s="50"/>
      <c r="B948" s="50"/>
      <c r="C948" s="5"/>
      <c r="D948" s="48"/>
      <c r="E948" s="50"/>
      <c r="F948" s="5"/>
      <c r="G948" s="5"/>
      <c r="H948" s="5"/>
      <c r="I948" s="5"/>
      <c r="J948" s="5"/>
      <c r="K948" s="50"/>
      <c r="L948" s="50"/>
      <c r="M948" s="50"/>
      <c r="N948" s="50"/>
      <c r="O948" s="50"/>
      <c r="P948" s="50"/>
      <c r="Q948" s="50"/>
      <c r="R948" s="50"/>
      <c r="S948" s="50"/>
      <c r="T948" s="50"/>
      <c r="U948" s="50"/>
      <c r="V948" s="50"/>
      <c r="W948" s="50"/>
      <c r="X948" s="50"/>
      <c r="Y948" s="50"/>
      <c r="Z948" s="50"/>
      <c r="AA948" s="50"/>
      <c r="AB948" s="50"/>
    </row>
    <row r="949" customFormat="false" ht="15.75" hidden="false" customHeight="false" outlineLevel="0" collapsed="false">
      <c r="A949" s="50"/>
      <c r="B949" s="50"/>
      <c r="C949" s="5"/>
      <c r="D949" s="48"/>
      <c r="E949" s="50"/>
      <c r="F949" s="5"/>
      <c r="G949" s="5"/>
      <c r="H949" s="5"/>
      <c r="I949" s="5"/>
      <c r="J949" s="5"/>
      <c r="K949" s="50"/>
      <c r="L949" s="50"/>
      <c r="M949" s="50"/>
      <c r="N949" s="50"/>
      <c r="O949" s="50"/>
      <c r="P949" s="50"/>
      <c r="Q949" s="50"/>
      <c r="R949" s="50"/>
      <c r="S949" s="50"/>
      <c r="T949" s="50"/>
      <c r="U949" s="50"/>
      <c r="V949" s="50"/>
      <c r="W949" s="50"/>
      <c r="X949" s="50"/>
      <c r="Y949" s="50"/>
      <c r="Z949" s="50"/>
      <c r="AA949" s="50"/>
      <c r="AB949" s="50"/>
    </row>
    <row r="950" customFormat="false" ht="15.75" hidden="false" customHeight="false" outlineLevel="0" collapsed="false">
      <c r="A950" s="50"/>
      <c r="B950" s="50"/>
      <c r="C950" s="5"/>
      <c r="D950" s="48"/>
      <c r="E950" s="50"/>
      <c r="F950" s="5"/>
      <c r="G950" s="5"/>
      <c r="H950" s="5"/>
      <c r="I950" s="5"/>
      <c r="J950" s="5"/>
      <c r="K950" s="50"/>
      <c r="L950" s="50"/>
      <c r="M950" s="50"/>
      <c r="N950" s="50"/>
      <c r="O950" s="50"/>
      <c r="P950" s="50"/>
      <c r="Q950" s="50"/>
      <c r="R950" s="50"/>
      <c r="S950" s="50"/>
      <c r="T950" s="50"/>
      <c r="U950" s="50"/>
      <c r="V950" s="50"/>
      <c r="W950" s="50"/>
      <c r="X950" s="50"/>
      <c r="Y950" s="50"/>
      <c r="Z950" s="50"/>
      <c r="AA950" s="50"/>
      <c r="AB950" s="50"/>
    </row>
    <row r="951" customFormat="false" ht="15.75" hidden="false" customHeight="false" outlineLevel="0" collapsed="false">
      <c r="A951" s="50"/>
      <c r="B951" s="50"/>
      <c r="C951" s="5"/>
      <c r="D951" s="48"/>
      <c r="E951" s="50"/>
      <c r="F951" s="5"/>
      <c r="G951" s="5"/>
      <c r="H951" s="5"/>
      <c r="I951" s="5"/>
      <c r="J951" s="5"/>
      <c r="K951" s="50"/>
      <c r="L951" s="50"/>
      <c r="M951" s="50"/>
      <c r="N951" s="50"/>
      <c r="O951" s="50"/>
      <c r="P951" s="50"/>
      <c r="Q951" s="50"/>
      <c r="R951" s="50"/>
      <c r="S951" s="50"/>
      <c r="T951" s="50"/>
      <c r="U951" s="50"/>
      <c r="V951" s="50"/>
      <c r="W951" s="50"/>
      <c r="X951" s="50"/>
      <c r="Y951" s="50"/>
      <c r="Z951" s="50"/>
      <c r="AA951" s="50"/>
      <c r="AB951" s="50"/>
    </row>
    <row r="952" customFormat="false" ht="15.75" hidden="false" customHeight="false" outlineLevel="0" collapsed="false">
      <c r="A952" s="50"/>
      <c r="B952" s="50"/>
      <c r="C952" s="5"/>
      <c r="D952" s="48"/>
      <c r="E952" s="50"/>
      <c r="F952" s="5"/>
      <c r="G952" s="5"/>
      <c r="H952" s="5"/>
      <c r="I952" s="5"/>
      <c r="J952" s="5"/>
      <c r="K952" s="50"/>
      <c r="L952" s="50"/>
      <c r="M952" s="50"/>
      <c r="N952" s="50"/>
      <c r="O952" s="50"/>
      <c r="P952" s="50"/>
      <c r="Q952" s="50"/>
      <c r="R952" s="50"/>
      <c r="S952" s="50"/>
      <c r="T952" s="50"/>
      <c r="U952" s="50"/>
      <c r="V952" s="50"/>
      <c r="W952" s="50"/>
      <c r="X952" s="50"/>
      <c r="Y952" s="50"/>
      <c r="Z952" s="50"/>
      <c r="AA952" s="50"/>
      <c r="AB952" s="50"/>
    </row>
    <row r="953" customFormat="false" ht="15.75" hidden="false" customHeight="false" outlineLevel="0" collapsed="false">
      <c r="A953" s="50"/>
      <c r="B953" s="50"/>
      <c r="C953" s="5"/>
      <c r="D953" s="48"/>
      <c r="E953" s="50"/>
      <c r="F953" s="5"/>
      <c r="G953" s="5"/>
      <c r="H953" s="5"/>
      <c r="I953" s="5"/>
      <c r="J953" s="5"/>
      <c r="K953" s="50"/>
      <c r="L953" s="50"/>
      <c r="M953" s="50"/>
      <c r="N953" s="50"/>
      <c r="O953" s="50"/>
      <c r="P953" s="50"/>
      <c r="Q953" s="50"/>
      <c r="R953" s="50"/>
      <c r="S953" s="50"/>
      <c r="T953" s="50"/>
      <c r="U953" s="50"/>
      <c r="V953" s="50"/>
      <c r="W953" s="50"/>
      <c r="X953" s="50"/>
      <c r="Y953" s="50"/>
      <c r="Z953" s="50"/>
      <c r="AA953" s="50"/>
      <c r="AB953" s="50"/>
    </row>
    <row r="954" customFormat="false" ht="15.75" hidden="false" customHeight="false" outlineLevel="0" collapsed="false">
      <c r="A954" s="50"/>
      <c r="B954" s="50"/>
      <c r="C954" s="5"/>
      <c r="D954" s="48"/>
      <c r="E954" s="50"/>
      <c r="F954" s="5"/>
      <c r="G954" s="5"/>
      <c r="H954" s="5"/>
      <c r="I954" s="5"/>
      <c r="J954" s="5"/>
      <c r="K954" s="50"/>
      <c r="L954" s="50"/>
      <c r="M954" s="50"/>
      <c r="N954" s="50"/>
      <c r="O954" s="50"/>
      <c r="P954" s="50"/>
      <c r="Q954" s="50"/>
      <c r="R954" s="50"/>
      <c r="S954" s="50"/>
      <c r="T954" s="50"/>
      <c r="U954" s="50"/>
      <c r="V954" s="50"/>
      <c r="W954" s="50"/>
      <c r="X954" s="50"/>
      <c r="Y954" s="50"/>
      <c r="Z954" s="50"/>
      <c r="AA954" s="50"/>
      <c r="AB954" s="50"/>
    </row>
    <row r="955" customFormat="false" ht="15.75" hidden="false" customHeight="false" outlineLevel="0" collapsed="false">
      <c r="A955" s="50"/>
      <c r="B955" s="50"/>
      <c r="C955" s="5"/>
      <c r="D955" s="48"/>
      <c r="E955" s="50"/>
      <c r="F955" s="5"/>
      <c r="G955" s="5"/>
      <c r="H955" s="5"/>
      <c r="I955" s="5"/>
      <c r="J955" s="5"/>
      <c r="K955" s="50"/>
      <c r="L955" s="50"/>
      <c r="M955" s="50"/>
      <c r="N955" s="50"/>
      <c r="O955" s="50"/>
      <c r="P955" s="50"/>
      <c r="Q955" s="50"/>
      <c r="R955" s="50"/>
      <c r="S955" s="50"/>
      <c r="T955" s="50"/>
      <c r="U955" s="50"/>
      <c r="V955" s="50"/>
      <c r="W955" s="50"/>
      <c r="X955" s="50"/>
      <c r="Y955" s="50"/>
      <c r="Z955" s="50"/>
      <c r="AA955" s="50"/>
      <c r="AB955" s="50"/>
    </row>
    <row r="956" customFormat="false" ht="15.75" hidden="false" customHeight="false" outlineLevel="0" collapsed="false">
      <c r="A956" s="50"/>
      <c r="B956" s="50"/>
      <c r="C956" s="5"/>
      <c r="D956" s="48"/>
      <c r="E956" s="50"/>
      <c r="F956" s="5"/>
      <c r="G956" s="5"/>
      <c r="H956" s="5"/>
      <c r="I956" s="5"/>
      <c r="J956" s="5"/>
      <c r="K956" s="50"/>
      <c r="L956" s="50"/>
      <c r="M956" s="50"/>
      <c r="N956" s="50"/>
      <c r="O956" s="50"/>
      <c r="P956" s="50"/>
      <c r="Q956" s="50"/>
      <c r="R956" s="50"/>
      <c r="S956" s="50"/>
      <c r="T956" s="50"/>
      <c r="U956" s="50"/>
      <c r="V956" s="50"/>
      <c r="W956" s="50"/>
      <c r="X956" s="50"/>
      <c r="Y956" s="50"/>
      <c r="Z956" s="50"/>
      <c r="AA956" s="50"/>
      <c r="AB956" s="50"/>
    </row>
    <row r="957" customFormat="false" ht="15.75" hidden="false" customHeight="false" outlineLevel="0" collapsed="false">
      <c r="A957" s="50"/>
      <c r="B957" s="50"/>
      <c r="C957" s="5"/>
      <c r="D957" s="48"/>
      <c r="E957" s="50"/>
      <c r="F957" s="5"/>
      <c r="G957" s="5"/>
      <c r="H957" s="5"/>
      <c r="I957" s="5"/>
      <c r="J957" s="5"/>
      <c r="K957" s="50"/>
      <c r="L957" s="50"/>
      <c r="M957" s="50"/>
      <c r="N957" s="50"/>
      <c r="O957" s="50"/>
      <c r="P957" s="50"/>
      <c r="Q957" s="50"/>
      <c r="R957" s="50"/>
      <c r="S957" s="50"/>
      <c r="T957" s="50"/>
      <c r="U957" s="50"/>
      <c r="V957" s="50"/>
      <c r="W957" s="50"/>
      <c r="X957" s="50"/>
      <c r="Y957" s="50"/>
      <c r="Z957" s="50"/>
      <c r="AA957" s="50"/>
      <c r="AB957" s="50"/>
    </row>
    <row r="958" customFormat="false" ht="15.75" hidden="false" customHeight="false" outlineLevel="0" collapsed="false">
      <c r="A958" s="50"/>
      <c r="B958" s="50"/>
      <c r="C958" s="5"/>
      <c r="D958" s="48"/>
      <c r="E958" s="50"/>
      <c r="F958" s="5"/>
      <c r="G958" s="5"/>
      <c r="H958" s="5"/>
      <c r="I958" s="5"/>
      <c r="J958" s="5"/>
      <c r="K958" s="50"/>
      <c r="L958" s="50"/>
      <c r="M958" s="50"/>
      <c r="N958" s="50"/>
      <c r="O958" s="50"/>
      <c r="P958" s="50"/>
      <c r="Q958" s="50"/>
      <c r="R958" s="50"/>
      <c r="S958" s="50"/>
      <c r="T958" s="50"/>
      <c r="U958" s="50"/>
      <c r="V958" s="50"/>
      <c r="W958" s="50"/>
      <c r="X958" s="50"/>
      <c r="Y958" s="50"/>
      <c r="Z958" s="50"/>
      <c r="AA958" s="50"/>
      <c r="AB958" s="50"/>
    </row>
    <row r="959" customFormat="false" ht="15.75" hidden="false" customHeight="false" outlineLevel="0" collapsed="false">
      <c r="A959" s="50"/>
      <c r="B959" s="50"/>
      <c r="C959" s="5"/>
      <c r="D959" s="48"/>
      <c r="E959" s="50"/>
      <c r="F959" s="5"/>
      <c r="G959" s="5"/>
      <c r="H959" s="5"/>
      <c r="I959" s="5"/>
      <c r="J959" s="5"/>
      <c r="K959" s="50"/>
      <c r="L959" s="50"/>
      <c r="M959" s="50"/>
      <c r="N959" s="50"/>
      <c r="O959" s="50"/>
      <c r="P959" s="50"/>
      <c r="Q959" s="50"/>
      <c r="R959" s="50"/>
      <c r="S959" s="50"/>
      <c r="T959" s="50"/>
      <c r="U959" s="50"/>
      <c r="V959" s="50"/>
      <c r="W959" s="50"/>
      <c r="X959" s="50"/>
      <c r="Y959" s="50"/>
      <c r="Z959" s="50"/>
      <c r="AA959" s="50"/>
      <c r="AB959" s="50"/>
    </row>
    <row r="960" customFormat="false" ht="15.75" hidden="false" customHeight="false" outlineLevel="0" collapsed="false">
      <c r="A960" s="50"/>
      <c r="B960" s="50"/>
      <c r="C960" s="5"/>
      <c r="D960" s="48"/>
      <c r="E960" s="50"/>
      <c r="F960" s="5"/>
      <c r="G960" s="5"/>
      <c r="H960" s="5"/>
      <c r="I960" s="5"/>
      <c r="J960" s="5"/>
      <c r="K960" s="50"/>
      <c r="L960" s="50"/>
      <c r="M960" s="50"/>
      <c r="N960" s="50"/>
      <c r="O960" s="50"/>
      <c r="P960" s="50"/>
      <c r="Q960" s="50"/>
      <c r="R960" s="50"/>
      <c r="S960" s="50"/>
      <c r="T960" s="50"/>
      <c r="U960" s="50"/>
      <c r="V960" s="50"/>
      <c r="W960" s="50"/>
      <c r="X960" s="50"/>
      <c r="Y960" s="50"/>
      <c r="Z960" s="50"/>
      <c r="AA960" s="50"/>
      <c r="AB960" s="50"/>
    </row>
    <row r="961" customFormat="false" ht="15.75" hidden="false" customHeight="false" outlineLevel="0" collapsed="false">
      <c r="A961" s="50"/>
      <c r="B961" s="50"/>
      <c r="C961" s="5"/>
      <c r="D961" s="48"/>
      <c r="E961" s="50"/>
      <c r="F961" s="5"/>
      <c r="G961" s="5"/>
      <c r="H961" s="5"/>
      <c r="I961" s="5"/>
      <c r="J961" s="5"/>
      <c r="K961" s="50"/>
      <c r="L961" s="50"/>
      <c r="M961" s="50"/>
      <c r="N961" s="50"/>
      <c r="O961" s="50"/>
      <c r="P961" s="50"/>
      <c r="Q961" s="50"/>
      <c r="R961" s="50"/>
      <c r="S961" s="50"/>
      <c r="T961" s="50"/>
      <c r="U961" s="50"/>
      <c r="V961" s="50"/>
      <c r="W961" s="50"/>
      <c r="X961" s="50"/>
      <c r="Y961" s="50"/>
      <c r="Z961" s="50"/>
      <c r="AA961" s="50"/>
      <c r="AB961" s="50"/>
    </row>
    <row r="962" customFormat="false" ht="15.75" hidden="false" customHeight="false" outlineLevel="0" collapsed="false">
      <c r="A962" s="50"/>
      <c r="B962" s="50"/>
      <c r="C962" s="5"/>
      <c r="D962" s="48"/>
      <c r="E962" s="50"/>
      <c r="F962" s="5"/>
      <c r="G962" s="5"/>
      <c r="H962" s="5"/>
      <c r="I962" s="5"/>
      <c r="J962" s="5"/>
      <c r="K962" s="50"/>
      <c r="L962" s="50"/>
      <c r="M962" s="50"/>
      <c r="N962" s="50"/>
      <c r="O962" s="50"/>
      <c r="P962" s="50"/>
      <c r="Q962" s="50"/>
      <c r="R962" s="50"/>
      <c r="S962" s="50"/>
      <c r="T962" s="50"/>
      <c r="U962" s="50"/>
      <c r="V962" s="50"/>
      <c r="W962" s="50"/>
      <c r="X962" s="50"/>
      <c r="Y962" s="50"/>
      <c r="Z962" s="50"/>
      <c r="AA962" s="50"/>
      <c r="AB962" s="50"/>
    </row>
    <row r="963" customFormat="false" ht="15.75" hidden="false" customHeight="false" outlineLevel="0" collapsed="false">
      <c r="A963" s="50"/>
      <c r="B963" s="50"/>
      <c r="C963" s="5"/>
      <c r="D963" s="48"/>
      <c r="E963" s="50"/>
      <c r="F963" s="5"/>
      <c r="G963" s="5"/>
      <c r="H963" s="5"/>
      <c r="I963" s="5"/>
      <c r="J963" s="5"/>
      <c r="K963" s="50"/>
      <c r="L963" s="50"/>
      <c r="M963" s="50"/>
      <c r="N963" s="50"/>
      <c r="O963" s="50"/>
      <c r="P963" s="50"/>
      <c r="Q963" s="50"/>
      <c r="R963" s="50"/>
      <c r="S963" s="50"/>
      <c r="T963" s="50"/>
      <c r="U963" s="50"/>
      <c r="V963" s="50"/>
      <c r="W963" s="50"/>
      <c r="X963" s="50"/>
      <c r="Y963" s="50"/>
      <c r="Z963" s="50"/>
      <c r="AA963" s="50"/>
      <c r="AB963" s="50"/>
    </row>
    <row r="964" customFormat="false" ht="15.75" hidden="false" customHeight="false" outlineLevel="0" collapsed="false">
      <c r="A964" s="50"/>
      <c r="B964" s="50"/>
      <c r="C964" s="5"/>
      <c r="D964" s="48"/>
      <c r="E964" s="50"/>
      <c r="F964" s="5"/>
      <c r="G964" s="5"/>
      <c r="H964" s="5"/>
      <c r="I964" s="5"/>
      <c r="J964" s="5"/>
      <c r="K964" s="50"/>
      <c r="L964" s="50"/>
      <c r="M964" s="50"/>
      <c r="N964" s="50"/>
      <c r="O964" s="50"/>
      <c r="P964" s="50"/>
      <c r="Q964" s="50"/>
      <c r="R964" s="50"/>
      <c r="S964" s="50"/>
      <c r="T964" s="50"/>
      <c r="U964" s="50"/>
      <c r="V964" s="50"/>
      <c r="W964" s="50"/>
      <c r="X964" s="50"/>
      <c r="Y964" s="50"/>
      <c r="Z964" s="50"/>
      <c r="AA964" s="50"/>
      <c r="AB964" s="50"/>
    </row>
    <row r="965" customFormat="false" ht="15.75" hidden="false" customHeight="false" outlineLevel="0" collapsed="false">
      <c r="A965" s="50"/>
      <c r="B965" s="50"/>
      <c r="C965" s="5"/>
      <c r="D965" s="48"/>
      <c r="E965" s="50"/>
      <c r="F965" s="5"/>
      <c r="G965" s="5"/>
      <c r="H965" s="5"/>
      <c r="I965" s="5"/>
      <c r="J965" s="5"/>
      <c r="K965" s="50"/>
      <c r="L965" s="50"/>
      <c r="M965" s="50"/>
      <c r="N965" s="50"/>
      <c r="O965" s="50"/>
      <c r="P965" s="50"/>
      <c r="Q965" s="50"/>
      <c r="R965" s="50"/>
      <c r="S965" s="50"/>
      <c r="T965" s="50"/>
      <c r="U965" s="50"/>
      <c r="V965" s="50"/>
      <c r="W965" s="50"/>
      <c r="X965" s="50"/>
      <c r="Y965" s="50"/>
      <c r="Z965" s="50"/>
      <c r="AA965" s="50"/>
      <c r="AB965" s="50"/>
    </row>
    <row r="966" customFormat="false" ht="15.75" hidden="false" customHeight="false" outlineLevel="0" collapsed="false">
      <c r="A966" s="50"/>
      <c r="B966" s="50"/>
      <c r="C966" s="5"/>
      <c r="D966" s="48"/>
      <c r="E966" s="50"/>
      <c r="F966" s="5"/>
      <c r="G966" s="5"/>
      <c r="H966" s="5"/>
      <c r="I966" s="5"/>
      <c r="J966" s="5"/>
      <c r="K966" s="50"/>
      <c r="L966" s="50"/>
      <c r="M966" s="50"/>
      <c r="N966" s="50"/>
      <c r="O966" s="50"/>
      <c r="P966" s="50"/>
      <c r="Q966" s="50"/>
      <c r="R966" s="50"/>
      <c r="S966" s="50"/>
      <c r="T966" s="50"/>
      <c r="U966" s="50"/>
      <c r="V966" s="50"/>
      <c r="W966" s="50"/>
      <c r="X966" s="50"/>
      <c r="Y966" s="50"/>
      <c r="Z966" s="50"/>
      <c r="AA966" s="50"/>
      <c r="AB966" s="50"/>
    </row>
    <row r="967" customFormat="false" ht="15.75" hidden="false" customHeight="false" outlineLevel="0" collapsed="false">
      <c r="A967" s="50"/>
      <c r="B967" s="50"/>
      <c r="C967" s="5"/>
      <c r="D967" s="48"/>
      <c r="E967" s="50"/>
      <c r="F967" s="5"/>
      <c r="G967" s="5"/>
      <c r="H967" s="5"/>
      <c r="I967" s="5"/>
      <c r="J967" s="5"/>
      <c r="K967" s="50"/>
      <c r="L967" s="50"/>
      <c r="M967" s="50"/>
      <c r="N967" s="50"/>
      <c r="O967" s="50"/>
      <c r="P967" s="50"/>
      <c r="Q967" s="50"/>
      <c r="R967" s="50"/>
      <c r="S967" s="50"/>
      <c r="T967" s="50"/>
      <c r="U967" s="50"/>
      <c r="V967" s="50"/>
      <c r="W967" s="50"/>
      <c r="X967" s="50"/>
      <c r="Y967" s="50"/>
      <c r="Z967" s="50"/>
      <c r="AA967" s="50"/>
      <c r="AB967" s="50"/>
    </row>
    <row r="968" customFormat="false" ht="15.75" hidden="false" customHeight="false" outlineLevel="0" collapsed="false">
      <c r="A968" s="50"/>
      <c r="B968" s="50"/>
      <c r="C968" s="5"/>
      <c r="D968" s="48"/>
      <c r="E968" s="50"/>
      <c r="F968" s="5"/>
      <c r="G968" s="5"/>
      <c r="H968" s="5"/>
      <c r="I968" s="5"/>
      <c r="J968" s="5"/>
      <c r="K968" s="50"/>
      <c r="L968" s="50"/>
      <c r="M968" s="50"/>
      <c r="N968" s="50"/>
      <c r="O968" s="50"/>
      <c r="P968" s="50"/>
      <c r="Q968" s="50"/>
      <c r="R968" s="50"/>
      <c r="S968" s="50"/>
      <c r="T968" s="50"/>
      <c r="U968" s="50"/>
      <c r="V968" s="50"/>
      <c r="W968" s="50"/>
      <c r="X968" s="50"/>
      <c r="Y968" s="50"/>
      <c r="Z968" s="50"/>
      <c r="AA968" s="50"/>
      <c r="AB968" s="50"/>
    </row>
    <row r="969" customFormat="false" ht="15.75" hidden="false" customHeight="false" outlineLevel="0" collapsed="false">
      <c r="A969" s="50"/>
      <c r="B969" s="50"/>
      <c r="C969" s="5"/>
      <c r="D969" s="48"/>
      <c r="E969" s="50"/>
      <c r="F969" s="5"/>
      <c r="G969" s="5"/>
      <c r="H969" s="5"/>
      <c r="I969" s="5"/>
      <c r="J969" s="5"/>
      <c r="K969" s="50"/>
      <c r="L969" s="50"/>
      <c r="M969" s="50"/>
      <c r="N969" s="50"/>
      <c r="O969" s="50"/>
      <c r="P969" s="50"/>
      <c r="Q969" s="50"/>
      <c r="R969" s="50"/>
      <c r="S969" s="50"/>
      <c r="T969" s="50"/>
      <c r="U969" s="50"/>
      <c r="V969" s="50"/>
      <c r="W969" s="50"/>
      <c r="X969" s="50"/>
      <c r="Y969" s="50"/>
      <c r="Z969" s="50"/>
      <c r="AA969" s="50"/>
      <c r="AB969" s="50"/>
    </row>
    <row r="970" customFormat="false" ht="15.75" hidden="false" customHeight="false" outlineLevel="0" collapsed="false">
      <c r="A970" s="50"/>
      <c r="B970" s="50"/>
      <c r="C970" s="5"/>
      <c r="D970" s="48"/>
      <c r="E970" s="50"/>
      <c r="F970" s="5"/>
      <c r="G970" s="5"/>
      <c r="H970" s="5"/>
      <c r="I970" s="5"/>
      <c r="J970" s="5"/>
      <c r="K970" s="50"/>
      <c r="L970" s="50"/>
      <c r="M970" s="50"/>
      <c r="N970" s="50"/>
      <c r="O970" s="50"/>
      <c r="P970" s="50"/>
      <c r="Q970" s="50"/>
      <c r="R970" s="50"/>
      <c r="S970" s="50"/>
      <c r="T970" s="50"/>
      <c r="U970" s="50"/>
      <c r="V970" s="50"/>
      <c r="W970" s="50"/>
      <c r="X970" s="50"/>
      <c r="Y970" s="50"/>
      <c r="Z970" s="50"/>
      <c r="AA970" s="50"/>
      <c r="AB970" s="50"/>
    </row>
    <row r="971" customFormat="false" ht="15.75" hidden="false" customHeight="false" outlineLevel="0" collapsed="false">
      <c r="A971" s="50"/>
      <c r="B971" s="50"/>
      <c r="C971" s="5"/>
      <c r="D971" s="48"/>
      <c r="E971" s="50"/>
      <c r="F971" s="5"/>
      <c r="G971" s="5"/>
      <c r="H971" s="5"/>
      <c r="I971" s="5"/>
      <c r="J971" s="5"/>
      <c r="K971" s="50"/>
      <c r="L971" s="50"/>
      <c r="M971" s="50"/>
      <c r="N971" s="50"/>
      <c r="O971" s="50"/>
      <c r="P971" s="50"/>
      <c r="Q971" s="50"/>
      <c r="R971" s="50"/>
      <c r="S971" s="50"/>
      <c r="T971" s="50"/>
      <c r="U971" s="50"/>
      <c r="V971" s="50"/>
      <c r="W971" s="50"/>
      <c r="X971" s="50"/>
      <c r="Y971" s="50"/>
      <c r="Z971" s="50"/>
      <c r="AA971" s="50"/>
      <c r="AB971" s="50"/>
    </row>
    <row r="972" customFormat="false" ht="15.75" hidden="false" customHeight="false" outlineLevel="0" collapsed="false">
      <c r="A972" s="50"/>
      <c r="B972" s="50"/>
      <c r="C972" s="5"/>
      <c r="D972" s="48"/>
      <c r="E972" s="50"/>
      <c r="F972" s="5"/>
      <c r="G972" s="5"/>
      <c r="H972" s="5"/>
      <c r="I972" s="5"/>
      <c r="J972" s="5"/>
      <c r="K972" s="50"/>
      <c r="L972" s="50"/>
      <c r="M972" s="50"/>
      <c r="N972" s="50"/>
      <c r="O972" s="50"/>
      <c r="P972" s="50"/>
      <c r="Q972" s="50"/>
      <c r="R972" s="50"/>
      <c r="S972" s="50"/>
      <c r="T972" s="50"/>
      <c r="U972" s="50"/>
      <c r="V972" s="50"/>
      <c r="W972" s="50"/>
      <c r="X972" s="50"/>
      <c r="Y972" s="50"/>
      <c r="Z972" s="50"/>
      <c r="AA972" s="50"/>
      <c r="AB972" s="50"/>
    </row>
    <row r="973" customFormat="false" ht="15.75" hidden="false" customHeight="false" outlineLevel="0" collapsed="false">
      <c r="A973" s="50"/>
      <c r="B973" s="50"/>
      <c r="C973" s="5"/>
      <c r="D973" s="48"/>
      <c r="E973" s="50"/>
      <c r="F973" s="5"/>
      <c r="G973" s="5"/>
      <c r="H973" s="5"/>
      <c r="I973" s="5"/>
      <c r="J973" s="5"/>
      <c r="K973" s="50"/>
      <c r="L973" s="50"/>
      <c r="M973" s="50"/>
      <c r="N973" s="50"/>
      <c r="O973" s="50"/>
      <c r="P973" s="50"/>
      <c r="Q973" s="50"/>
      <c r="R973" s="50"/>
      <c r="S973" s="50"/>
      <c r="T973" s="50"/>
      <c r="U973" s="50"/>
      <c r="V973" s="50"/>
      <c r="W973" s="50"/>
      <c r="X973" s="50"/>
      <c r="Y973" s="50"/>
      <c r="Z973" s="50"/>
      <c r="AA973" s="50"/>
      <c r="AB973" s="50"/>
    </row>
    <row r="974" customFormat="false" ht="15.75" hidden="false" customHeight="false" outlineLevel="0" collapsed="false">
      <c r="A974" s="50"/>
      <c r="B974" s="50"/>
      <c r="C974" s="5"/>
      <c r="D974" s="48"/>
      <c r="E974" s="50"/>
      <c r="F974" s="5"/>
      <c r="G974" s="5"/>
      <c r="H974" s="5"/>
      <c r="I974" s="5"/>
      <c r="J974" s="5"/>
      <c r="K974" s="50"/>
      <c r="L974" s="50"/>
      <c r="M974" s="50"/>
      <c r="N974" s="50"/>
      <c r="O974" s="50"/>
      <c r="P974" s="50"/>
      <c r="Q974" s="50"/>
      <c r="R974" s="50"/>
      <c r="S974" s="50"/>
      <c r="T974" s="50"/>
      <c r="U974" s="50"/>
      <c r="V974" s="50"/>
      <c r="W974" s="50"/>
      <c r="X974" s="50"/>
      <c r="Y974" s="50"/>
      <c r="Z974" s="50"/>
      <c r="AA974" s="50"/>
      <c r="AB974" s="50"/>
    </row>
    <row r="975" customFormat="false" ht="15.75" hidden="false" customHeight="false" outlineLevel="0" collapsed="false">
      <c r="A975" s="50"/>
      <c r="B975" s="50"/>
      <c r="C975" s="5"/>
      <c r="D975" s="48"/>
      <c r="E975" s="50"/>
      <c r="F975" s="5"/>
      <c r="G975" s="5"/>
      <c r="H975" s="5"/>
      <c r="I975" s="5"/>
      <c r="J975" s="5"/>
      <c r="K975" s="50"/>
      <c r="L975" s="50"/>
      <c r="M975" s="50"/>
      <c r="N975" s="50"/>
      <c r="O975" s="50"/>
      <c r="P975" s="50"/>
      <c r="Q975" s="50"/>
      <c r="R975" s="50"/>
      <c r="S975" s="50"/>
      <c r="T975" s="50"/>
      <c r="U975" s="50"/>
      <c r="V975" s="50"/>
      <c r="W975" s="50"/>
      <c r="X975" s="50"/>
      <c r="Y975" s="50"/>
      <c r="Z975" s="50"/>
      <c r="AA975" s="50"/>
      <c r="AB975" s="50"/>
    </row>
    <row r="976" customFormat="false" ht="15.75" hidden="false" customHeight="false" outlineLevel="0" collapsed="false">
      <c r="A976" s="50"/>
      <c r="B976" s="50"/>
      <c r="C976" s="5"/>
      <c r="D976" s="48"/>
      <c r="E976" s="50"/>
      <c r="F976" s="5"/>
      <c r="G976" s="5"/>
      <c r="H976" s="5"/>
      <c r="I976" s="5"/>
      <c r="J976" s="5"/>
      <c r="K976" s="50"/>
      <c r="L976" s="50"/>
      <c r="M976" s="50"/>
      <c r="N976" s="50"/>
      <c r="O976" s="50"/>
      <c r="P976" s="50"/>
      <c r="Q976" s="50"/>
      <c r="R976" s="50"/>
      <c r="S976" s="50"/>
      <c r="T976" s="50"/>
      <c r="U976" s="50"/>
      <c r="V976" s="50"/>
      <c r="W976" s="50"/>
      <c r="X976" s="50"/>
      <c r="Y976" s="50"/>
      <c r="Z976" s="50"/>
      <c r="AA976" s="50"/>
      <c r="AB976" s="50"/>
    </row>
    <row r="977" customFormat="false" ht="15.75" hidden="false" customHeight="false" outlineLevel="0" collapsed="false">
      <c r="A977" s="50"/>
      <c r="B977" s="50"/>
      <c r="C977" s="5"/>
      <c r="D977" s="48"/>
      <c r="E977" s="50"/>
      <c r="F977" s="5"/>
      <c r="G977" s="5"/>
      <c r="H977" s="5"/>
      <c r="I977" s="5"/>
      <c r="J977" s="5"/>
      <c r="K977" s="50"/>
      <c r="L977" s="50"/>
      <c r="M977" s="50"/>
      <c r="N977" s="50"/>
      <c r="O977" s="50"/>
      <c r="P977" s="50"/>
      <c r="Q977" s="50"/>
      <c r="R977" s="50"/>
      <c r="S977" s="50"/>
      <c r="T977" s="50"/>
      <c r="U977" s="50"/>
      <c r="V977" s="50"/>
      <c r="W977" s="50"/>
      <c r="X977" s="50"/>
      <c r="Y977" s="50"/>
      <c r="Z977" s="50"/>
      <c r="AA977" s="50"/>
      <c r="AB977" s="50"/>
    </row>
    <row r="978" customFormat="false" ht="15.75" hidden="false" customHeight="false" outlineLevel="0" collapsed="false">
      <c r="A978" s="50"/>
      <c r="B978" s="50"/>
      <c r="C978" s="5"/>
      <c r="D978" s="48"/>
      <c r="E978" s="50"/>
      <c r="F978" s="5"/>
      <c r="G978" s="5"/>
      <c r="H978" s="5"/>
      <c r="I978" s="5"/>
      <c r="J978" s="5"/>
      <c r="K978" s="50"/>
      <c r="L978" s="50"/>
      <c r="M978" s="50"/>
      <c r="N978" s="50"/>
      <c r="O978" s="50"/>
      <c r="P978" s="50"/>
      <c r="Q978" s="50"/>
      <c r="R978" s="50"/>
      <c r="S978" s="50"/>
      <c r="T978" s="50"/>
      <c r="U978" s="50"/>
      <c r="V978" s="50"/>
      <c r="W978" s="50"/>
      <c r="X978" s="50"/>
      <c r="Y978" s="50"/>
      <c r="Z978" s="50"/>
      <c r="AA978" s="50"/>
      <c r="AB978" s="50"/>
    </row>
    <row r="979" customFormat="false" ht="15.75" hidden="false" customHeight="false" outlineLevel="0" collapsed="false">
      <c r="A979" s="50"/>
      <c r="B979" s="50"/>
      <c r="C979" s="5"/>
      <c r="D979" s="48"/>
      <c r="E979" s="50"/>
      <c r="F979" s="5"/>
      <c r="G979" s="5"/>
      <c r="H979" s="5"/>
      <c r="I979" s="5"/>
      <c r="J979" s="5"/>
      <c r="K979" s="50"/>
      <c r="L979" s="50"/>
      <c r="M979" s="50"/>
      <c r="N979" s="50"/>
      <c r="O979" s="50"/>
      <c r="P979" s="50"/>
      <c r="Q979" s="50"/>
      <c r="R979" s="50"/>
      <c r="S979" s="50"/>
      <c r="T979" s="50"/>
      <c r="U979" s="50"/>
      <c r="V979" s="50"/>
      <c r="W979" s="50"/>
      <c r="X979" s="50"/>
      <c r="Y979" s="50"/>
      <c r="Z979" s="50"/>
      <c r="AA979" s="50"/>
      <c r="AB979" s="50"/>
    </row>
    <row r="980" customFormat="false" ht="15.75" hidden="false" customHeight="false" outlineLevel="0" collapsed="false">
      <c r="A980" s="50"/>
      <c r="B980" s="50"/>
      <c r="C980" s="5"/>
      <c r="D980" s="48"/>
      <c r="E980" s="50"/>
      <c r="F980" s="5"/>
      <c r="G980" s="5"/>
      <c r="H980" s="5"/>
      <c r="I980" s="5"/>
      <c r="J980" s="5"/>
      <c r="K980" s="50"/>
      <c r="L980" s="50"/>
      <c r="M980" s="50"/>
      <c r="N980" s="50"/>
      <c r="O980" s="50"/>
      <c r="P980" s="50"/>
      <c r="Q980" s="50"/>
      <c r="R980" s="50"/>
      <c r="S980" s="50"/>
      <c r="T980" s="50"/>
      <c r="U980" s="50"/>
      <c r="V980" s="50"/>
      <c r="W980" s="50"/>
      <c r="X980" s="50"/>
      <c r="Y980" s="50"/>
      <c r="Z980" s="50"/>
      <c r="AA980" s="50"/>
      <c r="AB980" s="50"/>
    </row>
    <row r="981" customFormat="false" ht="15.75" hidden="false" customHeight="false" outlineLevel="0" collapsed="false">
      <c r="A981" s="50"/>
      <c r="B981" s="50"/>
      <c r="C981" s="5"/>
      <c r="D981" s="48"/>
      <c r="E981" s="50"/>
      <c r="F981" s="5"/>
      <c r="G981" s="5"/>
      <c r="H981" s="5"/>
      <c r="I981" s="5"/>
      <c r="J981" s="5"/>
      <c r="K981" s="50"/>
      <c r="L981" s="50"/>
      <c r="M981" s="50"/>
      <c r="N981" s="50"/>
      <c r="O981" s="50"/>
      <c r="P981" s="50"/>
      <c r="Q981" s="50"/>
      <c r="R981" s="50"/>
      <c r="S981" s="50"/>
      <c r="T981" s="50"/>
      <c r="U981" s="50"/>
      <c r="V981" s="50"/>
      <c r="W981" s="50"/>
      <c r="X981" s="50"/>
      <c r="Y981" s="50"/>
      <c r="Z981" s="50"/>
      <c r="AA981" s="50"/>
      <c r="AB981" s="50"/>
    </row>
    <row r="982" customFormat="false" ht="15.75" hidden="false" customHeight="false" outlineLevel="0" collapsed="false">
      <c r="A982" s="50"/>
      <c r="B982" s="50"/>
      <c r="C982" s="5"/>
      <c r="D982" s="48"/>
      <c r="E982" s="50"/>
      <c r="F982" s="5"/>
      <c r="G982" s="5"/>
      <c r="H982" s="5"/>
      <c r="I982" s="5"/>
      <c r="J982" s="5"/>
      <c r="K982" s="50"/>
      <c r="L982" s="50"/>
      <c r="M982" s="50"/>
      <c r="N982" s="50"/>
      <c r="O982" s="50"/>
      <c r="P982" s="50"/>
      <c r="Q982" s="50"/>
      <c r="R982" s="50"/>
      <c r="S982" s="50"/>
      <c r="T982" s="50"/>
      <c r="U982" s="50"/>
      <c r="V982" s="50"/>
      <c r="W982" s="50"/>
      <c r="X982" s="50"/>
      <c r="Y982" s="50"/>
      <c r="Z982" s="50"/>
      <c r="AA982" s="50"/>
      <c r="AB982" s="50"/>
    </row>
    <row r="983" customFormat="false" ht="15.75" hidden="false" customHeight="false" outlineLevel="0" collapsed="false">
      <c r="A983" s="50"/>
      <c r="B983" s="50"/>
      <c r="C983" s="5"/>
      <c r="D983" s="48"/>
      <c r="E983" s="50"/>
      <c r="F983" s="5"/>
      <c r="G983" s="5"/>
      <c r="H983" s="5"/>
      <c r="I983" s="5"/>
      <c r="J983" s="5"/>
      <c r="K983" s="50"/>
      <c r="L983" s="50"/>
      <c r="M983" s="50"/>
      <c r="N983" s="50"/>
      <c r="O983" s="50"/>
      <c r="P983" s="50"/>
      <c r="Q983" s="50"/>
      <c r="R983" s="50"/>
      <c r="S983" s="50"/>
      <c r="T983" s="50"/>
      <c r="U983" s="50"/>
      <c r="V983" s="50"/>
      <c r="W983" s="50"/>
      <c r="X983" s="50"/>
      <c r="Y983" s="50"/>
      <c r="Z983" s="50"/>
      <c r="AA983" s="50"/>
      <c r="AB983" s="50"/>
    </row>
    <row r="984" customFormat="false" ht="15.75" hidden="false" customHeight="false" outlineLevel="0" collapsed="false">
      <c r="A984" s="50"/>
      <c r="B984" s="50"/>
      <c r="C984" s="5"/>
      <c r="D984" s="48"/>
      <c r="E984" s="50"/>
      <c r="F984" s="5"/>
      <c r="G984" s="5"/>
      <c r="H984" s="5"/>
      <c r="I984" s="5"/>
      <c r="J984" s="5"/>
      <c r="K984" s="50"/>
      <c r="L984" s="50"/>
      <c r="M984" s="50"/>
      <c r="N984" s="50"/>
      <c r="O984" s="50"/>
      <c r="P984" s="50"/>
      <c r="Q984" s="50"/>
      <c r="R984" s="50"/>
      <c r="S984" s="50"/>
      <c r="T984" s="50"/>
      <c r="U984" s="50"/>
      <c r="V984" s="50"/>
      <c r="W984" s="50"/>
      <c r="X984" s="50"/>
      <c r="Y984" s="50"/>
      <c r="Z984" s="50"/>
      <c r="AA984" s="50"/>
      <c r="AB984" s="50"/>
    </row>
    <row r="985" customFormat="false" ht="15.75" hidden="false" customHeight="false" outlineLevel="0" collapsed="false">
      <c r="A985" s="50"/>
      <c r="B985" s="50"/>
      <c r="C985" s="5"/>
      <c r="D985" s="48"/>
      <c r="E985" s="50"/>
      <c r="F985" s="5"/>
      <c r="G985" s="5"/>
      <c r="H985" s="5"/>
      <c r="I985" s="5"/>
      <c r="J985" s="5"/>
      <c r="K985" s="50"/>
      <c r="L985" s="50"/>
      <c r="M985" s="50"/>
      <c r="N985" s="50"/>
      <c r="O985" s="50"/>
      <c r="P985" s="50"/>
      <c r="Q985" s="50"/>
      <c r="R985" s="50"/>
      <c r="S985" s="50"/>
      <c r="T985" s="50"/>
      <c r="U985" s="50"/>
      <c r="V985" s="50"/>
      <c r="W985" s="50"/>
      <c r="X985" s="50"/>
      <c r="Y985" s="50"/>
      <c r="Z985" s="50"/>
      <c r="AA985" s="50"/>
      <c r="AB985" s="50"/>
    </row>
    <row r="986" customFormat="false" ht="15.75" hidden="false" customHeight="false" outlineLevel="0" collapsed="false">
      <c r="A986" s="50"/>
      <c r="B986" s="50"/>
      <c r="C986" s="5"/>
      <c r="D986" s="48"/>
      <c r="E986" s="50"/>
      <c r="F986" s="5"/>
      <c r="G986" s="5"/>
      <c r="H986" s="5"/>
      <c r="I986" s="5"/>
      <c r="J986" s="5"/>
      <c r="K986" s="50"/>
      <c r="L986" s="50"/>
      <c r="M986" s="50"/>
      <c r="N986" s="50"/>
      <c r="O986" s="50"/>
      <c r="P986" s="50"/>
      <c r="Q986" s="50"/>
      <c r="R986" s="50"/>
      <c r="S986" s="50"/>
      <c r="T986" s="50"/>
      <c r="U986" s="50"/>
      <c r="V986" s="50"/>
      <c r="W986" s="50"/>
      <c r="X986" s="50"/>
      <c r="Y986" s="50"/>
      <c r="Z986" s="50"/>
      <c r="AA986" s="50"/>
      <c r="AB986" s="50"/>
    </row>
    <row r="987" customFormat="false" ht="15.75" hidden="false" customHeight="false" outlineLevel="0" collapsed="false">
      <c r="A987" s="50"/>
      <c r="B987" s="50"/>
      <c r="C987" s="5"/>
      <c r="D987" s="48"/>
      <c r="E987" s="50"/>
      <c r="F987" s="5"/>
      <c r="G987" s="5"/>
      <c r="H987" s="5"/>
      <c r="I987" s="5"/>
      <c r="J987" s="5"/>
      <c r="K987" s="50"/>
      <c r="L987" s="50"/>
      <c r="M987" s="50"/>
      <c r="N987" s="50"/>
      <c r="O987" s="50"/>
      <c r="P987" s="50"/>
      <c r="Q987" s="50"/>
      <c r="R987" s="50"/>
      <c r="S987" s="50"/>
      <c r="T987" s="50"/>
      <c r="U987" s="50"/>
      <c r="V987" s="50"/>
      <c r="W987" s="50"/>
      <c r="X987" s="50"/>
      <c r="Y987" s="50"/>
      <c r="Z987" s="50"/>
      <c r="AA987" s="50"/>
      <c r="AB987" s="50"/>
    </row>
    <row r="988" customFormat="false" ht="15.75" hidden="false" customHeight="false" outlineLevel="0" collapsed="false">
      <c r="A988" s="50"/>
      <c r="B988" s="50"/>
      <c r="C988" s="5"/>
      <c r="D988" s="48"/>
      <c r="E988" s="50"/>
      <c r="F988" s="5"/>
      <c r="G988" s="5"/>
      <c r="H988" s="5"/>
      <c r="I988" s="5"/>
      <c r="J988" s="5"/>
      <c r="K988" s="50"/>
      <c r="L988" s="50"/>
      <c r="M988" s="50"/>
      <c r="N988" s="50"/>
      <c r="O988" s="50"/>
      <c r="P988" s="50"/>
      <c r="Q988" s="50"/>
      <c r="R988" s="50"/>
      <c r="S988" s="50"/>
      <c r="T988" s="50"/>
      <c r="U988" s="50"/>
      <c r="V988" s="50"/>
      <c r="W988" s="50"/>
      <c r="X988" s="50"/>
      <c r="Y988" s="50"/>
      <c r="Z988" s="50"/>
      <c r="AA988" s="50"/>
      <c r="AB988" s="50"/>
    </row>
    <row r="989" customFormat="false" ht="15.75" hidden="false" customHeight="false" outlineLevel="0" collapsed="false">
      <c r="A989" s="50"/>
      <c r="B989" s="50"/>
      <c r="C989" s="5"/>
      <c r="D989" s="48"/>
      <c r="E989" s="50"/>
      <c r="F989" s="5"/>
      <c r="G989" s="5"/>
      <c r="H989" s="5"/>
      <c r="I989" s="5"/>
      <c r="J989" s="5"/>
      <c r="K989" s="50"/>
      <c r="L989" s="50"/>
      <c r="M989" s="50"/>
      <c r="N989" s="50"/>
      <c r="O989" s="50"/>
      <c r="P989" s="50"/>
      <c r="Q989" s="50"/>
      <c r="R989" s="50"/>
      <c r="S989" s="50"/>
      <c r="T989" s="50"/>
      <c r="U989" s="50"/>
      <c r="V989" s="50"/>
      <c r="W989" s="50"/>
      <c r="X989" s="50"/>
      <c r="Y989" s="50"/>
      <c r="Z989" s="50"/>
      <c r="AA989" s="50"/>
      <c r="AB989" s="50"/>
    </row>
    <row r="990" customFormat="false" ht="15.75" hidden="false" customHeight="false" outlineLevel="0" collapsed="false">
      <c r="A990" s="50"/>
      <c r="B990" s="50"/>
      <c r="C990" s="5"/>
      <c r="D990" s="48"/>
      <c r="E990" s="50"/>
      <c r="F990" s="5"/>
      <c r="G990" s="5"/>
      <c r="H990" s="5"/>
      <c r="I990" s="5"/>
      <c r="J990" s="5"/>
      <c r="K990" s="50"/>
      <c r="L990" s="50"/>
      <c r="M990" s="50"/>
      <c r="N990" s="50"/>
      <c r="O990" s="50"/>
      <c r="P990" s="50"/>
      <c r="Q990" s="50"/>
      <c r="R990" s="50"/>
      <c r="S990" s="50"/>
      <c r="T990" s="50"/>
      <c r="U990" s="50"/>
      <c r="V990" s="50"/>
      <c r="W990" s="50"/>
      <c r="X990" s="50"/>
      <c r="Y990" s="50"/>
      <c r="Z990" s="50"/>
      <c r="AA990" s="50"/>
      <c r="AB990" s="50"/>
    </row>
    <row r="991" customFormat="false" ht="15.75" hidden="false" customHeight="false" outlineLevel="0" collapsed="false">
      <c r="A991" s="50"/>
      <c r="B991" s="50"/>
      <c r="C991" s="5"/>
      <c r="D991" s="48"/>
      <c r="E991" s="50"/>
      <c r="F991" s="5"/>
      <c r="G991" s="5"/>
      <c r="H991" s="5"/>
      <c r="I991" s="5"/>
      <c r="J991" s="5"/>
      <c r="K991" s="50"/>
      <c r="L991" s="50"/>
      <c r="M991" s="50"/>
      <c r="N991" s="50"/>
      <c r="O991" s="50"/>
      <c r="P991" s="50"/>
      <c r="Q991" s="50"/>
      <c r="R991" s="50"/>
      <c r="S991" s="50"/>
      <c r="T991" s="50"/>
      <c r="U991" s="50"/>
      <c r="V991" s="50"/>
      <c r="W991" s="50"/>
      <c r="X991" s="50"/>
      <c r="Y991" s="50"/>
      <c r="Z991" s="50"/>
      <c r="AA991" s="50"/>
      <c r="AB991" s="50"/>
    </row>
    <row r="992" customFormat="false" ht="15.75" hidden="false" customHeight="false" outlineLevel="0" collapsed="false">
      <c r="A992" s="50"/>
      <c r="B992" s="50"/>
      <c r="C992" s="5"/>
      <c r="D992" s="48"/>
      <c r="E992" s="50"/>
      <c r="F992" s="5"/>
      <c r="G992" s="5"/>
      <c r="H992" s="5"/>
      <c r="I992" s="5"/>
      <c r="J992" s="5"/>
      <c r="K992" s="50"/>
      <c r="L992" s="50"/>
      <c r="M992" s="50"/>
      <c r="N992" s="50"/>
      <c r="O992" s="50"/>
      <c r="P992" s="50"/>
      <c r="Q992" s="50"/>
      <c r="R992" s="50"/>
      <c r="S992" s="50"/>
      <c r="T992" s="50"/>
      <c r="U992" s="50"/>
      <c r="V992" s="50"/>
      <c r="W992" s="50"/>
      <c r="X992" s="50"/>
      <c r="Y992" s="50"/>
      <c r="Z992" s="50"/>
      <c r="AA992" s="50"/>
      <c r="AB992" s="50"/>
    </row>
    <row r="993" customFormat="false" ht="15.75" hidden="false" customHeight="false" outlineLevel="0" collapsed="false">
      <c r="A993" s="50"/>
      <c r="B993" s="50"/>
      <c r="C993" s="5"/>
      <c r="D993" s="48"/>
      <c r="E993" s="50"/>
      <c r="F993" s="5"/>
      <c r="G993" s="5"/>
      <c r="H993" s="5"/>
      <c r="I993" s="5"/>
      <c r="J993" s="5"/>
      <c r="K993" s="50"/>
      <c r="L993" s="50"/>
      <c r="M993" s="50"/>
      <c r="N993" s="50"/>
      <c r="O993" s="50"/>
      <c r="P993" s="50"/>
      <c r="Q993" s="50"/>
      <c r="R993" s="50"/>
      <c r="S993" s="50"/>
      <c r="T993" s="50"/>
      <c r="U993" s="50"/>
      <c r="V993" s="50"/>
      <c r="W993" s="50"/>
      <c r="X993" s="50"/>
      <c r="Y993" s="50"/>
      <c r="Z993" s="50"/>
      <c r="AA993" s="50"/>
      <c r="AB993" s="50"/>
    </row>
    <row r="994" customFormat="false" ht="15.75" hidden="false" customHeight="false" outlineLevel="0" collapsed="false">
      <c r="A994" s="50"/>
      <c r="B994" s="50"/>
      <c r="C994" s="5"/>
      <c r="D994" s="48"/>
      <c r="E994" s="50"/>
      <c r="F994" s="5"/>
      <c r="G994" s="5"/>
      <c r="H994" s="5"/>
      <c r="I994" s="5"/>
      <c r="J994" s="5"/>
      <c r="K994" s="50"/>
      <c r="L994" s="50"/>
      <c r="M994" s="50"/>
      <c r="N994" s="50"/>
      <c r="O994" s="50"/>
      <c r="P994" s="50"/>
      <c r="Q994" s="50"/>
      <c r="R994" s="50"/>
      <c r="S994" s="50"/>
      <c r="T994" s="50"/>
      <c r="U994" s="50"/>
      <c r="V994" s="50"/>
      <c r="W994" s="50"/>
      <c r="X994" s="50"/>
      <c r="Y994" s="50"/>
      <c r="Z994" s="50"/>
      <c r="AA994" s="50"/>
      <c r="AB994" s="50"/>
    </row>
    <row r="995" customFormat="false" ht="15.75" hidden="false" customHeight="false" outlineLevel="0" collapsed="false">
      <c r="A995" s="50"/>
      <c r="B995" s="50"/>
      <c r="C995" s="5"/>
      <c r="D995" s="48"/>
      <c r="E995" s="50"/>
      <c r="F995" s="5"/>
      <c r="G995" s="5"/>
      <c r="H995" s="5"/>
      <c r="I995" s="5"/>
      <c r="J995" s="5"/>
      <c r="K995" s="50"/>
      <c r="L995" s="50"/>
      <c r="M995" s="50"/>
      <c r="N995" s="50"/>
      <c r="O995" s="50"/>
      <c r="P995" s="50"/>
      <c r="Q995" s="50"/>
      <c r="R995" s="50"/>
      <c r="S995" s="50"/>
      <c r="T995" s="50"/>
      <c r="U995" s="50"/>
      <c r="V995" s="50"/>
      <c r="W995" s="50"/>
      <c r="X995" s="50"/>
      <c r="Y995" s="50"/>
      <c r="Z995" s="50"/>
      <c r="AA995" s="50"/>
      <c r="AB995" s="50"/>
    </row>
    <row r="996" customFormat="false" ht="15.75" hidden="false" customHeight="false" outlineLevel="0" collapsed="false">
      <c r="A996" s="50"/>
      <c r="B996" s="50"/>
      <c r="C996" s="5"/>
      <c r="D996" s="48"/>
      <c r="E996" s="50"/>
      <c r="F996" s="5"/>
      <c r="G996" s="5"/>
      <c r="H996" s="5"/>
      <c r="I996" s="5"/>
      <c r="J996" s="5"/>
      <c r="K996" s="50"/>
      <c r="L996" s="50"/>
      <c r="M996" s="50"/>
      <c r="N996" s="50"/>
      <c r="O996" s="50"/>
      <c r="P996" s="50"/>
      <c r="Q996" s="50"/>
      <c r="R996" s="50"/>
      <c r="S996" s="50"/>
      <c r="T996" s="50"/>
      <c r="U996" s="50"/>
      <c r="V996" s="50"/>
      <c r="W996" s="50"/>
      <c r="X996" s="50"/>
      <c r="Y996" s="50"/>
      <c r="Z996" s="50"/>
      <c r="AA996" s="50"/>
      <c r="AB996" s="50"/>
    </row>
    <row r="997" customFormat="false" ht="15.75" hidden="false" customHeight="false" outlineLevel="0" collapsed="false">
      <c r="A997" s="50"/>
      <c r="B997" s="50"/>
      <c r="C997" s="5"/>
      <c r="D997" s="48"/>
      <c r="E997" s="50"/>
      <c r="F997" s="5"/>
      <c r="G997" s="5"/>
      <c r="H997" s="5"/>
      <c r="I997" s="5"/>
      <c r="J997" s="5"/>
      <c r="K997" s="50"/>
      <c r="L997" s="50"/>
      <c r="M997" s="50"/>
      <c r="N997" s="50"/>
      <c r="O997" s="50"/>
      <c r="P997" s="50"/>
      <c r="Q997" s="50"/>
      <c r="R997" s="50"/>
      <c r="S997" s="50"/>
      <c r="T997" s="50"/>
      <c r="U997" s="50"/>
      <c r="V997" s="50"/>
      <c r="W997" s="50"/>
      <c r="X997" s="50"/>
      <c r="Y997" s="50"/>
      <c r="Z997" s="50"/>
      <c r="AA997" s="50"/>
      <c r="AB997" s="50"/>
    </row>
    <row r="998" customFormat="false" ht="15.75" hidden="false" customHeight="false" outlineLevel="0" collapsed="false">
      <c r="A998" s="50"/>
      <c r="B998" s="50"/>
      <c r="C998" s="5"/>
      <c r="D998" s="48"/>
      <c r="E998" s="50"/>
      <c r="F998" s="5"/>
      <c r="G998" s="5"/>
      <c r="H998" s="5"/>
      <c r="I998" s="5"/>
      <c r="J998" s="5"/>
      <c r="K998" s="50"/>
      <c r="L998" s="50"/>
      <c r="M998" s="50"/>
      <c r="N998" s="50"/>
      <c r="O998" s="50"/>
      <c r="P998" s="50"/>
      <c r="Q998" s="50"/>
      <c r="R998" s="50"/>
      <c r="S998" s="50"/>
      <c r="T998" s="50"/>
      <c r="U998" s="50"/>
      <c r="V998" s="50"/>
      <c r="W998" s="50"/>
      <c r="X998" s="50"/>
      <c r="Y998" s="50"/>
      <c r="Z998" s="50"/>
      <c r="AA998" s="50"/>
      <c r="AB998" s="50"/>
    </row>
    <row r="999" customFormat="false" ht="15.75" hidden="false" customHeight="false" outlineLevel="0" collapsed="false">
      <c r="A999" s="50"/>
      <c r="B999" s="50"/>
      <c r="C999" s="5"/>
      <c r="D999" s="48"/>
      <c r="E999" s="50"/>
      <c r="F999" s="5"/>
      <c r="G999" s="5"/>
      <c r="H999" s="5"/>
      <c r="I999" s="5"/>
      <c r="J999" s="5"/>
      <c r="K999" s="50"/>
      <c r="L999" s="50"/>
      <c r="M999" s="50"/>
      <c r="N999" s="50"/>
      <c r="O999" s="50"/>
      <c r="P999" s="50"/>
      <c r="Q999" s="50"/>
      <c r="R999" s="50"/>
      <c r="S999" s="50"/>
      <c r="T999" s="50"/>
      <c r="U999" s="50"/>
      <c r="V999" s="50"/>
      <c r="W999" s="50"/>
      <c r="X999" s="50"/>
      <c r="Y999" s="50"/>
      <c r="Z999" s="50"/>
      <c r="AA999" s="50"/>
      <c r="AB999" s="50"/>
    </row>
    <row r="1000" customFormat="false" ht="15.75" hidden="false" customHeight="false" outlineLevel="0" collapsed="false">
      <c r="A1000" s="50"/>
      <c r="B1000" s="50"/>
      <c r="C1000" s="5"/>
      <c r="D1000" s="48"/>
      <c r="E1000" s="50"/>
      <c r="F1000" s="5"/>
      <c r="G1000" s="5"/>
      <c r="H1000" s="5"/>
      <c r="I1000" s="5"/>
      <c r="J1000" s="5"/>
      <c r="K1000" s="50"/>
      <c r="L1000" s="50"/>
      <c r="M1000" s="50"/>
      <c r="N1000" s="50"/>
      <c r="O1000" s="50"/>
      <c r="P1000" s="50"/>
      <c r="Q1000" s="50"/>
      <c r="R1000" s="50"/>
      <c r="S1000" s="50"/>
      <c r="T1000" s="50"/>
      <c r="U1000" s="50"/>
      <c r="V1000" s="50"/>
      <c r="W1000" s="50"/>
      <c r="X1000" s="50"/>
      <c r="Y1000" s="50"/>
      <c r="Z1000" s="50"/>
      <c r="AA1000" s="50"/>
      <c r="AB1000" s="50"/>
    </row>
    <row r="1001" customFormat="false" ht="15.75" hidden="false" customHeight="false" outlineLevel="0" collapsed="false">
      <c r="A1001" s="50"/>
      <c r="B1001" s="50"/>
      <c r="C1001" s="5"/>
      <c r="D1001" s="48"/>
      <c r="E1001" s="50"/>
      <c r="F1001" s="5"/>
      <c r="G1001" s="5"/>
      <c r="H1001" s="5"/>
      <c r="I1001" s="5"/>
      <c r="J1001" s="5"/>
      <c r="K1001" s="50"/>
      <c r="L1001" s="50"/>
      <c r="M1001" s="50"/>
      <c r="N1001" s="50"/>
      <c r="O1001" s="50"/>
      <c r="P1001" s="50"/>
      <c r="Q1001" s="50"/>
      <c r="R1001" s="50"/>
      <c r="S1001" s="50"/>
      <c r="T1001" s="50"/>
      <c r="U1001" s="50"/>
      <c r="V1001" s="50"/>
      <c r="W1001" s="50"/>
      <c r="X1001" s="50"/>
      <c r="Y1001" s="50"/>
      <c r="Z1001" s="50"/>
      <c r="AA1001" s="50"/>
      <c r="AB1001" s="50"/>
    </row>
    <row r="1002" customFormat="false" ht="15.75" hidden="false" customHeight="false" outlineLevel="0" collapsed="false">
      <c r="A1002" s="50"/>
      <c r="B1002" s="50"/>
      <c r="C1002" s="5"/>
      <c r="D1002" s="48"/>
      <c r="E1002" s="50"/>
      <c r="F1002" s="5"/>
      <c r="G1002" s="5"/>
      <c r="H1002" s="5"/>
      <c r="I1002" s="5"/>
      <c r="J1002" s="5"/>
      <c r="K1002" s="50"/>
      <c r="L1002" s="50"/>
      <c r="M1002" s="50"/>
      <c r="N1002" s="50"/>
      <c r="O1002" s="50"/>
      <c r="P1002" s="50"/>
      <c r="Q1002" s="50"/>
      <c r="R1002" s="50"/>
      <c r="S1002" s="50"/>
      <c r="T1002" s="50"/>
      <c r="U1002" s="50"/>
      <c r="V1002" s="50"/>
      <c r="W1002" s="50"/>
      <c r="X1002" s="50"/>
      <c r="Y1002" s="50"/>
      <c r="Z1002" s="50"/>
      <c r="AA1002" s="50"/>
      <c r="AB1002" s="50"/>
    </row>
  </sheetData>
  <mergeCells count="66">
    <mergeCell ref="A2:A5"/>
    <mergeCell ref="B2:B5"/>
    <mergeCell ref="A7:A10"/>
    <mergeCell ref="B7:B10"/>
    <mergeCell ref="A12:A15"/>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mundua/aragonesek-lehen-lerro-politikoa-utziko-du_2125045_102.html"/>
    <hyperlink ref="A7" r:id="rId3" display="https://www.berria.eus/kirola/derbi-bikoitza_2118881_102.html"/>
    <hyperlink ref="A12" r:id="rId4" display="https://www.berria.eus/kirola/berriro-etxean-sentitzeko_2117830_102.html"/>
    <hyperlink ref="A17" r:id="rId5" display="https://www.berria.eus/komunikazioa/generacion-porno-dokumental-saioa-egin-dute-etbk-eta-tv3ek_1341518_102.html"/>
    <hyperlink ref="A22" r:id="rId6" display="https://www.berria.eus/kirola/artolak-nagusitasunez-irabazi-dio-zabaleri_2124679_102.html"/>
    <hyperlink ref="A27" r:id="rId7" display="https://www.berria.eus/mundua/gutxienez-40-hildako-eta-dozenaka-zauritu-moskun-gertatutako-tiroketa-batean_2122731_102.html"/>
    <hyperlink ref="A32" r:id="rId8" display="https://www.berria.eus/bizigiro/ohartu-behar-dugu-bizi-garen-jendartea-dominazioaren-kultura-batean-oinarritzen-dela_2121952_102.html"/>
    <hyperlink ref="A37" r:id="rId9" display="https://www.berria.eus/ekonomia/energiaren-euskal-erakundea-energia-konpainien-zergaren-aurka_234607_102.html"/>
    <hyperlink ref="A42" r:id="rId10" display="https://www.berria.eus/kultura/benat-arrutik-irabazi-du-donostia-kultura-vii-poesia-lehiaketa_2122642_102.html"/>
    <hyperlink ref="A47" r:id="rId11" display="https://www.berria.eus/mundua/aleksei-navalni-hil-da_2120844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05" t="s">
        <v>271</v>
      </c>
      <c r="B1" s="106"/>
      <c r="C1" s="106"/>
      <c r="D1" s="106"/>
      <c r="E1" s="106"/>
      <c r="F1" s="106"/>
      <c r="G1" s="106"/>
      <c r="H1" s="106"/>
      <c r="I1" s="106"/>
      <c r="J1" s="106"/>
      <c r="K1" s="106"/>
      <c r="L1" s="106"/>
      <c r="M1" s="106"/>
      <c r="N1" s="106"/>
      <c r="O1" s="106"/>
      <c r="P1" s="106"/>
      <c r="Q1" s="106"/>
      <c r="R1" s="106"/>
      <c r="S1" s="106"/>
      <c r="T1" s="106"/>
      <c r="U1" s="106"/>
      <c r="V1" s="106"/>
      <c r="W1" s="106"/>
      <c r="X1" s="106"/>
      <c r="Y1" s="106"/>
      <c r="Z1" s="106"/>
    </row>
    <row r="2" customFormat="false" ht="15.75" hidden="false" customHeight="false" outlineLevel="0" collapsed="false">
      <c r="A2" s="2" t="s">
        <v>18</v>
      </c>
      <c r="B2" s="8" t="s">
        <v>272</v>
      </c>
      <c r="C2" s="8"/>
      <c r="D2" s="8"/>
      <c r="E2" s="8"/>
      <c r="F2" s="8"/>
      <c r="G2" s="8"/>
      <c r="H2" s="8"/>
      <c r="I2" s="8"/>
      <c r="J2" s="8"/>
      <c r="K2" s="8"/>
      <c r="L2" s="8"/>
      <c r="M2" s="8"/>
      <c r="N2" s="8"/>
      <c r="O2" s="8"/>
      <c r="P2" s="8"/>
      <c r="Q2" s="8"/>
      <c r="R2" s="8"/>
      <c r="S2" s="8"/>
      <c r="T2" s="8"/>
      <c r="U2" s="8"/>
      <c r="V2" s="8"/>
      <c r="W2" s="8"/>
      <c r="X2" s="8"/>
      <c r="Y2" s="8"/>
      <c r="Z2" s="8"/>
    </row>
    <row r="3" customFormat="false" ht="15.75" hidden="false" customHeight="false" outlineLevel="0" collapsed="false">
      <c r="A3" s="2" t="s">
        <v>19</v>
      </c>
      <c r="B3" s="8" t="s">
        <v>273</v>
      </c>
      <c r="C3" s="8"/>
      <c r="D3" s="8"/>
      <c r="E3" s="8"/>
      <c r="F3" s="8"/>
      <c r="G3" s="8"/>
      <c r="H3" s="8"/>
      <c r="I3" s="8"/>
      <c r="J3" s="8"/>
      <c r="K3" s="8"/>
      <c r="L3" s="8"/>
      <c r="M3" s="8"/>
      <c r="N3" s="8"/>
      <c r="O3" s="8"/>
      <c r="P3" s="8"/>
      <c r="Q3" s="8"/>
      <c r="R3" s="8"/>
      <c r="S3" s="8"/>
      <c r="T3" s="8"/>
      <c r="U3" s="8"/>
      <c r="V3" s="8"/>
      <c r="W3" s="8"/>
      <c r="X3" s="8"/>
      <c r="Y3" s="8"/>
      <c r="Z3" s="8"/>
    </row>
    <row r="4" customFormat="false" ht="15.75" hidden="false" customHeight="false" outlineLevel="0" collapsed="false">
      <c r="A4" s="2" t="s">
        <v>8</v>
      </c>
      <c r="B4" s="8" t="s">
        <v>274</v>
      </c>
      <c r="C4" s="8"/>
      <c r="D4" s="8"/>
      <c r="E4" s="8"/>
      <c r="F4" s="8"/>
      <c r="G4" s="8"/>
      <c r="H4" s="8"/>
      <c r="I4" s="8"/>
      <c r="J4" s="8"/>
      <c r="K4" s="8"/>
      <c r="L4" s="8"/>
      <c r="M4" s="8"/>
      <c r="N4" s="8"/>
      <c r="O4" s="8"/>
      <c r="P4" s="8"/>
      <c r="Q4" s="8"/>
      <c r="R4" s="8"/>
      <c r="S4" s="8"/>
      <c r="T4" s="8"/>
      <c r="U4" s="8"/>
      <c r="V4" s="8"/>
      <c r="W4" s="8"/>
      <c r="X4" s="8"/>
      <c r="Y4" s="8"/>
      <c r="Z4" s="8"/>
    </row>
    <row r="5" customFormat="false" ht="15.75" hidden="false" customHeight="false" outlineLevel="0" collapsed="false">
      <c r="A5" s="2" t="s">
        <v>20</v>
      </c>
      <c r="B5" s="8" t="s">
        <v>275</v>
      </c>
      <c r="C5" s="8"/>
      <c r="D5" s="8"/>
      <c r="E5" s="8"/>
      <c r="F5" s="8"/>
      <c r="G5" s="8"/>
      <c r="H5" s="8"/>
      <c r="I5" s="8"/>
      <c r="J5" s="8"/>
      <c r="K5" s="8"/>
      <c r="L5" s="8"/>
      <c r="M5" s="8"/>
      <c r="N5" s="8"/>
      <c r="O5" s="8"/>
      <c r="P5" s="8"/>
      <c r="Q5" s="8"/>
      <c r="R5" s="8"/>
      <c r="S5" s="8"/>
      <c r="T5" s="8"/>
      <c r="U5" s="8"/>
      <c r="V5" s="8"/>
      <c r="W5" s="8"/>
      <c r="X5" s="8"/>
      <c r="Y5" s="8"/>
      <c r="Z5" s="8"/>
    </row>
    <row r="6" customFormat="false" ht="15.75" hidden="false" customHeight="false" outlineLevel="0" collapsed="false">
      <c r="A6" s="105" t="s">
        <v>276</v>
      </c>
      <c r="B6" s="106"/>
      <c r="C6" s="106"/>
      <c r="D6" s="106"/>
      <c r="E6" s="106"/>
      <c r="F6" s="106"/>
      <c r="G6" s="106"/>
      <c r="H6" s="106"/>
      <c r="I6" s="106"/>
      <c r="J6" s="106"/>
      <c r="K6" s="106"/>
      <c r="L6" s="106"/>
      <c r="M6" s="106"/>
      <c r="N6" s="106"/>
      <c r="O6" s="106"/>
      <c r="P6" s="106"/>
      <c r="Q6" s="106"/>
      <c r="R6" s="106"/>
      <c r="S6" s="106"/>
      <c r="T6" s="106"/>
      <c r="U6" s="106"/>
      <c r="V6" s="106"/>
      <c r="W6" s="106"/>
      <c r="X6" s="106"/>
      <c r="Y6" s="106"/>
      <c r="Z6" s="106"/>
    </row>
    <row r="7" customFormat="false" ht="15.75" hidden="false" customHeight="false" outlineLevel="0" collapsed="false">
      <c r="A7" s="2" t="s">
        <v>16</v>
      </c>
      <c r="B7" s="8" t="s">
        <v>277</v>
      </c>
      <c r="C7" s="8"/>
      <c r="D7" s="8"/>
      <c r="E7" s="8"/>
      <c r="F7" s="8"/>
      <c r="G7" s="8"/>
      <c r="H7" s="8"/>
      <c r="I7" s="8"/>
      <c r="J7" s="8"/>
      <c r="K7" s="8"/>
      <c r="L7" s="8"/>
      <c r="M7" s="8"/>
      <c r="N7" s="8"/>
      <c r="O7" s="8"/>
      <c r="P7" s="8"/>
      <c r="Q7" s="8"/>
      <c r="R7" s="8"/>
      <c r="S7" s="8"/>
      <c r="T7" s="8"/>
      <c r="U7" s="8"/>
      <c r="V7" s="8"/>
      <c r="W7" s="8"/>
      <c r="X7" s="8"/>
      <c r="Y7" s="8"/>
      <c r="Z7" s="8"/>
    </row>
    <row r="8" customFormat="false" ht="15.75" hidden="false" customHeight="false" outlineLevel="0" collapsed="false">
      <c r="A8" s="2" t="s">
        <v>278</v>
      </c>
      <c r="B8" s="8" t="s">
        <v>279</v>
      </c>
      <c r="C8" s="8"/>
      <c r="D8" s="8"/>
      <c r="E8" s="8"/>
      <c r="F8" s="8"/>
      <c r="G8" s="8"/>
      <c r="H8" s="8"/>
      <c r="I8" s="8"/>
      <c r="J8" s="8"/>
      <c r="K8" s="8"/>
      <c r="L8" s="8"/>
      <c r="M8" s="8"/>
      <c r="N8" s="8"/>
      <c r="O8" s="8"/>
      <c r="P8" s="8"/>
      <c r="Q8" s="8"/>
      <c r="R8" s="8"/>
      <c r="S8" s="8"/>
      <c r="T8" s="8"/>
      <c r="U8" s="8"/>
      <c r="V8" s="8"/>
      <c r="W8" s="8"/>
      <c r="X8" s="8"/>
      <c r="Y8" s="8"/>
      <c r="Z8" s="8"/>
    </row>
    <row r="9" customFormat="false" ht="15.75" hidden="false" customHeight="false" outlineLevel="0" collapsed="false">
      <c r="A9" s="2" t="s">
        <v>33</v>
      </c>
      <c r="B9" s="8" t="s">
        <v>280</v>
      </c>
      <c r="C9" s="8"/>
      <c r="D9" s="8"/>
      <c r="E9" s="8"/>
      <c r="F9" s="8"/>
      <c r="G9" s="8"/>
      <c r="H9" s="8"/>
      <c r="I9" s="8"/>
      <c r="J9" s="8"/>
      <c r="K9" s="8"/>
      <c r="L9" s="8"/>
      <c r="M9" s="8"/>
      <c r="N9" s="8"/>
      <c r="O9" s="8"/>
      <c r="P9" s="8"/>
      <c r="Q9" s="8"/>
      <c r="R9" s="8"/>
      <c r="S9" s="8"/>
      <c r="T9" s="8"/>
      <c r="U9" s="8"/>
      <c r="V9" s="8"/>
      <c r="W9" s="8"/>
      <c r="X9" s="8"/>
      <c r="Y9" s="8"/>
      <c r="Z9" s="8"/>
    </row>
    <row r="10" customFormat="false" ht="15.75" hidden="false" customHeight="false" outlineLevel="0" collapsed="false">
      <c r="A10" s="2" t="s">
        <v>281</v>
      </c>
      <c r="B10" s="8" t="s">
        <v>282</v>
      </c>
      <c r="C10" s="8"/>
      <c r="D10" s="8"/>
      <c r="E10" s="8"/>
      <c r="F10" s="8"/>
      <c r="G10" s="8"/>
      <c r="H10" s="8"/>
      <c r="I10" s="8"/>
      <c r="J10" s="8"/>
      <c r="K10" s="8"/>
      <c r="L10" s="8"/>
      <c r="M10" s="8"/>
      <c r="N10" s="8"/>
      <c r="O10" s="8"/>
      <c r="P10" s="8"/>
      <c r="Q10" s="8"/>
      <c r="R10" s="8"/>
      <c r="S10" s="8"/>
      <c r="T10" s="8"/>
      <c r="U10" s="8"/>
      <c r="V10" s="8"/>
      <c r="W10" s="8"/>
      <c r="X10" s="8"/>
      <c r="Y10" s="8"/>
      <c r="Z10" s="8"/>
    </row>
    <row r="11" customFormat="false" ht="15.75" hidden="false" customHeight="false" outlineLevel="0" collapsed="false">
      <c r="A11" s="2" t="s">
        <v>283</v>
      </c>
      <c r="B11" s="8" t="s">
        <v>284</v>
      </c>
      <c r="C11" s="8"/>
      <c r="D11" s="8"/>
      <c r="E11" s="8"/>
      <c r="F11" s="8"/>
      <c r="G11" s="8"/>
      <c r="H11" s="8"/>
      <c r="I11" s="8"/>
      <c r="J11" s="8"/>
      <c r="K11" s="8"/>
      <c r="L11" s="8"/>
      <c r="M11" s="8"/>
      <c r="N11" s="8"/>
      <c r="O11" s="8"/>
      <c r="P11" s="8"/>
      <c r="Q11" s="8"/>
      <c r="R11" s="8"/>
      <c r="S11" s="8"/>
      <c r="T11" s="8"/>
      <c r="U11" s="8"/>
      <c r="V11" s="8"/>
      <c r="W11" s="8"/>
      <c r="X11" s="8"/>
      <c r="Y11" s="8"/>
      <c r="Z11" s="8"/>
    </row>
    <row r="12" customFormat="false" ht="15.75" hidden="false" customHeight="false" outlineLevel="0" collapsed="false">
      <c r="A12" s="105" t="s">
        <v>285</v>
      </c>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row>
    <row r="13" customFormat="false" ht="15.75" hidden="false" customHeight="false" outlineLevel="0" collapsed="false">
      <c r="A13" s="2" t="s">
        <v>4</v>
      </c>
      <c r="B13" s="8" t="s">
        <v>286</v>
      </c>
      <c r="C13" s="8"/>
      <c r="D13" s="8"/>
      <c r="E13" s="8"/>
      <c r="F13" s="8"/>
      <c r="G13" s="8"/>
      <c r="H13" s="8"/>
      <c r="I13" s="8"/>
      <c r="J13" s="8"/>
      <c r="K13" s="8"/>
      <c r="L13" s="8"/>
      <c r="M13" s="8"/>
      <c r="N13" s="8"/>
      <c r="O13" s="8"/>
      <c r="P13" s="8"/>
      <c r="Q13" s="8"/>
      <c r="R13" s="8"/>
      <c r="S13" s="8"/>
      <c r="T13" s="8"/>
      <c r="U13" s="8"/>
      <c r="V13" s="8"/>
      <c r="W13" s="8"/>
      <c r="X13" s="8"/>
      <c r="Y13" s="8"/>
      <c r="Z13" s="8"/>
    </row>
    <row r="14" customFormat="false" ht="15.75" hidden="false" customHeight="false" outlineLevel="0" collapsed="false">
      <c r="A14" s="1" t="s">
        <v>5</v>
      </c>
      <c r="B14" s="8" t="s">
        <v>287</v>
      </c>
      <c r="C14" s="8"/>
      <c r="D14" s="8"/>
      <c r="E14" s="8"/>
      <c r="F14" s="8"/>
      <c r="G14" s="8"/>
      <c r="H14" s="8"/>
      <c r="I14" s="8"/>
      <c r="J14" s="8"/>
      <c r="K14" s="8"/>
      <c r="L14" s="8"/>
      <c r="M14" s="8"/>
      <c r="N14" s="8"/>
      <c r="O14" s="8"/>
      <c r="P14" s="8"/>
      <c r="Q14" s="8"/>
      <c r="R14" s="8"/>
      <c r="S14" s="8"/>
      <c r="T14" s="8"/>
      <c r="U14" s="8"/>
      <c r="V14" s="8"/>
      <c r="W14" s="8"/>
      <c r="X14" s="8"/>
      <c r="Y14" s="8"/>
      <c r="Z14" s="8"/>
    </row>
    <row r="15" customFormat="false" ht="15.75" hidden="false" customHeight="false" outlineLevel="0" collapsed="false">
      <c r="A15" s="1" t="s">
        <v>6</v>
      </c>
      <c r="B15" s="8" t="s">
        <v>288</v>
      </c>
      <c r="C15" s="8"/>
      <c r="D15" s="8"/>
      <c r="E15" s="8"/>
      <c r="F15" s="8"/>
      <c r="G15" s="8"/>
      <c r="H15" s="8"/>
      <c r="I15" s="8"/>
      <c r="J15" s="8"/>
      <c r="K15" s="8"/>
      <c r="L15" s="8"/>
      <c r="M15" s="8"/>
      <c r="N15" s="8"/>
      <c r="O15" s="8"/>
      <c r="P15" s="8"/>
      <c r="Q15" s="8"/>
      <c r="R15" s="8"/>
      <c r="S15" s="8"/>
      <c r="T15" s="8"/>
      <c r="U15" s="8"/>
      <c r="V15" s="8"/>
      <c r="W15" s="8"/>
      <c r="X15" s="8"/>
      <c r="Y15" s="8"/>
      <c r="Z15" s="8"/>
    </row>
    <row r="16" customFormat="false" ht="15.75" hidden="false" customHeight="false" outlineLevel="0" collapsed="false">
      <c r="A16" s="1" t="s">
        <v>7</v>
      </c>
      <c r="B16" s="8" t="s">
        <v>289</v>
      </c>
      <c r="C16" s="8"/>
      <c r="D16" s="8"/>
      <c r="E16" s="8"/>
      <c r="F16" s="8"/>
      <c r="G16" s="8"/>
      <c r="H16" s="8"/>
      <c r="I16" s="8"/>
      <c r="J16" s="8"/>
      <c r="K16" s="8"/>
      <c r="L16" s="8"/>
      <c r="M16" s="8"/>
      <c r="N16" s="8"/>
      <c r="O16" s="8"/>
      <c r="P16" s="8"/>
      <c r="Q16" s="8"/>
      <c r="R16" s="8"/>
      <c r="S16" s="8"/>
      <c r="T16" s="8"/>
      <c r="U16" s="8"/>
      <c r="V16" s="8"/>
      <c r="W16" s="8"/>
      <c r="X16" s="8"/>
      <c r="Y16" s="8"/>
      <c r="Z16" s="8"/>
    </row>
    <row r="17" customFormat="false" ht="15.75" hidden="false" customHeight="false" outlineLevel="0" collapsed="false">
      <c r="A17" s="1" t="s">
        <v>8</v>
      </c>
      <c r="B17" s="8" t="s">
        <v>290</v>
      </c>
      <c r="C17" s="8"/>
      <c r="D17" s="8"/>
      <c r="E17" s="8"/>
      <c r="F17" s="8"/>
      <c r="G17" s="8"/>
      <c r="H17" s="8"/>
      <c r="I17" s="8"/>
      <c r="J17" s="8"/>
      <c r="K17" s="8"/>
      <c r="L17" s="8"/>
      <c r="M17" s="8"/>
      <c r="N17" s="8"/>
      <c r="O17" s="8"/>
      <c r="P17" s="8"/>
      <c r="Q17" s="8"/>
      <c r="R17" s="8"/>
      <c r="S17" s="8"/>
      <c r="T17" s="8"/>
      <c r="U17" s="8"/>
      <c r="V17" s="8"/>
      <c r="W17" s="8"/>
      <c r="X17" s="8"/>
      <c r="Y17" s="8"/>
      <c r="Z17" s="8"/>
    </row>
    <row r="18" customFormat="false" ht="15.75" hidden="false" customHeight="false" outlineLevel="0" collapsed="false">
      <c r="A18" s="105" t="s">
        <v>291</v>
      </c>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customFormat="false" ht="15.75" hidden="false" customHeight="false" outlineLevel="0" collapsed="false">
      <c r="A19" s="107" t="s">
        <v>292</v>
      </c>
      <c r="B19" s="8" t="s">
        <v>293</v>
      </c>
      <c r="C19" s="8"/>
      <c r="D19" s="8"/>
      <c r="E19" s="8"/>
      <c r="F19" s="8"/>
      <c r="G19" s="8"/>
      <c r="H19" s="8"/>
      <c r="I19" s="8"/>
      <c r="J19" s="8"/>
      <c r="K19" s="8"/>
      <c r="L19" s="8"/>
      <c r="M19" s="8"/>
      <c r="N19" s="8"/>
      <c r="O19" s="8"/>
      <c r="P19" s="8"/>
      <c r="Q19" s="8"/>
      <c r="R19" s="8"/>
      <c r="S19" s="8"/>
      <c r="T19" s="8"/>
      <c r="U19" s="8"/>
      <c r="V19" s="8"/>
      <c r="W19" s="8"/>
      <c r="X19" s="8"/>
      <c r="Y19" s="8"/>
      <c r="Z19" s="8"/>
    </row>
    <row r="20" customFormat="false" ht="15.75" hidden="false" customHeight="false" outlineLevel="0" collapsed="false">
      <c r="A20" s="108" t="s">
        <v>292</v>
      </c>
      <c r="B20" s="8" t="s">
        <v>294</v>
      </c>
      <c r="C20" s="8"/>
      <c r="D20" s="8"/>
      <c r="E20" s="8"/>
      <c r="F20" s="8"/>
      <c r="G20" s="8"/>
      <c r="H20" s="8"/>
      <c r="I20" s="8"/>
      <c r="J20" s="8"/>
      <c r="K20" s="8"/>
      <c r="L20" s="8"/>
      <c r="M20" s="8"/>
      <c r="N20" s="8"/>
      <c r="O20" s="8"/>
      <c r="P20" s="8"/>
      <c r="Q20" s="8"/>
      <c r="R20" s="8"/>
      <c r="S20" s="8"/>
      <c r="T20" s="8"/>
      <c r="U20" s="8"/>
      <c r="V20" s="8"/>
      <c r="W20" s="8"/>
      <c r="X20" s="8"/>
      <c r="Y20" s="8"/>
      <c r="Z20" s="8"/>
    </row>
    <row r="21" customFormat="false" ht="15.75" hidden="false" customHeight="false" outlineLevel="0" collapsed="false">
      <c r="A21" s="109" t="s">
        <v>292</v>
      </c>
      <c r="B21" s="8" t="s">
        <v>295</v>
      </c>
      <c r="C21" s="8"/>
      <c r="D21" s="8"/>
      <c r="E21" s="8"/>
      <c r="F21" s="8"/>
      <c r="G21" s="8"/>
      <c r="H21" s="8"/>
      <c r="I21" s="8"/>
      <c r="J21" s="8"/>
      <c r="K21" s="8"/>
      <c r="L21" s="8"/>
      <c r="M21" s="8"/>
      <c r="N21" s="8"/>
      <c r="O21" s="8"/>
      <c r="P21" s="8"/>
      <c r="Q21" s="8"/>
      <c r="R21" s="8"/>
      <c r="S21" s="8"/>
      <c r="T21" s="8"/>
      <c r="U21" s="8"/>
      <c r="V21" s="8"/>
      <c r="W21" s="8"/>
      <c r="X21" s="8"/>
      <c r="Y21" s="8"/>
      <c r="Z21" s="8"/>
    </row>
    <row r="22" customFormat="false" ht="15.75" hidden="false" customHeight="false" outlineLevel="0" collapsed="false">
      <c r="A22" s="110" t="s">
        <v>296</v>
      </c>
      <c r="B22" s="8"/>
      <c r="C22" s="8"/>
      <c r="D22" s="8"/>
      <c r="E22" s="8"/>
      <c r="F22" s="8"/>
      <c r="G22" s="8"/>
      <c r="H22" s="8"/>
      <c r="I22" s="8"/>
      <c r="J22" s="8"/>
      <c r="K22" s="8"/>
      <c r="L22" s="8"/>
      <c r="M22" s="8"/>
      <c r="N22" s="8"/>
      <c r="O22" s="8"/>
      <c r="P22" s="8"/>
      <c r="Q22" s="8"/>
      <c r="R22" s="8"/>
      <c r="S22" s="8"/>
      <c r="T22" s="8"/>
      <c r="U22" s="8"/>
      <c r="V22" s="8"/>
      <c r="W22" s="8"/>
      <c r="X22" s="8"/>
      <c r="Y22" s="8"/>
      <c r="Z22" s="8"/>
    </row>
    <row r="23" customFormat="false" ht="15.75" hidden="false" customHeight="false" outlineLevel="0" collapsed="false">
      <c r="A23" s="111" t="s">
        <v>297</v>
      </c>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5.75" hidden="false" customHeight="false" outlineLevel="0" collapsed="false">
      <c r="A24" s="112" t="s">
        <v>298</v>
      </c>
      <c r="B24" s="8"/>
      <c r="C24" s="8"/>
      <c r="D24" s="8"/>
      <c r="E24" s="8"/>
      <c r="F24" s="8"/>
      <c r="G24" s="8"/>
      <c r="H24" s="8"/>
      <c r="I24" s="8"/>
      <c r="J24" s="8"/>
      <c r="K24" s="8"/>
      <c r="L24" s="8"/>
      <c r="M24" s="8"/>
      <c r="N24" s="8"/>
      <c r="O24" s="8"/>
      <c r="P24" s="8"/>
      <c r="Q24" s="8"/>
      <c r="R24" s="8"/>
      <c r="S24" s="8"/>
      <c r="T24" s="8"/>
      <c r="U24" s="8"/>
      <c r="V24" s="8"/>
      <c r="W24" s="8"/>
      <c r="X24" s="8"/>
      <c r="Y24" s="8"/>
      <c r="Z24" s="8"/>
    </row>
    <row r="25" customFormat="false" ht="15.75" hidden="false" customHeight="false" outlineLevel="0" collapsed="false">
      <c r="A25" s="113" t="s">
        <v>299</v>
      </c>
      <c r="B25" s="8"/>
      <c r="C25" s="8"/>
      <c r="D25" s="8"/>
      <c r="E25" s="8"/>
      <c r="F25" s="8"/>
      <c r="G25" s="8"/>
      <c r="H25" s="8"/>
      <c r="I25" s="8"/>
      <c r="J25" s="8"/>
      <c r="K25" s="8"/>
      <c r="L25" s="8"/>
      <c r="M25" s="8"/>
      <c r="N25" s="8"/>
      <c r="O25" s="8"/>
      <c r="P25" s="8"/>
      <c r="Q25" s="8"/>
      <c r="R25" s="8"/>
      <c r="S25" s="8"/>
      <c r="T25" s="8"/>
      <c r="U25" s="8"/>
      <c r="V25" s="8"/>
      <c r="W25" s="8"/>
      <c r="X25" s="8"/>
      <c r="Y25" s="8"/>
      <c r="Z25" s="8"/>
    </row>
    <row r="26" customFormat="false" ht="15.75" hidden="false" customHeight="false" outlineLevel="0" collapsed="false">
      <c r="A26" s="114" t="s">
        <v>300</v>
      </c>
      <c r="B26" s="8"/>
      <c r="C26" s="8"/>
      <c r="D26" s="8"/>
      <c r="E26" s="8"/>
      <c r="F26" s="8"/>
      <c r="G26" s="8"/>
      <c r="H26" s="8"/>
      <c r="I26" s="8"/>
      <c r="J26" s="8"/>
      <c r="K26" s="8"/>
      <c r="L26" s="8"/>
      <c r="M26" s="8"/>
      <c r="N26" s="8"/>
      <c r="O26" s="8"/>
      <c r="P26" s="8"/>
      <c r="Q26" s="8"/>
      <c r="R26" s="8"/>
      <c r="S26" s="8"/>
      <c r="T26" s="8"/>
      <c r="U26" s="8"/>
      <c r="V26" s="8"/>
      <c r="W26" s="8"/>
      <c r="X26" s="8"/>
      <c r="Y26" s="8"/>
      <c r="Z26" s="8"/>
    </row>
    <row r="27" customFormat="false" ht="15.75" hidden="false" customHeight="false" outlineLevel="0" collapsed="false">
      <c r="A27" s="115" t="s">
        <v>301</v>
      </c>
      <c r="B27" s="8"/>
      <c r="C27" s="8"/>
      <c r="D27" s="8"/>
      <c r="E27" s="8"/>
      <c r="F27" s="8"/>
      <c r="G27" s="8"/>
      <c r="H27" s="8"/>
      <c r="I27" s="8"/>
      <c r="J27" s="8"/>
      <c r="K27" s="8"/>
      <c r="L27" s="8"/>
      <c r="M27" s="8"/>
      <c r="N27" s="8"/>
      <c r="O27" s="8"/>
      <c r="P27" s="8"/>
      <c r="Q27" s="8"/>
      <c r="R27" s="8"/>
      <c r="S27" s="8"/>
      <c r="T27" s="8"/>
      <c r="U27" s="8"/>
      <c r="V27" s="8"/>
      <c r="W27" s="8"/>
      <c r="X27" s="8"/>
      <c r="Y27" s="8"/>
      <c r="Z27" s="8"/>
    </row>
    <row r="28" customFormat="false" ht="15.75"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row>
    <row r="29" customFormat="false" ht="15.75" hidden="false" customHeight="fals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row>
    <row r="30" customFormat="false" ht="15.75" hidden="false" customHeight="fals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row>
    <row r="31" customFormat="false" ht="15.75"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row>
    <row r="32" customFormat="false" ht="15.75" hidden="false" customHeight="fals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row>
    <row r="33" customFormat="false" ht="15.75"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row>
    <row r="34" customFormat="false" ht="15.75" hidden="false" customHeight="fals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row>
    <row r="35" customFormat="false" ht="15.75" hidden="false" customHeight="fals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row>
    <row r="36" customFormat="false" ht="15.75"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row>
    <row r="37" customFormat="false" ht="15.75" hidden="false" customHeight="fals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row>
    <row r="38" customFormat="false" ht="15.75"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row>
    <row r="39" customFormat="false" ht="15.75" hidden="false" customHeight="fals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row>
    <row r="40" customFormat="false" ht="15.75" hidden="false" customHeight="fals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row>
    <row r="41" customFormat="false" ht="15.75" hidden="false" customHeight="fals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row>
    <row r="42" customFormat="false" ht="15.75"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row>
    <row r="43" customFormat="false" ht="15.75" hidden="false" customHeight="fals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row>
    <row r="44" customFormat="false" ht="15.75" hidden="false" customHeight="fals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row>
    <row r="45" customFormat="false" ht="15.75" hidden="false" customHeight="fals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5.75" hidden="false" customHeight="fals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5.75" hidden="false" customHeight="fals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5.75" hidden="false" customHeight="fals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5.75" hidden="false" customHeight="fals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5.75" hidden="false" customHeight="fals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5.75" hidden="false" customHeight="fals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5.75" hidden="false" customHeight="fals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5.75" hidden="false" customHeight="fals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5.75" hidden="false" customHeight="fals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5.75" hidden="false" customHeight="fals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5.75" hidden="false" customHeight="fals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5.75" hidden="false" customHeight="fals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5.75" hidden="false" customHeight="fals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5.75" hidden="false" customHeight="fals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5.75" hidden="false" customHeight="fals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5.75" hidden="false" customHeight="fals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5.75" hidden="false" customHeight="fals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5.75" hidden="false" customHeight="fals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5.75" hidden="false" customHeight="fals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5.75" hidden="false" customHeight="fals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5.75" hidden="false" customHeight="fals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5.75" hidden="false" customHeight="fals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5.75" hidden="false" customHeight="fals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5.75" hidden="false" customHeight="fals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5.75" hidden="false" customHeight="fals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5.75" hidden="false" customHeight="fals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5.75" hidden="false" customHeight="fals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5.75" hidden="false" customHeight="fals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5.75" hidden="false" customHeight="fals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5.75" hidden="false" customHeight="fals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5.75" hidden="false" customHeight="fals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5.75" hidden="false" customHeight="fals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5.75" hidden="false" customHeight="fals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5.75" hidden="false" customHeight="fals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5.75" hidden="false" customHeight="fals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5.75" hidden="false" customHeight="fals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5.75" hidden="false" customHeight="fals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5.75" hidden="false" customHeight="fals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5.75" hidden="false" customHeight="fals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5.75" hidden="false" customHeight="fals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5.75" hidden="false" customHeight="fals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5.75" hidden="false" customHeight="fals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5.75" hidden="false" customHeight="fals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5.75" hidden="false" customHeight="fals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5.75" hidden="false" customHeight="fals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5.75" hidden="false" customHeight="fals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5.75" hidden="false" customHeight="fals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5.75" hidden="false" customHeight="fals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5.75" hidden="false" customHeight="fals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5.75" hidden="false" customHeight="fals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5.75" hidden="false" customHeight="fals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5.75" hidden="false" customHeight="fals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5.75" hidden="false" customHeight="fals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5.75" hidden="false" customHeight="fals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5.75" hidden="false" customHeight="fals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5.75" hidden="false" customHeight="fals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5.75" hidden="false" customHeight="fals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5.75" hidden="false" customHeight="fals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5.75" hidden="false" customHeight="fals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5.75" hidden="false" customHeight="fals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5.75" hidden="false" customHeight="fals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5.75" hidden="false" customHeight="fals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5.75" hidden="false" customHeight="fals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5.75" hidden="false" customHeight="fals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5.75" hidden="false" customHeight="fals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5.75" hidden="false" customHeight="fals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5.75" hidden="false" customHeight="fals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5.75" hidden="false" customHeight="fals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5.75" hidden="false" customHeight="fals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5.75" hidden="false" customHeight="fals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5.75" hidden="false" customHeight="fals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5.75" hidden="false" customHeight="fals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5.75" hidden="false" customHeight="fals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5.75" hidden="false" customHeight="fals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5.75" hidden="false" customHeight="fals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5.75" hidden="false" customHeight="fals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5.75" hidden="false" customHeight="fals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5.75" hidden="false" customHeight="fals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5.75" hidden="false" customHeight="fals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5.75" hidden="false" customHeight="fals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5.75" hidden="false" customHeight="fals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5.75" hidden="false" customHeight="fals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5.75" hidden="false" customHeight="fals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5.75" hidden="false" customHeight="fals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5.75" hidden="false" customHeight="fals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5.75" hidden="false" customHeight="fals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5.75" hidden="false" customHeight="fals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5.75" hidden="false" customHeight="fals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5.75" hidden="false" customHeight="fals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5.75" hidden="false" customHeight="fals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5.75" hidden="false" customHeight="fals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5.75" hidden="false" customHeight="fals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5.75" hidden="false" customHeight="fals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5.75" hidden="false" customHeight="fals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5.75" hidden="false" customHeight="fals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5.75" hidden="false" customHeight="fals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5.75" hidden="false" customHeight="fals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5.75" hidden="false" customHeight="fals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5.75" hidden="false" customHeight="fals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5.75" hidden="false" customHeight="fals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5.75" hidden="false" customHeight="fals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5.75" hidden="false" customHeight="fals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5.75" hidden="false" customHeight="fals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5.75" hidden="false" customHeight="fals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5.75" hidden="false" customHeight="fals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5.75" hidden="false" customHeight="fals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5.75" hidden="false" customHeight="fals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5.75" hidden="false" customHeight="fals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5.75" hidden="false" customHeight="fals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5.75" hidden="false" customHeight="fals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5.75" hidden="false" customHeight="fals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5.75" hidden="false" customHeight="fals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5.75" hidden="false" customHeight="fals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5.75" hidden="false" customHeight="fals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5.75" hidden="false" customHeight="fals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5.75" hidden="false" customHeight="fals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5.75" hidden="false" customHeight="fals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5.75" hidden="false" customHeight="fals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5.75" hidden="false" customHeight="fals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5.75" hidden="false" customHeight="fals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5.75" hidden="false" customHeight="fals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5.75" hidden="false" customHeight="fals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5.75" hidden="false" customHeight="fals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5.75" hidden="false" customHeight="fals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5.75" hidden="false" customHeight="fals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5.75" hidden="false" customHeight="fals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5.75" hidden="false" customHeight="fals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5.75" hidden="false" customHeight="fals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5.75" hidden="false" customHeight="fals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5.75" hidden="false" customHeight="fals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5.75" hidden="false" customHeight="fals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5.75" hidden="false" customHeight="fals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5.75" hidden="false" customHeight="fals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5.75" hidden="false" customHeight="fals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5.75" hidden="false" customHeight="fals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5.75" hidden="false" customHeight="fals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5.75" hidden="false" customHeight="fals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5.75" hidden="false" customHeight="fals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5.75" hidden="false" customHeight="fals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5.75" hidden="false" customHeight="fals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5.75" hidden="false" customHeight="fals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5.75" hidden="false" customHeight="fals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5.75" hidden="false" customHeight="fals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5.75" hidden="false" customHeight="fals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5.75" hidden="false" customHeight="fals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5.75" hidden="false" customHeight="fals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5.75" hidden="false" customHeight="fals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5.75" hidden="false" customHeight="fals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5.75" hidden="false" customHeight="fals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5.75" hidden="false" customHeight="fals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5.75" hidden="false" customHeight="fals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5.75" hidden="false" customHeight="fals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5.75" hidden="false" customHeight="fals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5.75" hidden="false" customHeight="fals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5.75" hidden="false" customHeight="fals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5.75" hidden="false" customHeight="fals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5.75" hidden="false" customHeight="fals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5.75" hidden="false" customHeight="fals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5.75" hidden="false" customHeight="fals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5.75" hidden="false" customHeight="fals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5.75" hidden="false" customHeight="fals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5.75" hidden="false" customHeight="fals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5.75" hidden="false" customHeight="fals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5.75" hidden="false" customHeight="fals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5.75" hidden="false" customHeight="fals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5.75" hidden="false" customHeight="fals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5.75" hidden="false" customHeight="fals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5.75" hidden="false" customHeight="fals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5.75" hidden="false" customHeight="fals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5.75" hidden="false" customHeight="fals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5.75" hidden="false" customHeight="fals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5.75" hidden="false" customHeight="fals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5.75" hidden="false" customHeight="fals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5.75" hidden="false" customHeight="fals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5.75" hidden="false" customHeight="fals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5.75" hidden="false" customHeight="fals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5.75" hidden="false" customHeight="fals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5.75" hidden="false" customHeight="fals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5.75" hidden="false" customHeight="fals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5.75" hidden="false" customHeight="fals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5.75" hidden="false" customHeight="fals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5.75" hidden="false" customHeight="fals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5.75" hidden="false" customHeight="fals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5.75" hidden="false" customHeight="fals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5.75" hidden="false" customHeight="fals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5.75" hidden="false" customHeight="fals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5.75" hidden="false" customHeight="fals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5.75" hidden="false" customHeight="fals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5.75" hidden="false" customHeight="fals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5.75" hidden="false" customHeight="fals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5.75" hidden="false" customHeight="fals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5.75" hidden="false" customHeight="fals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5.75" hidden="false" customHeight="fals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5.75" hidden="false" customHeight="fals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5.75" hidden="false" customHeight="fals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5.75" hidden="false" customHeight="fals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5.75" hidden="false" customHeight="fals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5.75" hidden="false" customHeight="fals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5.75" hidden="false" customHeight="fals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5.75" hidden="false" customHeight="fals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5.75" hidden="false" customHeight="fals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5.75" hidden="false" customHeight="fals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5.75" hidden="false" customHeight="fals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5.75" hidden="false" customHeight="fals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5.75" hidden="false" customHeight="fals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5.75" hidden="false" customHeight="fals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5.75" hidden="false" customHeight="fals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5.75" hidden="false" customHeight="fals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5.75" hidden="false" customHeight="fals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5.75" hidden="false" customHeight="fals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5.75" hidden="false" customHeight="fals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5.75" hidden="false" customHeight="fals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5.75" hidden="false" customHeight="fals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5.75" hidden="false" customHeight="fals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5.75" hidden="false" customHeight="fals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5.75" hidden="false" customHeight="fals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5.75" hidden="false" customHeight="fals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5.75" hidden="false" customHeight="fals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5.75" hidden="false" customHeight="fals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5.75" hidden="false" customHeight="fals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5.75" hidden="false" customHeight="fals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5.75" hidden="false" customHeight="fals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5.75" hidden="false" customHeight="fals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5.75" hidden="false" customHeight="fals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5.75" hidden="false" customHeight="fals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5.75" hidden="false" customHeight="fals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5.75" hidden="false" customHeight="fals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5.75" hidden="false" customHeight="fals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5.75" hidden="false" customHeight="fals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5.75" hidden="false" customHeight="fals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5.75" hidden="false" customHeight="fals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5.75" hidden="false" customHeight="fals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5.75" hidden="false" customHeight="fals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5.75" hidden="false" customHeight="fals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5.75" hidden="false" customHeight="fals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5.75" hidden="false" customHeight="fals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5.75" hidden="false" customHeight="fals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5.75" hidden="false" customHeight="fals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5.75" hidden="false" customHeight="fals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5.75" hidden="false" customHeight="fals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5.75" hidden="false" customHeight="fals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5.75" hidden="false" customHeight="fals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5.75" hidden="false" customHeight="fals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5.75" hidden="false" customHeight="fals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5.75" hidden="false" customHeight="fals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5.75" hidden="false" customHeight="fals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5.75" hidden="false" customHeight="fals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5.75" hidden="false" customHeight="fals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5.75" hidden="false" customHeight="fals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5.75" hidden="false" customHeight="fals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5.75" hidden="false" customHeight="fals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5.75" hidden="false" customHeight="fals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5.75" hidden="false" customHeight="fals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5.75" hidden="false" customHeight="fals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5.75" hidden="false" customHeight="fals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5.75" hidden="false" customHeight="fals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5.75" hidden="false" customHeight="fals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5.75" hidden="false" customHeight="fals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5.75" hidden="false" customHeight="fals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5.75" hidden="false" customHeight="fals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5.75" hidden="false" customHeight="fals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5.75" hidden="false" customHeight="fals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5.75" hidden="false" customHeight="fals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5.75" hidden="false" customHeight="fals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5.75" hidden="false" customHeight="fals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5.75" hidden="false" customHeight="fals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5.75" hidden="false" customHeight="fals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5.75" hidden="false" customHeight="fals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5.75" hidden="false" customHeight="fals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5.75" hidden="false" customHeight="fals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5.75" hidden="false" customHeight="fals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5.75" hidden="false" customHeight="fals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5.75" hidden="false" customHeight="fals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5.75" hidden="false" customHeight="fals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5.75" hidden="false" customHeight="fals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5.75" hidden="false" customHeight="fals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5.75" hidden="false" customHeight="fals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5.75" hidden="false" customHeight="fals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5.75" hidden="false" customHeight="fals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5.75" hidden="false" customHeight="fals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5.75" hidden="false" customHeight="fals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5.75" hidden="false" customHeight="fals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5.75" hidden="false" customHeight="fals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5.75" hidden="false" customHeight="fals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5.75" hidden="false" customHeight="fals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5.75" hidden="false" customHeight="fals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5.75" hidden="false" customHeight="fals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5.75" hidden="false" customHeight="fals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5.75" hidden="false" customHeight="fals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5.75" hidden="false" customHeight="fals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5.75" hidden="false" customHeight="fals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5.75" hidden="false" customHeight="fals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5.75" hidden="false" customHeight="fals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5.75" hidden="false" customHeight="fals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5.75" hidden="false" customHeight="fals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5.75" hidden="false" customHeight="fals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5.75" hidden="false" customHeight="fals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5.75" hidden="false" customHeight="fals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5.75" hidden="false" customHeight="fals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5.75" hidden="false" customHeight="fals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5.75" hidden="false" customHeight="fals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5.75" hidden="false" customHeight="fals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5.75" hidden="false" customHeight="fals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5.75" hidden="false" customHeight="fals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5.75" hidden="false" customHeight="fals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5.75" hidden="false" customHeight="fals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5.75" hidden="false" customHeight="fals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5.75" hidden="false" customHeight="fals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5.75" hidden="false" customHeight="fals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5.75" hidden="false" customHeight="fals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5.75" hidden="false" customHeight="fals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5.75" hidden="false" customHeight="fals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5.75" hidden="false" customHeight="fals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5.75" hidden="false" customHeight="fals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5.75" hidden="false" customHeight="fals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5.75" hidden="false" customHeight="fals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5.75" hidden="false" customHeight="fals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5.75" hidden="false" customHeight="fals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5.75" hidden="false" customHeight="fals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5.75" hidden="false" customHeight="fals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5.75" hidden="false" customHeight="fals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5.75" hidden="false" customHeight="fals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5.75" hidden="false" customHeight="fals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5.75" hidden="false" customHeight="fals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5.75" hidden="false" customHeight="fals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5.75" hidden="false" customHeight="fals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5.75" hidden="false" customHeight="fals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5.75" hidden="false" customHeight="fals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5.75" hidden="false" customHeight="fals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5.75" hidden="false" customHeight="fals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5.75" hidden="false" customHeight="fals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5.75" hidden="false" customHeight="fals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5.75" hidden="false" customHeight="fals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5.75" hidden="false" customHeight="fals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5.75" hidden="false" customHeight="fals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5.75" hidden="false" customHeight="fals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5.75" hidden="false" customHeight="fals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5.75" hidden="false" customHeight="fals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5.75" hidden="false" customHeight="fals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5.75" hidden="false" customHeight="fals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5.75" hidden="false" customHeight="fals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5.75" hidden="false" customHeight="fals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5.75" hidden="false" customHeight="fals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5.75" hidden="false" customHeight="fals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5.75" hidden="false" customHeight="fals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5.75" hidden="false" customHeight="fals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fals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fals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fals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fals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fals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fals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fals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fals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fals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fals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fals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fals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fals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fals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fals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fals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fals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fals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fals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fals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fals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fals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fals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fals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fals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fals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fals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fals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fals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fals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fals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fals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fals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fals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fals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fals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fals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fals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fals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fals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fals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fals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fals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fals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fals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fals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fals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fals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fals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fals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fals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fals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fals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fals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fals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fals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fals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fals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fals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fals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fals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fals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fals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fals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fals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fals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fals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fals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fals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fals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fals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fals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fals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fals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fals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fals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fals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fals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fals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fals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fals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fals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fals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fals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fals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fals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fals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fals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fals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fals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fals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fals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fals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fals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fals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fals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fals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fals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fals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fals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fals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fals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fals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fals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fals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fals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fals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fals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fals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fals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fals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fals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fals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fals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fals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fals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fals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fals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fals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fals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fals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fals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fals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fals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fals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fals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fals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fals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fals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fals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fals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fals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fals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fals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fals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fals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fals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fals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fals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fals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fals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fals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fals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fals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fals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fals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fals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fals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fals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fals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fals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fals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fals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fals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fals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fals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fals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fals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fals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fals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fals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fals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fals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fals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fals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fals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fals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fals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fals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fals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fals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fals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fals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fals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fals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fals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fals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fals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fals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fals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fals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fals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fals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fals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fals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fals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fals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fals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fals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fals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fals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fals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fals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fals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fals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fals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fals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fals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fals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fals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fals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fals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fals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fals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fals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fals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fals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fals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fals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fals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fals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fals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fals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fals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fals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fals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fals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fals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fals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fals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fals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fals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fals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fals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fals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fals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fals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fals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fals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fals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fals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fals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fals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fals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fals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fals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fals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fals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fals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fals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fals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fals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fals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fals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fals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fals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fals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fals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fals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fals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fals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fals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fals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fals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fals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fals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fals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fals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fals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fals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fals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fals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fals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fals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fals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fals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fals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fals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fals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fals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fals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fals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fals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fals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fals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fals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fals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fals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fals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fals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fals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fals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fals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fals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fals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fals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fals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fals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fals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fals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fals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fals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fals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fals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fals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fals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fals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fals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fals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fals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fals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fals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fals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fals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fals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fals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fals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fals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fals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fals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fals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fals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fals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fals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fals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fals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fals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fals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fals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fals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fals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fals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fals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fals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fals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fals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fals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fals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fals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fals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fals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fals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fals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fals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fals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fals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fals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fals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fals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fals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fals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fals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fals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fals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fals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fals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fals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fals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fals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fals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fals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fals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fals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fals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fals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fals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fals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fals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fals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fals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fals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fals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fals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fals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fals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fals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fals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fals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fals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fals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fals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fals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fals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fals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fals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fals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fals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fals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fals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fals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fals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fals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fals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fals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fals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fals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fals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fals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fals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fals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fals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fals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fals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fals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fals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fals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fals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fals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fals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fals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fals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fals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fals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fals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fals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fals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fals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fals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fals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fals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fals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fals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fals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fals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fals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fals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fals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fals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fals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fals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fals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fals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fals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fals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fals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fals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fals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fals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fals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fals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fals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fals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fals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fals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fals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fals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fals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fals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fals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fals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fals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fals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fals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fals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fals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fals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fals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fals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fals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fals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fals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fals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fals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fals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fals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fals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fals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fals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fals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fals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fals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fals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fals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fals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fals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fals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fals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fals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fals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fals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fals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fals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fals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fals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fals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fals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fals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fals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fals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fals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fals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fals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fals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fals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fals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fals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fals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fals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fals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fals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fals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fals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fals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fals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fals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fals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fals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fals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fals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fals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fals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fals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fals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fals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fals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fals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fals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fals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fals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fals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fals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fals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fals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fals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fals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fals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fals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fals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fals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fals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fals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fals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fals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fals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fals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fals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fals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fals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fals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fals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fals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fals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fals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fals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fals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fals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fals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fals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fals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fals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fals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fals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fals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fals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fals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fals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fals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fals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fals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fals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fals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fals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fals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fals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fals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fals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fals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fals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fals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fals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fals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fals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fals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fals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fals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fals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fals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fals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fals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fals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fals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fals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fals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fals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fals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fals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fals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fals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fals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fals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fals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fals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fals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fals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fals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fals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fals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fals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fals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fals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fals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fals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fals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fals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fals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fals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fals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fals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fals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fals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fals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fals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fals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fals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fals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fals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fals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fals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fals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fals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dataValidations count="1">
    <dataValidation allowBlank="true" errorStyle="stop" operator="between" showDropDown="false" showErrorMessage="true" showInputMessage="false" sqref="A2:A5 A7:A11" type="list">
      <formula1>"5W1H,Base,CoT,tldr,Heading,Jeremy,Begoña,Alba,Naiara"</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2" min="2" style="0" width="17.75"/>
    <col collapsed="false" customWidth="false" hidden="true" outlineLevel="0" max="11" min="10" style="0" width="12.63"/>
  </cols>
  <sheetData>
    <row r="1" customFormat="false" ht="15.75" hidden="false" customHeight="false" outlineLevel="0" collapsed="false">
      <c r="A1" s="1" t="s">
        <v>0</v>
      </c>
      <c r="B1" s="1" t="s">
        <v>1</v>
      </c>
      <c r="C1" s="1" t="s">
        <v>2</v>
      </c>
      <c r="D1" s="1" t="s">
        <v>3</v>
      </c>
      <c r="E1" s="2" t="s">
        <v>4</v>
      </c>
      <c r="F1" s="2" t="s">
        <v>5</v>
      </c>
      <c r="G1" s="2" t="s">
        <v>6</v>
      </c>
      <c r="H1" s="2" t="s">
        <v>7</v>
      </c>
      <c r="I1" s="2" t="s">
        <v>8</v>
      </c>
      <c r="J1" s="1" t="s">
        <v>302</v>
      </c>
      <c r="K1" s="1" t="s">
        <v>303</v>
      </c>
    </row>
    <row r="2" customFormat="false" ht="15.75" hidden="false" customHeight="false" outlineLevel="0" collapsed="false">
      <c r="A2" s="116" t="str">
        <f aca="false">'🤖 Claude Haiku 3.5'!$A$2</f>
        <v>https://www.berria.eus/mundua/aragonesek-lehen-lerro-politikoa-utziko-du_2125045_102.html</v>
      </c>
      <c r="B2" s="3" t="str">
        <f aca="false">"Claude Sonnet 3.5"</f>
        <v>Claude Sonnet 3.5</v>
      </c>
      <c r="C2" s="5" t="str">
        <f aca="false">'🤖 Claude Haiku 3.5'!C2</f>
        <v>Base</v>
      </c>
      <c r="D2" s="117" t="n">
        <f aca="false">'🤖 Claude Haiku 3.5'!E2</f>
        <v>0.1075794621</v>
      </c>
      <c r="E2" s="118" t="n">
        <f aca="false">'🤖 Claude Haiku 3.5'!F2</f>
        <v>1</v>
      </c>
      <c r="F2" s="118" t="n">
        <f aca="false">'🤖 Claude Haiku 3.5'!G2</f>
        <v>5</v>
      </c>
      <c r="G2" s="118" t="n">
        <f aca="false">'🤖 Claude Haiku 3.5'!H2</f>
        <v>1</v>
      </c>
      <c r="H2" s="118" t="n">
        <f aca="false">'🤖 Claude Haiku 3.5'!I2</f>
        <v>2</v>
      </c>
      <c r="I2" s="118" t="n">
        <f aca="false">'🤖 Claude Haiku 3.5'!J2</f>
        <v>3</v>
      </c>
      <c r="J2" s="10" t="n">
        <f aca="false">VLOOKUP(B2,__lookup__!A:B,2,FALSE())</f>
        <v>1</v>
      </c>
      <c r="K2" s="10" t="n">
        <f aca="false">VLOOKUP(C2,__lookup__!A:B,2,FALSE())</f>
        <v>10</v>
      </c>
      <c r="M2" s="119"/>
      <c r="N2" s="119"/>
      <c r="O2" s="119"/>
      <c r="P2" s="119"/>
      <c r="Q2" s="119"/>
      <c r="R2" s="119"/>
      <c r="S2" s="119"/>
    </row>
    <row r="3" customFormat="false" ht="15.75" hidden="false" customHeight="false" outlineLevel="0" collapsed="false">
      <c r="A3" s="116" t="str">
        <f aca="false">'🤖 Claude Haiku 3.5'!$A$2</f>
        <v>https://www.berria.eus/mundua/aragonesek-lehen-lerro-politikoa-utziko-du_2125045_102.html</v>
      </c>
      <c r="B3" s="3" t="str">
        <f aca="false">"Claude Sonnet 3.5"</f>
        <v>Claude Sonnet 3.5</v>
      </c>
      <c r="C3" s="5" t="str">
        <f aca="false">'🤖 Claude Haiku 3.5'!C3</f>
        <v>CoT</v>
      </c>
      <c r="D3" s="120" t="n">
        <f aca="false">'🤖 Claude Haiku 3.5'!E3</f>
        <v>0.1515892421</v>
      </c>
      <c r="E3" s="118" t="n">
        <f aca="false">'🤖 Claude Haiku 3.5'!F3</f>
        <v>3</v>
      </c>
      <c r="F3" s="118" t="n">
        <f aca="false">'🤖 Claude Haiku 3.5'!G3</f>
        <v>4</v>
      </c>
      <c r="G3" s="118" t="n">
        <f aca="false">'🤖 Claude Haiku 3.5'!H3</f>
        <v>5</v>
      </c>
      <c r="H3" s="118" t="n">
        <f aca="false">'🤖 Claude Haiku 3.5'!I3</f>
        <v>3</v>
      </c>
      <c r="I3" s="118" t="n">
        <f aca="false">'🤖 Claude Haiku 3.5'!J3</f>
        <v>4</v>
      </c>
    </row>
    <row r="4" customFormat="false" ht="15.75" hidden="false" customHeight="false" outlineLevel="0" collapsed="false">
      <c r="A4" s="116" t="str">
        <f aca="false">'🤖 Claude Haiku 3.5'!$A$2</f>
        <v>https://www.berria.eus/mundua/aragonesek-lehen-lerro-politikoa-utziko-du_2125045_102.html</v>
      </c>
      <c r="B4" s="3" t="str">
        <f aca="false">"Claude Sonnet 3.5"</f>
        <v>Claude Sonnet 3.5</v>
      </c>
      <c r="C4" s="5" t="str">
        <f aca="false">'🤖 Claude Haiku 3.5'!C4</f>
        <v>5W1H</v>
      </c>
      <c r="D4" s="121" t="n">
        <f aca="false">'🤖 Claude Haiku 3.5'!E4</f>
        <v>0.1503667482</v>
      </c>
      <c r="E4" s="118" t="n">
        <f aca="false">'🤖 Claude Haiku 3.5'!F4</f>
        <v>1</v>
      </c>
      <c r="F4" s="118" t="n">
        <f aca="false">'🤖 Claude Haiku 3.5'!G4</f>
        <v>4</v>
      </c>
      <c r="G4" s="118" t="n">
        <f aca="false">'🤖 Claude Haiku 3.5'!H4</f>
        <v>4</v>
      </c>
      <c r="H4" s="118" t="n">
        <f aca="false">'🤖 Claude Haiku 3.5'!I4</f>
        <v>4</v>
      </c>
      <c r="I4" s="118" t="n">
        <f aca="false">'🤖 Claude Haiku 3.5'!J4</f>
        <v>5</v>
      </c>
    </row>
    <row r="5" customFormat="false" ht="15.75" hidden="false" customHeight="false" outlineLevel="0" collapsed="false">
      <c r="A5" s="116" t="str">
        <f aca="false">'🤖 Claude Haiku 3.5'!$A$2</f>
        <v>https://www.berria.eus/mundua/aragonesek-lehen-lerro-politikoa-utziko-du_2125045_102.html</v>
      </c>
      <c r="B5" s="3" t="str">
        <f aca="false">"Claude Sonnet 3.5"</f>
        <v>Claude Sonnet 3.5</v>
      </c>
      <c r="C5" s="5" t="str">
        <f aca="false">'🤖 Claude Haiku 3.5'!C5</f>
        <v>tldr</v>
      </c>
      <c r="D5" s="122" t="n">
        <f aca="false">'🤖 Claude Haiku 3.5'!E5</f>
        <v>0.2872860636</v>
      </c>
      <c r="E5" s="118" t="n">
        <f aca="false">'🤖 Claude Haiku 3.5'!F5</f>
        <v>2</v>
      </c>
      <c r="F5" s="118" t="n">
        <f aca="false">'🤖 Claude Haiku 3.5'!G5</f>
        <v>5</v>
      </c>
      <c r="G5" s="118" t="n">
        <f aca="false">'🤖 Claude Haiku 3.5'!H5</f>
        <v>1</v>
      </c>
      <c r="H5" s="118" t="n">
        <f aca="false">'🤖 Claude Haiku 3.5'!I5</f>
        <v>4</v>
      </c>
      <c r="I5" s="118" t="n">
        <f aca="false">'🤖 Claude Haiku 3.5'!J5</f>
        <v>4</v>
      </c>
    </row>
    <row r="6" customFormat="false" ht="15.75" hidden="false" customHeight="false" outlineLevel="0" collapsed="false">
      <c r="A6" s="8"/>
      <c r="B6" s="8"/>
      <c r="C6" s="50"/>
      <c r="D6" s="8"/>
      <c r="E6" s="50"/>
      <c r="F6" s="50"/>
      <c r="G6" s="50"/>
      <c r="H6" s="50"/>
      <c r="I6" s="50"/>
    </row>
    <row r="7" customFormat="false" ht="15.75" hidden="false" customHeight="false" outlineLevel="0" collapsed="false">
      <c r="A7" s="116" t="str">
        <f aca="false">'🤖 Claude Haiku 3.5'!$A$7</f>
        <v>https://www.berria.eus/kirola/derbi-bikoitza_2118881_102.html</v>
      </c>
      <c r="B7" s="3" t="str">
        <f aca="false">"Claude Sonnet 3.5"</f>
        <v>Claude Sonnet 3.5</v>
      </c>
      <c r="C7" s="5" t="str">
        <f aca="false">'🤖 Claude Haiku 3.5'!C7</f>
        <v>Base</v>
      </c>
      <c r="D7" s="123" t="n">
        <f aca="false">'🤖 Claude Haiku 3.5'!E7</f>
        <v>0.4208333333</v>
      </c>
      <c r="E7" s="118" t="n">
        <f aca="false">'🤖 Claude Haiku 3.5'!F7</f>
        <v>3</v>
      </c>
      <c r="F7" s="118" t="n">
        <f aca="false">'🤖 Claude Haiku 3.5'!G7</f>
        <v>4</v>
      </c>
      <c r="G7" s="118" t="n">
        <f aca="false">'🤖 Claude Haiku 3.5'!H7</f>
        <v>4</v>
      </c>
      <c r="H7" s="118" t="n">
        <f aca="false">'🤖 Claude Haiku 3.5'!I7</f>
        <v>3</v>
      </c>
      <c r="I7" s="118" t="n">
        <f aca="false">'🤖 Claude Haiku 3.5'!J7</f>
        <v>4</v>
      </c>
    </row>
    <row r="8" customFormat="false" ht="15.75" hidden="false" customHeight="false" outlineLevel="0" collapsed="false">
      <c r="A8" s="116" t="str">
        <f aca="false">'🤖 Claude Haiku 3.5'!$A$7</f>
        <v>https://www.berria.eus/kirola/derbi-bikoitza_2118881_102.html</v>
      </c>
      <c r="B8" s="3" t="str">
        <f aca="false">"Claude Sonnet 3.5"</f>
        <v>Claude Sonnet 3.5</v>
      </c>
      <c r="C8" s="5" t="str">
        <f aca="false">'🤖 Claude Haiku 3.5'!C8</f>
        <v>CoT</v>
      </c>
      <c r="D8" s="123" t="n">
        <f aca="false">'🤖 Claude Haiku 3.5'!E8</f>
        <v>0.3291666667</v>
      </c>
      <c r="E8" s="118" t="n">
        <f aca="false">'🤖 Claude Haiku 3.5'!F8</f>
        <v>4</v>
      </c>
      <c r="F8" s="118" t="n">
        <f aca="false">'🤖 Claude Haiku 3.5'!G8</f>
        <v>4</v>
      </c>
      <c r="G8" s="118" t="n">
        <f aca="false">'🤖 Claude Haiku 3.5'!H8</f>
        <v>4</v>
      </c>
      <c r="H8" s="118" t="n">
        <f aca="false">'🤖 Claude Haiku 3.5'!I8</f>
        <v>3</v>
      </c>
      <c r="I8" s="118" t="n">
        <f aca="false">'🤖 Claude Haiku 3.5'!J8</f>
        <v>4</v>
      </c>
    </row>
    <row r="9" customFormat="false" ht="15.75" hidden="false" customHeight="false" outlineLevel="0" collapsed="false">
      <c r="A9" s="116" t="str">
        <f aca="false">'🤖 Claude Haiku 3.5'!$A$7</f>
        <v>https://www.berria.eus/kirola/derbi-bikoitza_2118881_102.html</v>
      </c>
      <c r="B9" s="3" t="str">
        <f aca="false">"Claude Sonnet 3.5"</f>
        <v>Claude Sonnet 3.5</v>
      </c>
      <c r="C9" s="5" t="str">
        <f aca="false">'🤖 Claude Haiku 3.5'!C9</f>
        <v>5W1H</v>
      </c>
      <c r="D9" s="123" t="n">
        <f aca="false">'🤖 Claude Haiku 3.5'!E9</f>
        <v>0.3791666667</v>
      </c>
      <c r="E9" s="118" t="n">
        <f aca="false">'🤖 Claude Haiku 3.5'!F9</f>
        <v>1</v>
      </c>
      <c r="F9" s="118" t="n">
        <f aca="false">'🤖 Claude Haiku 3.5'!G9</f>
        <v>4</v>
      </c>
      <c r="G9" s="118" t="n">
        <f aca="false">'🤖 Claude Haiku 3.5'!H9</f>
        <v>4</v>
      </c>
      <c r="H9" s="118" t="n">
        <f aca="false">'🤖 Claude Haiku 3.5'!I9</f>
        <v>4</v>
      </c>
      <c r="I9" s="118" t="n">
        <f aca="false">'🤖 Claude Haiku 3.5'!J9</f>
        <v>5</v>
      </c>
      <c r="N9" s="119"/>
      <c r="O9" s="119"/>
      <c r="P9" s="119"/>
      <c r="Q9" s="119"/>
      <c r="R9" s="119"/>
      <c r="S9" s="119"/>
      <c r="T9" s="119"/>
    </row>
    <row r="10" customFormat="false" ht="15.75" hidden="false" customHeight="false" outlineLevel="0" collapsed="false">
      <c r="A10" s="116" t="str">
        <f aca="false">'🤖 Claude Haiku 3.5'!$A$7</f>
        <v>https://www.berria.eus/kirola/derbi-bikoitza_2118881_102.html</v>
      </c>
      <c r="B10" s="3" t="str">
        <f aca="false">"Claude Sonnet 3.5"</f>
        <v>Claude Sonnet 3.5</v>
      </c>
      <c r="C10" s="5" t="str">
        <f aca="false">'🤖 Claude Haiku 3.5'!C10</f>
        <v>tldr</v>
      </c>
      <c r="D10" s="124" t="n">
        <f aca="false">'🤖 Claude Haiku 3.5'!E10</f>
        <v>0.4333333333</v>
      </c>
      <c r="E10" s="118" t="n">
        <f aca="false">'🤖 Claude Haiku 3.5'!F10</f>
        <v>1</v>
      </c>
      <c r="F10" s="118" t="n">
        <f aca="false">'🤖 Claude Haiku 3.5'!G10</f>
        <v>5</v>
      </c>
      <c r="G10" s="118" t="n">
        <f aca="false">'🤖 Claude Haiku 3.5'!H10</f>
        <v>1</v>
      </c>
      <c r="H10" s="118" t="n">
        <f aca="false">'🤖 Claude Haiku 3.5'!I10</f>
        <v>4</v>
      </c>
      <c r="I10" s="118" t="n">
        <f aca="false">'🤖 Claude Haiku 3.5'!J10</f>
        <v>5</v>
      </c>
    </row>
    <row r="11" customFormat="false" ht="15.75" hidden="false" customHeight="false" outlineLevel="0" collapsed="false">
      <c r="A11" s="8"/>
      <c r="B11" s="8"/>
      <c r="C11" s="50"/>
      <c r="D11" s="8"/>
      <c r="E11" s="50"/>
      <c r="F11" s="50"/>
      <c r="G11" s="50"/>
      <c r="H11" s="50"/>
      <c r="I11" s="50"/>
    </row>
    <row r="12" customFormat="false" ht="15.75" hidden="false" customHeight="false" outlineLevel="0" collapsed="false">
      <c r="A12" s="116" t="str">
        <f aca="false">'🤖 Claude Haiku 3.5'!$A$12</f>
        <v>https://www.berria.eus/kirola/berriro-etxean-sentitzeko_2117830_102.html</v>
      </c>
      <c r="B12" s="3" t="str">
        <f aca="false">"Claude Sonnet 3.5"</f>
        <v>Claude Sonnet 3.5</v>
      </c>
      <c r="C12" s="5" t="str">
        <f aca="false">'🤖 Claude Haiku 3.5'!C12</f>
        <v>Base</v>
      </c>
      <c r="D12" s="125" t="n">
        <f aca="false">'🤖 Claude Haiku 3.5'!E12</f>
        <v>0.3545454545</v>
      </c>
      <c r="E12" s="118" t="n">
        <f aca="false">'🤖 Claude Haiku 3.5'!F12</f>
        <v>2</v>
      </c>
      <c r="F12" s="118" t="n">
        <f aca="false">'🤖 Claude Haiku 3.5'!G12</f>
        <v>4</v>
      </c>
      <c r="G12" s="118" t="n">
        <f aca="false">'🤖 Claude Haiku 3.5'!H12</f>
        <v>1</v>
      </c>
      <c r="H12" s="118" t="n">
        <f aca="false">'🤖 Claude Haiku 3.5'!I12</f>
        <v>3</v>
      </c>
      <c r="I12" s="118" t="n">
        <f aca="false">'🤖 Claude Haiku 3.5'!J12</f>
        <v>5</v>
      </c>
    </row>
    <row r="13" customFormat="false" ht="15.75" hidden="false" customHeight="false" outlineLevel="0" collapsed="false">
      <c r="A13" s="116" t="str">
        <f aca="false">'🤖 Claude Haiku 3.5'!$A$12</f>
        <v>https://www.berria.eus/kirola/berriro-etxean-sentitzeko_2117830_102.html</v>
      </c>
      <c r="B13" s="3" t="str">
        <f aca="false">"Claude Sonnet 3.5"</f>
        <v>Claude Sonnet 3.5</v>
      </c>
      <c r="C13" s="5" t="str">
        <f aca="false">'🤖 Claude Haiku 3.5'!C13</f>
        <v>CoT</v>
      </c>
      <c r="D13" s="124" t="n">
        <f aca="false">'🤖 Claude Haiku 3.5'!E13</f>
        <v>0.1981818182</v>
      </c>
      <c r="E13" s="118" t="n">
        <f aca="false">'🤖 Claude Haiku 3.5'!F13</f>
        <v>3</v>
      </c>
      <c r="F13" s="118" t="n">
        <f aca="false">'🤖 Claude Haiku 3.5'!G13</f>
        <v>5</v>
      </c>
      <c r="G13" s="118" t="n">
        <f aca="false">'🤖 Claude Haiku 3.5'!H13</f>
        <v>4</v>
      </c>
      <c r="H13" s="118" t="n">
        <f aca="false">'🤖 Claude Haiku 3.5'!I13</f>
        <v>4</v>
      </c>
      <c r="I13" s="118" t="n">
        <f aca="false">'🤖 Claude Haiku 3.5'!J13</f>
        <v>5</v>
      </c>
    </row>
    <row r="14" customFormat="false" ht="15.75" hidden="false" customHeight="false" outlineLevel="0" collapsed="false">
      <c r="A14" s="116" t="str">
        <f aca="false">'🤖 Claude Haiku 3.5'!$A$12</f>
        <v>https://www.berria.eus/kirola/berriro-etxean-sentitzeko_2117830_102.html</v>
      </c>
      <c r="B14" s="3" t="str">
        <f aca="false">"Claude Sonnet 3.5"</f>
        <v>Claude Sonnet 3.5</v>
      </c>
      <c r="C14" s="5" t="str">
        <f aca="false">'🤖 Claude Haiku 3.5'!C14</f>
        <v>5W1H</v>
      </c>
      <c r="D14" s="126" t="n">
        <f aca="false">'🤖 Claude Haiku 3.5'!E14</f>
        <v>0.2963636364</v>
      </c>
      <c r="E14" s="118" t="n">
        <f aca="false">'🤖 Claude Haiku 3.5'!F14</f>
        <v>2</v>
      </c>
      <c r="F14" s="118" t="n">
        <f aca="false">'🤖 Claude Haiku 3.5'!G14</f>
        <v>4</v>
      </c>
      <c r="G14" s="118" t="n">
        <f aca="false">'🤖 Claude Haiku 3.5'!H14</f>
        <v>4</v>
      </c>
      <c r="H14" s="118" t="n">
        <f aca="false">'🤖 Claude Haiku 3.5'!I14</f>
        <v>4</v>
      </c>
      <c r="I14" s="118" t="n">
        <f aca="false">'🤖 Claude Haiku 3.5'!J14</f>
        <v>5</v>
      </c>
    </row>
    <row r="15" customFormat="false" ht="15.75" hidden="false" customHeight="false" outlineLevel="0" collapsed="false">
      <c r="A15" s="116" t="str">
        <f aca="false">'🤖 Claude Haiku 3.5'!$A$12</f>
        <v>https://www.berria.eus/kirola/berriro-etxean-sentitzeko_2117830_102.html</v>
      </c>
      <c r="B15" s="3" t="str">
        <f aca="false">"Claude Sonnet 3.5"</f>
        <v>Claude Sonnet 3.5</v>
      </c>
      <c r="C15" s="5" t="str">
        <f aca="false">'🤖 Claude Haiku 3.5'!C15</f>
        <v>tldr</v>
      </c>
      <c r="D15" s="127" t="n">
        <f aca="false">'🤖 Claude Haiku 3.5'!E15</f>
        <v>0.4236363636</v>
      </c>
      <c r="E15" s="118" t="n">
        <f aca="false">'🤖 Claude Haiku 3.5'!F15</f>
        <v>4</v>
      </c>
      <c r="F15" s="118" t="n">
        <f aca="false">'🤖 Claude Haiku 3.5'!G15</f>
        <v>5</v>
      </c>
      <c r="G15" s="118" t="n">
        <f aca="false">'🤖 Claude Haiku 3.5'!H15</f>
        <v>1</v>
      </c>
      <c r="H15" s="118" t="n">
        <f aca="false">'🤖 Claude Haiku 3.5'!I15</f>
        <v>4</v>
      </c>
      <c r="I15" s="118" t="n">
        <f aca="false">'🤖 Claude Haiku 3.5'!J15</f>
        <v>5</v>
      </c>
    </row>
    <row r="16" customFormat="false" ht="15.75" hidden="false" customHeight="false" outlineLevel="0" collapsed="false">
      <c r="A16" s="8"/>
      <c r="B16" s="8"/>
      <c r="C16" s="50"/>
      <c r="D16" s="8"/>
      <c r="E16" s="50"/>
      <c r="F16" s="50"/>
      <c r="G16" s="50"/>
      <c r="H16" s="50"/>
      <c r="I16" s="50"/>
    </row>
    <row r="17" customFormat="false" ht="15.75" hidden="false" customHeight="false" outlineLevel="0" collapsed="false">
      <c r="A17" s="116" t="str">
        <f aca="false">'🤖 Claude Haiku 3.5'!$A$17</f>
        <v>https://www.berria.eus/komunikazioa/generacion-porno-dokumental-saioa-egin-dute-etbk-eta-tv3ek_1341518_102.html</v>
      </c>
      <c r="B17" s="3" t="str">
        <f aca="false">"Claude Sonnet 3.5"</f>
        <v>Claude Sonnet 3.5</v>
      </c>
      <c r="C17" s="5" t="str">
        <f aca="false">'🤖 Claude Haiku 3.5'!C17</f>
        <v>Base</v>
      </c>
      <c r="D17" s="121" t="n">
        <f aca="false">'🤖 Claude Haiku 3.5'!E17</f>
        <v>0.6480938416</v>
      </c>
      <c r="E17" s="118" t="n">
        <f aca="false">'🤖 Claude Haiku 3.5'!F17</f>
        <v>3</v>
      </c>
      <c r="F17" s="118" t="n">
        <f aca="false">'🤖 Claude Haiku 3.5'!G17</f>
        <v>4</v>
      </c>
      <c r="G17" s="118" t="n">
        <f aca="false">'🤖 Claude Haiku 3.5'!H17</f>
        <v>1</v>
      </c>
      <c r="H17" s="118" t="n">
        <f aca="false">'🤖 Claude Haiku 3.5'!I17</f>
        <v>3</v>
      </c>
      <c r="I17" s="118" t="n">
        <f aca="false">'🤖 Claude Haiku 3.5'!J17</f>
        <v>4</v>
      </c>
    </row>
    <row r="18" customFormat="false" ht="15.75" hidden="false" customHeight="false" outlineLevel="0" collapsed="false">
      <c r="A18" s="116" t="str">
        <f aca="false">'🤖 Claude Haiku 3.5'!$A$17</f>
        <v>https://www.berria.eus/komunikazioa/generacion-porno-dokumental-saioa-egin-dute-etbk-eta-tv3ek_1341518_102.html</v>
      </c>
      <c r="B18" s="3" t="str">
        <f aca="false">"Claude Sonnet 3.5"</f>
        <v>Claude Sonnet 3.5</v>
      </c>
      <c r="C18" s="5" t="str">
        <f aca="false">'🤖 Claude Haiku 3.5'!C18</f>
        <v>CoT</v>
      </c>
      <c r="D18" s="128" t="n">
        <f aca="false">'🤖 Claude Haiku 3.5'!E18</f>
        <v>0.3137829912</v>
      </c>
      <c r="E18" s="118" t="n">
        <f aca="false">'🤖 Claude Haiku 3.5'!F18</f>
        <v>3</v>
      </c>
      <c r="F18" s="118" t="n">
        <f aca="false">'🤖 Claude Haiku 3.5'!G18</f>
        <v>5</v>
      </c>
      <c r="G18" s="118" t="n">
        <f aca="false">'🤖 Claude Haiku 3.5'!H18</f>
        <v>4</v>
      </c>
      <c r="H18" s="118" t="n">
        <f aca="false">'🤖 Claude Haiku 3.5'!I18</f>
        <v>4</v>
      </c>
      <c r="I18" s="118" t="n">
        <f aca="false">'🤖 Claude Haiku 3.5'!J18</f>
        <v>4</v>
      </c>
    </row>
    <row r="19" customFormat="false" ht="15.75" hidden="false" customHeight="false" outlineLevel="0" collapsed="false">
      <c r="A19" s="116" t="str">
        <f aca="false">'🤖 Claude Haiku 3.5'!$A$17</f>
        <v>https://www.berria.eus/komunikazioa/generacion-porno-dokumental-saioa-egin-dute-etbk-eta-tv3ek_1341518_102.html</v>
      </c>
      <c r="B19" s="3" t="str">
        <f aca="false">"Claude Sonnet 3.5"</f>
        <v>Claude Sonnet 3.5</v>
      </c>
      <c r="C19" s="5" t="str">
        <f aca="false">'🤖 Claude Haiku 3.5'!C19</f>
        <v>5W1H</v>
      </c>
      <c r="D19" s="129" t="n">
        <f aca="false">'🤖 Claude Haiku 3.5'!E19</f>
        <v>0.4604105572</v>
      </c>
      <c r="E19" s="118" t="n">
        <f aca="false">'🤖 Claude Haiku 3.5'!F19</f>
        <v>1</v>
      </c>
      <c r="F19" s="118" t="n">
        <f aca="false">'🤖 Claude Haiku 3.5'!G19</f>
        <v>4</v>
      </c>
      <c r="G19" s="118" t="n">
        <f aca="false">'🤖 Claude Haiku 3.5'!H19</f>
        <v>4</v>
      </c>
      <c r="H19" s="118" t="n">
        <f aca="false">'🤖 Claude Haiku 3.5'!I19</f>
        <v>4</v>
      </c>
      <c r="I19" s="118" t="n">
        <f aca="false">'🤖 Claude Haiku 3.5'!J19</f>
        <v>5</v>
      </c>
    </row>
    <row r="20" customFormat="false" ht="15.75" hidden="false" customHeight="false" outlineLevel="0" collapsed="false">
      <c r="A20" s="116" t="str">
        <f aca="false">'🤖 Claude Haiku 3.5'!$A$17</f>
        <v>https://www.berria.eus/komunikazioa/generacion-porno-dokumental-saioa-egin-dute-etbk-eta-tv3ek_1341518_102.html</v>
      </c>
      <c r="B20" s="3" t="str">
        <f aca="false">"Claude Sonnet 3.5"</f>
        <v>Claude Sonnet 3.5</v>
      </c>
      <c r="C20" s="5" t="str">
        <f aca="false">'🤖 Claude Haiku 3.5'!C20</f>
        <v>tldr</v>
      </c>
      <c r="D20" s="123" t="n">
        <f aca="false">'🤖 Claude Haiku 3.5'!E20</f>
        <v>0.3196480938</v>
      </c>
      <c r="E20" s="118" t="n">
        <f aca="false">'🤖 Claude Haiku 3.5'!F20</f>
        <v>2</v>
      </c>
      <c r="F20" s="118" t="n">
        <f aca="false">'🤖 Claude Haiku 3.5'!G20</f>
        <v>4</v>
      </c>
      <c r="G20" s="118" t="n">
        <f aca="false">'🤖 Claude Haiku 3.5'!H20</f>
        <v>4</v>
      </c>
      <c r="H20" s="118" t="n">
        <f aca="false">'🤖 Claude Haiku 3.5'!I20</f>
        <v>4</v>
      </c>
      <c r="I20" s="118" t="n">
        <f aca="false">'🤖 Claude Haiku 3.5'!J20</f>
        <v>3</v>
      </c>
    </row>
    <row r="21" customFormat="false" ht="15.75" hidden="false" customHeight="false" outlineLevel="0" collapsed="false">
      <c r="A21" s="8"/>
      <c r="B21" s="8"/>
      <c r="C21" s="50"/>
      <c r="D21" s="8"/>
      <c r="E21" s="50"/>
      <c r="F21" s="50"/>
      <c r="G21" s="50"/>
      <c r="H21" s="50"/>
      <c r="I21" s="50"/>
    </row>
    <row r="22" customFormat="false" ht="15.75" hidden="false" customHeight="false" outlineLevel="0" collapsed="false">
      <c r="A22" s="116" t="str">
        <f aca="false">'🤖 Claude Haiku 3.5'!$A$22</f>
        <v>https://www.berria.eus/kirola/artolak-nagusitasunez-irabazi-dio-zabaleri_2124679_102.html</v>
      </c>
      <c r="B22" s="3" t="str">
        <f aca="false">"Claude Sonnet 3.5"</f>
        <v>Claude Sonnet 3.5</v>
      </c>
      <c r="C22" s="5" t="str">
        <f aca="false">'🤖 Claude Haiku 3.5'!C22</f>
        <v>Base</v>
      </c>
      <c r="D22" s="126" t="n">
        <f aca="false">'🤖 Claude Haiku 3.5'!E22</f>
        <v>0.4773869347</v>
      </c>
      <c r="E22" s="118" t="n">
        <f aca="false">'🤖 Claude Haiku 3.5'!F22</f>
        <v>2</v>
      </c>
      <c r="F22" s="118" t="n">
        <f aca="false">'🤖 Claude Haiku 3.5'!G22</f>
        <v>4</v>
      </c>
      <c r="G22" s="118" t="n">
        <f aca="false">'🤖 Claude Haiku 3.5'!H22</f>
        <v>1</v>
      </c>
      <c r="H22" s="118" t="n">
        <f aca="false">'🤖 Claude Haiku 3.5'!I22</f>
        <v>4</v>
      </c>
      <c r="I22" s="118" t="n">
        <f aca="false">'🤖 Claude Haiku 3.5'!J22</f>
        <v>5</v>
      </c>
    </row>
    <row r="23" customFormat="false" ht="15.75" hidden="false" customHeight="false" outlineLevel="0" collapsed="false">
      <c r="A23" s="116" t="str">
        <f aca="false">'🤖 Claude Haiku 3.5'!$A$22</f>
        <v>https://www.berria.eus/kirola/artolak-nagusitasunez-irabazi-dio-zabaleri_2124679_102.html</v>
      </c>
      <c r="B23" s="3" t="str">
        <f aca="false">"Claude Sonnet 3.5"</f>
        <v>Claude Sonnet 3.5</v>
      </c>
      <c r="C23" s="5" t="str">
        <f aca="false">'🤖 Claude Haiku 3.5'!C23</f>
        <v>CoT</v>
      </c>
      <c r="D23" s="130" t="n">
        <f aca="false">'🤖 Claude Haiku 3.5'!E23</f>
        <v>0.2989949749</v>
      </c>
      <c r="E23" s="118" t="n">
        <f aca="false">'🤖 Claude Haiku 3.5'!F23</f>
        <v>4</v>
      </c>
      <c r="F23" s="118" t="n">
        <f aca="false">'🤖 Claude Haiku 3.5'!G23</f>
        <v>4</v>
      </c>
      <c r="G23" s="118" t="n">
        <f aca="false">'🤖 Claude Haiku 3.5'!H23</f>
        <v>4</v>
      </c>
      <c r="H23" s="118" t="n">
        <f aca="false">'🤖 Claude Haiku 3.5'!I23</f>
        <v>5</v>
      </c>
      <c r="I23" s="118" t="n">
        <f aca="false">'🤖 Claude Haiku 3.5'!J23</f>
        <v>4</v>
      </c>
    </row>
    <row r="24" customFormat="false" ht="15.75" hidden="false" customHeight="false" outlineLevel="0" collapsed="false">
      <c r="A24" s="116" t="str">
        <f aca="false">'🤖 Claude Haiku 3.5'!$A$22</f>
        <v>https://www.berria.eus/kirola/artolak-nagusitasunez-irabazi-dio-zabaleri_2124679_102.html</v>
      </c>
      <c r="B24" s="3" t="str">
        <f aca="false">"Claude Sonnet 3.5"</f>
        <v>Claude Sonnet 3.5</v>
      </c>
      <c r="C24" s="5" t="str">
        <f aca="false">'🤖 Claude Haiku 3.5'!C24</f>
        <v>5W1H</v>
      </c>
      <c r="D24" s="124" t="n">
        <f aca="false">'🤖 Claude Haiku 3.5'!E24</f>
        <v>0.3442211055</v>
      </c>
      <c r="E24" s="118" t="n">
        <f aca="false">'🤖 Claude Haiku 3.5'!F24</f>
        <v>2</v>
      </c>
      <c r="F24" s="118" t="n">
        <f aca="false">'🤖 Claude Haiku 3.5'!G24</f>
        <v>4</v>
      </c>
      <c r="G24" s="118" t="n">
        <f aca="false">'🤖 Claude Haiku 3.5'!H24</f>
        <v>5</v>
      </c>
      <c r="H24" s="118" t="n">
        <f aca="false">'🤖 Claude Haiku 3.5'!I24</f>
        <v>4</v>
      </c>
      <c r="I24" s="118" t="n">
        <f aca="false">'🤖 Claude Haiku 3.5'!J24</f>
        <v>5</v>
      </c>
    </row>
    <row r="25" customFormat="false" ht="15.75" hidden="false" customHeight="false" outlineLevel="0" collapsed="false">
      <c r="A25" s="116" t="str">
        <f aca="false">'🤖 Claude Haiku 3.5'!$A$22</f>
        <v>https://www.berria.eus/kirola/artolak-nagusitasunez-irabazi-dio-zabaleri_2124679_102.html</v>
      </c>
      <c r="B25" s="3" t="str">
        <f aca="false">"Claude Sonnet 3.5"</f>
        <v>Claude Sonnet 3.5</v>
      </c>
      <c r="C25" s="5" t="str">
        <f aca="false">'🤖 Claude Haiku 3.5'!C25</f>
        <v>tldr</v>
      </c>
      <c r="D25" s="131" t="n">
        <f aca="false">'🤖 Claude Haiku 3.5'!E25</f>
        <v>0.3693467337</v>
      </c>
      <c r="E25" s="118" t="n">
        <f aca="false">'🤖 Claude Haiku 3.5'!F25</f>
        <v>5</v>
      </c>
      <c r="F25" s="118" t="n">
        <f aca="false">'🤖 Claude Haiku 3.5'!G25</f>
        <v>5</v>
      </c>
      <c r="G25" s="118" t="n">
        <f aca="false">'🤖 Claude Haiku 3.5'!H25</f>
        <v>1</v>
      </c>
      <c r="H25" s="118" t="n">
        <f aca="false">'🤖 Claude Haiku 3.5'!I25</f>
        <v>4</v>
      </c>
      <c r="I25" s="118" t="n">
        <f aca="false">'🤖 Claude Haiku 3.5'!J25</f>
        <v>5</v>
      </c>
    </row>
    <row r="26" customFormat="false" ht="15.75" hidden="false" customHeight="false" outlineLevel="0" collapsed="false">
      <c r="A26" s="8"/>
      <c r="B26" s="8"/>
      <c r="C26" s="50"/>
      <c r="D26" s="8"/>
      <c r="E26" s="50"/>
      <c r="F26" s="50"/>
      <c r="G26" s="50"/>
      <c r="H26" s="50"/>
      <c r="I26" s="50"/>
    </row>
    <row r="27" customFormat="false" ht="15.75" hidden="false" customHeight="false" outlineLevel="0" collapsed="false">
      <c r="A27" s="116" t="str">
        <f aca="false">'🤖 Claude Haiku 3.5'!$A$27</f>
        <v>https://www.berria.eus/mundua/gutxienez-40-hildako-eta-dozenaka-zauritu-moskun-gertatutako-tiroketa-batean_2122731_102.html</v>
      </c>
      <c r="B27" s="3" t="str">
        <f aca="false">"Claude Sonnet 3.5"</f>
        <v>Claude Sonnet 3.5</v>
      </c>
      <c r="C27" s="5" t="str">
        <f aca="false">'🤖 Claude Haiku 3.5'!C27</f>
        <v>Base</v>
      </c>
      <c r="D27" s="132" t="n">
        <f aca="false">'🤖 Claude Haiku 3.5'!E27</f>
        <v>1.170087977</v>
      </c>
      <c r="E27" s="118" t="n">
        <f aca="false">'🤖 Claude Haiku 3.5'!F27</f>
        <v>5</v>
      </c>
      <c r="F27" s="118" t="n">
        <f aca="false">'🤖 Claude Haiku 3.5'!G27</f>
        <v>5</v>
      </c>
      <c r="G27" s="118" t="n">
        <f aca="false">'🤖 Claude Haiku 3.5'!H27</f>
        <v>1</v>
      </c>
      <c r="H27" s="118" t="n">
        <f aca="false">'🤖 Claude Haiku 3.5'!I27</f>
        <v>1</v>
      </c>
      <c r="I27" s="118" t="n">
        <f aca="false">'🤖 Claude Haiku 3.5'!J27</f>
        <v>5</v>
      </c>
    </row>
    <row r="28" customFormat="false" ht="15.75" hidden="false" customHeight="false" outlineLevel="0" collapsed="false">
      <c r="A28" s="116" t="str">
        <f aca="false">'🤖 Claude Haiku 3.5'!$A$27</f>
        <v>https://www.berria.eus/mundua/gutxienez-40-hildako-eta-dozenaka-zauritu-moskun-gertatutako-tiroketa-batean_2122731_102.html</v>
      </c>
      <c r="B28" s="3" t="str">
        <f aca="false">"Claude Sonnet 3.5"</f>
        <v>Claude Sonnet 3.5</v>
      </c>
      <c r="C28" s="5" t="str">
        <f aca="false">'🤖 Claude Haiku 3.5'!C28</f>
        <v>CoT</v>
      </c>
      <c r="D28" s="128" t="n">
        <f aca="false">'🤖 Claude Haiku 3.5'!E28</f>
        <v>0.2580645161</v>
      </c>
      <c r="E28" s="118" t="n">
        <f aca="false">'🤖 Claude Haiku 3.5'!F28</f>
        <v>4</v>
      </c>
      <c r="F28" s="118" t="n">
        <f aca="false">'🤖 Claude Haiku 3.5'!G28</f>
        <v>4</v>
      </c>
      <c r="G28" s="118" t="n">
        <f aca="false">'🤖 Claude Haiku 3.5'!H28</f>
        <v>4</v>
      </c>
      <c r="H28" s="118" t="n">
        <f aca="false">'🤖 Claude Haiku 3.5'!I28</f>
        <v>4</v>
      </c>
      <c r="I28" s="118" t="n">
        <f aca="false">'🤖 Claude Haiku 3.5'!J28</f>
        <v>4</v>
      </c>
    </row>
    <row r="29" customFormat="false" ht="15.75" hidden="false" customHeight="false" outlineLevel="0" collapsed="false">
      <c r="A29" s="116" t="str">
        <f aca="false">'🤖 Claude Haiku 3.5'!$A$27</f>
        <v>https://www.berria.eus/mundua/gutxienez-40-hildako-eta-dozenaka-zauritu-moskun-gertatutako-tiroketa-batean_2122731_102.html</v>
      </c>
      <c r="B29" s="3" t="str">
        <f aca="false">"Claude Sonnet 3.5"</f>
        <v>Claude Sonnet 3.5</v>
      </c>
      <c r="C29" s="5" t="str">
        <f aca="false">'🤖 Claude Haiku 3.5'!C29</f>
        <v>5W1H</v>
      </c>
      <c r="D29" s="132" t="n">
        <f aca="false">'🤖 Claude Haiku 3.5'!E29</f>
        <v>0.5190615836</v>
      </c>
      <c r="E29" s="118" t="n">
        <f aca="false">'🤖 Claude Haiku 3.5'!F29</f>
        <v>2</v>
      </c>
      <c r="F29" s="118" t="n">
        <f aca="false">'🤖 Claude Haiku 3.5'!G29</f>
        <v>4</v>
      </c>
      <c r="G29" s="118" t="n">
        <f aca="false">'🤖 Claude Haiku 3.5'!H29</f>
        <v>4</v>
      </c>
      <c r="H29" s="118" t="n">
        <f aca="false">'🤖 Claude Haiku 3.5'!I29</f>
        <v>4</v>
      </c>
      <c r="I29" s="118" t="n">
        <f aca="false">'🤖 Claude Haiku 3.5'!J29</f>
        <v>5</v>
      </c>
    </row>
    <row r="30" customFormat="false" ht="15.75" hidden="false" customHeight="false" outlineLevel="0" collapsed="false">
      <c r="A30" s="116" t="str">
        <f aca="false">'🤖 Claude Haiku 3.5'!$A$27</f>
        <v>https://www.berria.eus/mundua/gutxienez-40-hildako-eta-dozenaka-zauritu-moskun-gertatutako-tiroketa-batean_2122731_102.html</v>
      </c>
      <c r="B30" s="3" t="str">
        <f aca="false">"Claude Sonnet 3.5"</f>
        <v>Claude Sonnet 3.5</v>
      </c>
      <c r="C30" s="5" t="str">
        <f aca="false">'🤖 Claude Haiku 3.5'!C30</f>
        <v>tldr</v>
      </c>
      <c r="D30" s="122" t="n">
        <f aca="false">'🤖 Claude Haiku 3.5'!E30</f>
        <v>0.1906158358</v>
      </c>
      <c r="E30" s="118" t="n">
        <f aca="false">'🤖 Claude Haiku 3.5'!F30</f>
        <v>3</v>
      </c>
      <c r="F30" s="118" t="n">
        <f aca="false">'🤖 Claude Haiku 3.5'!G30</f>
        <v>4</v>
      </c>
      <c r="G30" s="118" t="n">
        <f aca="false">'🤖 Claude Haiku 3.5'!H30</f>
        <v>4</v>
      </c>
      <c r="H30" s="118" t="n">
        <f aca="false">'🤖 Claude Haiku 3.5'!I30</f>
        <v>5</v>
      </c>
      <c r="I30" s="118" t="n">
        <f aca="false">'🤖 Claude Haiku 3.5'!J30</f>
        <v>4</v>
      </c>
    </row>
    <row r="31" customFormat="false" ht="15.75" hidden="false" customHeight="false" outlineLevel="0" collapsed="false">
      <c r="A31" s="8"/>
      <c r="B31" s="8"/>
      <c r="C31" s="50"/>
      <c r="D31" s="8"/>
      <c r="E31" s="50"/>
      <c r="F31" s="50"/>
      <c r="G31" s="50"/>
      <c r="H31" s="50"/>
      <c r="I31" s="50"/>
    </row>
    <row r="32" customFormat="false" ht="15.75" hidden="false" customHeight="false" outlineLevel="0" collapsed="false">
      <c r="A32" s="116" t="str">
        <f aca="false">'🤖 Claude Haiku 3.5'!$A$32</f>
        <v>https://www.berria.eus/bizigiro/ohartu-behar-dugu-bizi-garen-jendartea-dominazioaren-kultura-batean-oinarritzen-dela_2121952_102.html</v>
      </c>
      <c r="B32" s="3" t="str">
        <f aca="false">"Claude Sonnet 3.5"</f>
        <v>Claude Sonnet 3.5</v>
      </c>
      <c r="C32" s="5" t="str">
        <f aca="false">'🤖 Claude Haiku 3.5'!C32</f>
        <v>Base</v>
      </c>
      <c r="D32" s="133" t="n">
        <f aca="false">'🤖 Claude Haiku 3.5'!E32</f>
        <v>0.3924914676</v>
      </c>
      <c r="E32" s="118" t="n">
        <f aca="false">'🤖 Claude Haiku 3.5'!F32</f>
        <v>2</v>
      </c>
      <c r="F32" s="118" t="n">
        <f aca="false">'🤖 Claude Haiku 3.5'!G32</f>
        <v>5</v>
      </c>
      <c r="G32" s="118" t="n">
        <f aca="false">'🤖 Claude Haiku 3.5'!H32</f>
        <v>1</v>
      </c>
      <c r="H32" s="118" t="n">
        <f aca="false">'🤖 Claude Haiku 3.5'!I32</f>
        <v>4</v>
      </c>
      <c r="I32" s="118" t="n">
        <f aca="false">'🤖 Claude Haiku 3.5'!J32</f>
        <v>3</v>
      </c>
    </row>
    <row r="33" customFormat="false" ht="15.75" hidden="false" customHeight="false" outlineLevel="0" collapsed="false">
      <c r="A33" s="116" t="str">
        <f aca="false">'🤖 Claude Haiku 3.5'!$A$32</f>
        <v>https://www.berria.eus/bizigiro/ohartu-behar-dugu-bizi-garen-jendartea-dominazioaren-kultura-batean-oinarritzen-dela_2121952_102.html</v>
      </c>
      <c r="B33" s="3" t="str">
        <f aca="false">"Claude Sonnet 3.5"</f>
        <v>Claude Sonnet 3.5</v>
      </c>
      <c r="C33" s="5" t="str">
        <f aca="false">'🤖 Claude Haiku 3.5'!C33</f>
        <v>CoT</v>
      </c>
      <c r="D33" s="134" t="n">
        <f aca="false">'🤖 Claude Haiku 3.5'!E33</f>
        <v>0.1757679181</v>
      </c>
      <c r="E33" s="118" t="n">
        <f aca="false">'🤖 Claude Haiku 3.5'!F33</f>
        <v>4</v>
      </c>
      <c r="F33" s="118" t="n">
        <f aca="false">'🤖 Claude Haiku 3.5'!G33</f>
        <v>5</v>
      </c>
      <c r="G33" s="118" t="n">
        <f aca="false">'🤖 Claude Haiku 3.5'!H33</f>
        <v>4</v>
      </c>
      <c r="H33" s="118" t="n">
        <f aca="false">'🤖 Claude Haiku 3.5'!I33</f>
        <v>5</v>
      </c>
      <c r="I33" s="118" t="n">
        <f aca="false">'🤖 Claude Haiku 3.5'!J33</f>
        <v>4</v>
      </c>
    </row>
    <row r="34" customFormat="false" ht="15.75" hidden="false" customHeight="false" outlineLevel="0" collapsed="false">
      <c r="A34" s="116" t="str">
        <f aca="false">'🤖 Claude Haiku 3.5'!$A$32</f>
        <v>https://www.berria.eus/bizigiro/ohartu-behar-dugu-bizi-garen-jendartea-dominazioaren-kultura-batean-oinarritzen-dela_2121952_102.html</v>
      </c>
      <c r="B34" s="3" t="str">
        <f aca="false">"Claude Sonnet 3.5"</f>
        <v>Claude Sonnet 3.5</v>
      </c>
      <c r="C34" s="5" t="str">
        <f aca="false">'🤖 Claude Haiku 3.5'!C34</f>
        <v>5W1H</v>
      </c>
      <c r="D34" s="135" t="n">
        <f aca="false">'🤖 Claude Haiku 3.5'!E34</f>
        <v>0.2064846416</v>
      </c>
      <c r="E34" s="118" t="n">
        <f aca="false">'🤖 Claude Haiku 3.5'!F34</f>
        <v>1</v>
      </c>
      <c r="F34" s="118" t="n">
        <f aca="false">'🤖 Claude Haiku 3.5'!G34</f>
        <v>5</v>
      </c>
      <c r="G34" s="118" t="n">
        <f aca="false">'🤖 Claude Haiku 3.5'!H34</f>
        <v>5</v>
      </c>
      <c r="H34" s="118" t="n">
        <f aca="false">'🤖 Claude Haiku 3.5'!I34</f>
        <v>4</v>
      </c>
      <c r="I34" s="118" t="n">
        <f aca="false">'🤖 Claude Haiku 3.5'!J34</f>
        <v>5</v>
      </c>
    </row>
    <row r="35" customFormat="false" ht="15.75" hidden="false" customHeight="false" outlineLevel="0" collapsed="false">
      <c r="A35" s="116" t="str">
        <f aca="false">'🤖 Claude Haiku 3.5'!$A$32</f>
        <v>https://www.berria.eus/bizigiro/ohartu-behar-dugu-bizi-garen-jendartea-dominazioaren-kultura-batean-oinarritzen-dela_2121952_102.html</v>
      </c>
      <c r="B35" s="3" t="str">
        <f aca="false">"Claude Sonnet 3.5"</f>
        <v>Claude Sonnet 3.5</v>
      </c>
      <c r="C35" s="5" t="str">
        <f aca="false">'🤖 Claude Haiku 3.5'!C35</f>
        <v>tldr</v>
      </c>
      <c r="D35" s="136" t="n">
        <f aca="false">'🤖 Claude Haiku 3.5'!E35</f>
        <v>0.385665529</v>
      </c>
      <c r="E35" s="118" t="n">
        <f aca="false">'🤖 Claude Haiku 3.5'!F35</f>
        <v>2</v>
      </c>
      <c r="F35" s="118" t="n">
        <f aca="false">'🤖 Claude Haiku 3.5'!G35</f>
        <v>5</v>
      </c>
      <c r="G35" s="118" t="n">
        <f aca="false">'🤖 Claude Haiku 3.5'!H35</f>
        <v>1</v>
      </c>
      <c r="H35" s="118" t="n">
        <f aca="false">'🤖 Claude Haiku 3.5'!I35</f>
        <v>4</v>
      </c>
      <c r="I35" s="118" t="n">
        <f aca="false">'🤖 Claude Haiku 3.5'!J35</f>
        <v>5</v>
      </c>
    </row>
    <row r="36" customFormat="false" ht="15.75" hidden="false" customHeight="false" outlineLevel="0" collapsed="false">
      <c r="A36" s="8"/>
      <c r="B36" s="8"/>
      <c r="C36" s="50"/>
      <c r="D36" s="8"/>
      <c r="E36" s="50"/>
      <c r="F36" s="50"/>
      <c r="G36" s="50"/>
      <c r="H36" s="50"/>
      <c r="I36" s="50"/>
    </row>
    <row r="37" customFormat="false" ht="15.75" hidden="false" customHeight="false" outlineLevel="0" collapsed="false">
      <c r="A37" s="116" t="str">
        <f aca="false">'🤖 Claude Haiku 3.5'!$A$37</f>
        <v>https://www.berria.eus/ekonomia/energiaren-euskal-erakundea-energia-konpainien-zergaren-aurka_234607_102.html</v>
      </c>
      <c r="B37" s="3" t="str">
        <f aca="false">"Claude Sonnet 3.5"</f>
        <v>Claude Sonnet 3.5</v>
      </c>
      <c r="C37" s="5" t="str">
        <f aca="false">'🤖 Claude Haiku 3.5'!C37</f>
        <v>Base</v>
      </c>
      <c r="D37" s="137" t="n">
        <f aca="false">'🤖 Claude Haiku 3.5'!E37</f>
        <v>0.6514745308</v>
      </c>
      <c r="E37" s="118" t="n">
        <f aca="false">'🤖 Claude Haiku 3.5'!F37</f>
        <v>2</v>
      </c>
      <c r="F37" s="118" t="n">
        <f aca="false">'🤖 Claude Haiku 3.5'!G37</f>
        <v>5</v>
      </c>
      <c r="G37" s="118" t="n">
        <f aca="false">'🤖 Claude Haiku 3.5'!H37</f>
        <v>1</v>
      </c>
      <c r="H37" s="118" t="n">
        <f aca="false">'🤖 Claude Haiku 3.5'!I37</f>
        <v>4</v>
      </c>
      <c r="I37" s="118" t="n">
        <f aca="false">'🤖 Claude Haiku 3.5'!J37</f>
        <v>5</v>
      </c>
    </row>
    <row r="38" customFormat="false" ht="15.75" hidden="false" customHeight="false" outlineLevel="0" collapsed="false">
      <c r="A38" s="116" t="str">
        <f aca="false">'🤖 Claude Haiku 3.5'!$A$37</f>
        <v>https://www.berria.eus/ekonomia/energiaren-euskal-erakundea-energia-konpainien-zergaren-aurka_234607_102.html</v>
      </c>
      <c r="B38" s="3" t="str">
        <f aca="false">"Claude Sonnet 3.5"</f>
        <v>Claude Sonnet 3.5</v>
      </c>
      <c r="C38" s="5" t="str">
        <f aca="false">'🤖 Claude Haiku 3.5'!C38</f>
        <v>CoT</v>
      </c>
      <c r="D38" s="137" t="n">
        <f aca="false">'🤖 Claude Haiku 3.5'!E38</f>
        <v>0.308310992</v>
      </c>
      <c r="E38" s="118" t="n">
        <f aca="false">'🤖 Claude Haiku 3.5'!F38</f>
        <v>3</v>
      </c>
      <c r="F38" s="118" t="n">
        <f aca="false">'🤖 Claude Haiku 3.5'!G38</f>
        <v>4</v>
      </c>
      <c r="G38" s="118" t="n">
        <f aca="false">'🤖 Claude Haiku 3.5'!H38</f>
        <v>4</v>
      </c>
      <c r="H38" s="118" t="n">
        <f aca="false">'🤖 Claude Haiku 3.5'!I38</f>
        <v>4</v>
      </c>
      <c r="I38" s="118" t="n">
        <f aca="false">'🤖 Claude Haiku 3.5'!J38</f>
        <v>4</v>
      </c>
    </row>
    <row r="39" customFormat="false" ht="15.75" hidden="false" customHeight="false" outlineLevel="0" collapsed="false">
      <c r="A39" s="116" t="str">
        <f aca="false">'🤖 Claude Haiku 3.5'!$A$37</f>
        <v>https://www.berria.eus/ekonomia/energiaren-euskal-erakundea-energia-konpainien-zergaren-aurka_234607_102.html</v>
      </c>
      <c r="B39" s="3" t="str">
        <f aca="false">"Claude Sonnet 3.5"</f>
        <v>Claude Sonnet 3.5</v>
      </c>
      <c r="C39" s="5" t="str">
        <f aca="false">'🤖 Claude Haiku 3.5'!C39</f>
        <v>5W1H</v>
      </c>
      <c r="D39" s="138" t="n">
        <f aca="false">'🤖 Claude Haiku 3.5'!E39</f>
        <v>0.5227882038</v>
      </c>
      <c r="E39" s="118" t="n">
        <f aca="false">'🤖 Claude Haiku 3.5'!F39</f>
        <v>2</v>
      </c>
      <c r="F39" s="118" t="n">
        <f aca="false">'🤖 Claude Haiku 3.5'!G39</f>
        <v>4</v>
      </c>
      <c r="G39" s="118" t="n">
        <f aca="false">'🤖 Claude Haiku 3.5'!H39</f>
        <v>5</v>
      </c>
      <c r="H39" s="118" t="n">
        <f aca="false">'🤖 Claude Haiku 3.5'!I39</f>
        <v>3</v>
      </c>
      <c r="I39" s="118" t="n">
        <f aca="false">'🤖 Claude Haiku 3.5'!J39</f>
        <v>5</v>
      </c>
    </row>
    <row r="40" customFormat="false" ht="15.75" hidden="false" customHeight="false" outlineLevel="0" collapsed="false">
      <c r="A40" s="116" t="str">
        <f aca="false">'🤖 Claude Haiku 3.5'!$A$37</f>
        <v>https://www.berria.eus/ekonomia/energiaren-euskal-erakundea-energia-konpainien-zergaren-aurka_234607_102.html</v>
      </c>
      <c r="B40" s="3" t="str">
        <f aca="false">"Claude Sonnet 3.5"</f>
        <v>Claude Sonnet 3.5</v>
      </c>
      <c r="C40" s="5" t="str">
        <f aca="false">'🤖 Claude Haiku 3.5'!C40</f>
        <v>tldr</v>
      </c>
      <c r="D40" s="139" t="n">
        <f aca="false">'🤖 Claude Haiku 3.5'!E40</f>
        <v>0.4235924933</v>
      </c>
      <c r="E40" s="118" t="n">
        <f aca="false">'🤖 Claude Haiku 3.5'!F40</f>
        <v>5</v>
      </c>
      <c r="F40" s="118" t="n">
        <f aca="false">'🤖 Claude Haiku 3.5'!G40</f>
        <v>5</v>
      </c>
      <c r="G40" s="118" t="n">
        <f aca="false">'🤖 Claude Haiku 3.5'!H40</f>
        <v>1</v>
      </c>
      <c r="H40" s="118" t="n">
        <f aca="false">'🤖 Claude Haiku 3.5'!I40</f>
        <v>4</v>
      </c>
      <c r="I40" s="118" t="n">
        <f aca="false">'🤖 Claude Haiku 3.5'!J40</f>
        <v>5</v>
      </c>
    </row>
    <row r="41" customFormat="false" ht="15.75" hidden="false" customHeight="false" outlineLevel="0" collapsed="false">
      <c r="A41" s="8"/>
      <c r="B41" s="8"/>
      <c r="C41" s="50"/>
      <c r="D41" s="8"/>
      <c r="E41" s="50"/>
      <c r="F41" s="50"/>
      <c r="G41" s="50"/>
      <c r="H41" s="50"/>
      <c r="I41" s="50"/>
    </row>
    <row r="42" customFormat="false" ht="15.75" hidden="false" customHeight="false" outlineLevel="0" collapsed="false">
      <c r="A42" s="116" t="str">
        <f aca="false">'🤖 Claude Haiku 3.5'!$A$42</f>
        <v>https://www.berria.eus/kultura/benat-arrutik-irabazi-du-donostia-kultura-vii-poesia-lehiaketa_2122642_102.html</v>
      </c>
      <c r="B42" s="3" t="str">
        <f aca="false">"Claude Sonnet 3.5"</f>
        <v>Claude Sonnet 3.5</v>
      </c>
      <c r="C42" s="5" t="str">
        <f aca="false">'🤖 Claude Haiku 3.5'!C42</f>
        <v>Base</v>
      </c>
      <c r="D42" s="140" t="n">
        <f aca="false">'🤖 Claude Haiku 3.5'!E42</f>
        <v>1.301886792</v>
      </c>
      <c r="E42" s="118" t="n">
        <f aca="false">'🤖 Claude Haiku 3.5'!F42</f>
        <v>5</v>
      </c>
      <c r="F42" s="118" t="n">
        <f aca="false">'🤖 Claude Haiku 3.5'!G42</f>
        <v>4</v>
      </c>
      <c r="G42" s="118" t="n">
        <f aca="false">'🤖 Claude Haiku 3.5'!H42</f>
        <v>1</v>
      </c>
      <c r="H42" s="118" t="n">
        <f aca="false">'🤖 Claude Haiku 3.5'!I42</f>
        <v>1</v>
      </c>
      <c r="I42" s="118" t="n">
        <f aca="false">'🤖 Claude Haiku 3.5'!J42</f>
        <v>5</v>
      </c>
    </row>
    <row r="43" customFormat="false" ht="15.75" hidden="false" customHeight="false" outlineLevel="0" collapsed="false">
      <c r="A43" s="116" t="str">
        <f aca="false">'🤖 Claude Haiku 3.5'!$A$42</f>
        <v>https://www.berria.eus/kultura/benat-arrutik-irabazi-du-donostia-kultura-vii-poesia-lehiaketa_2122642_102.html</v>
      </c>
      <c r="B43" s="3" t="str">
        <f aca="false">"Claude Sonnet 3.5"</f>
        <v>Claude Sonnet 3.5</v>
      </c>
      <c r="C43" s="5" t="str">
        <f aca="false">'🤖 Claude Haiku 3.5'!C43</f>
        <v>CoT</v>
      </c>
      <c r="D43" s="140" t="n">
        <f aca="false">'🤖 Claude Haiku 3.5'!E43</f>
        <v>0.4009433962</v>
      </c>
      <c r="E43" s="118" t="n">
        <f aca="false">'🤖 Claude Haiku 3.5'!F43</f>
        <v>4</v>
      </c>
      <c r="F43" s="118" t="n">
        <f aca="false">'🤖 Claude Haiku 3.5'!G43</f>
        <v>5</v>
      </c>
      <c r="G43" s="118" t="n">
        <f aca="false">'🤖 Claude Haiku 3.5'!H43</f>
        <v>5</v>
      </c>
      <c r="H43" s="118" t="n">
        <f aca="false">'🤖 Claude Haiku 3.5'!I43</f>
        <v>3</v>
      </c>
      <c r="I43" s="118" t="n">
        <f aca="false">'🤖 Claude Haiku 3.5'!J43</f>
        <v>5</v>
      </c>
    </row>
    <row r="44" customFormat="false" ht="15.75" hidden="false" customHeight="false" outlineLevel="0" collapsed="false">
      <c r="A44" s="116" t="str">
        <f aca="false">'🤖 Claude Haiku 3.5'!$A$42</f>
        <v>https://www.berria.eus/kultura/benat-arrutik-irabazi-du-donostia-kultura-vii-poesia-lehiaketa_2122642_102.html</v>
      </c>
      <c r="B44" s="3" t="str">
        <f aca="false">"Claude Sonnet 3.5"</f>
        <v>Claude Sonnet 3.5</v>
      </c>
      <c r="C44" s="5" t="str">
        <f aca="false">'🤖 Claude Haiku 3.5'!C44</f>
        <v>5W1H</v>
      </c>
      <c r="D44" s="117" t="n">
        <f aca="false">'🤖 Claude Haiku 3.5'!E44</f>
        <v>0.5518867925</v>
      </c>
      <c r="E44" s="118" t="n">
        <f aca="false">'🤖 Claude Haiku 3.5'!F44</f>
        <v>1</v>
      </c>
      <c r="F44" s="118" t="n">
        <f aca="false">'🤖 Claude Haiku 3.5'!G44</f>
        <v>5</v>
      </c>
      <c r="G44" s="118" t="n">
        <f aca="false">'🤖 Claude Haiku 3.5'!H44</f>
        <v>4</v>
      </c>
      <c r="H44" s="118" t="n">
        <f aca="false">'🤖 Claude Haiku 3.5'!I44</f>
        <v>3</v>
      </c>
      <c r="I44" s="118" t="n">
        <f aca="false">'🤖 Claude Haiku 3.5'!J44</f>
        <v>5</v>
      </c>
    </row>
    <row r="45" customFormat="false" ht="15.75" hidden="false" customHeight="false" outlineLevel="0" collapsed="false">
      <c r="A45" s="116" t="str">
        <f aca="false">'🤖 Claude Haiku 3.5'!$A$42</f>
        <v>https://www.berria.eus/kultura/benat-arrutik-irabazi-du-donostia-kultura-vii-poesia-lehiaketa_2122642_102.html</v>
      </c>
      <c r="B45" s="3" t="str">
        <f aca="false">"Claude Sonnet 3.5"</f>
        <v>Claude Sonnet 3.5</v>
      </c>
      <c r="C45" s="5" t="str">
        <f aca="false">'🤖 Claude Haiku 3.5'!C45</f>
        <v>tldr</v>
      </c>
      <c r="D45" s="141" t="n">
        <f aca="false">'🤖 Claude Haiku 3.5'!E45</f>
        <v>0.7547169811</v>
      </c>
      <c r="E45" s="118" t="n">
        <f aca="false">'🤖 Claude Haiku 3.5'!F45</f>
        <v>4</v>
      </c>
      <c r="F45" s="118" t="n">
        <f aca="false">'🤖 Claude Haiku 3.5'!G45</f>
        <v>5</v>
      </c>
      <c r="G45" s="118" t="n">
        <f aca="false">'🤖 Claude Haiku 3.5'!H45</f>
        <v>1</v>
      </c>
      <c r="H45" s="118" t="n">
        <f aca="false">'🤖 Claude Haiku 3.5'!I45</f>
        <v>3</v>
      </c>
      <c r="I45" s="118" t="n">
        <f aca="false">'🤖 Claude Haiku 3.5'!J45</f>
        <v>5</v>
      </c>
    </row>
    <row r="46" customFormat="false" ht="15.75" hidden="false" customHeight="false" outlineLevel="0" collapsed="false">
      <c r="A46" s="8"/>
      <c r="B46" s="8"/>
      <c r="C46" s="50"/>
      <c r="D46" s="8"/>
      <c r="E46" s="50"/>
      <c r="F46" s="50"/>
      <c r="G46" s="50"/>
      <c r="H46" s="50"/>
      <c r="I46" s="50"/>
    </row>
    <row r="47" customFormat="false" ht="15.75" hidden="false" customHeight="false" outlineLevel="0" collapsed="false">
      <c r="A47" s="116" t="str">
        <f aca="false">'🤖 Claude Haiku 3.5'!$A$47</f>
        <v>https://www.berria.eus/mundua/aleksei-navalni-hil-da_2120844_102.html</v>
      </c>
      <c r="B47" s="3" t="str">
        <f aca="false">"Claude Sonnet 3.5"</f>
        <v>Claude Sonnet 3.5</v>
      </c>
      <c r="C47" s="5" t="str">
        <f aca="false">'🤖 Claude Haiku 3.5'!C47</f>
        <v>Base</v>
      </c>
      <c r="D47" s="124" t="n">
        <f aca="false">'🤖 Claude Haiku 3.5'!E47</f>
        <v>0.5242718447</v>
      </c>
      <c r="E47" s="118" t="n">
        <f aca="false">'🤖 Claude Haiku 3.5'!F47</f>
        <v>3</v>
      </c>
      <c r="F47" s="118" t="n">
        <f aca="false">'🤖 Claude Haiku 3.5'!G47</f>
        <v>5</v>
      </c>
      <c r="G47" s="118" t="n">
        <f aca="false">'🤖 Claude Haiku 3.5'!H47</f>
        <v>1</v>
      </c>
      <c r="H47" s="118" t="n">
        <f aca="false">'🤖 Claude Haiku 3.5'!I47</f>
        <v>3</v>
      </c>
      <c r="I47" s="118" t="n">
        <f aca="false">'🤖 Claude Haiku 3.5'!J47</f>
        <v>5</v>
      </c>
    </row>
    <row r="48" customFormat="false" ht="15.75" hidden="false" customHeight="false" outlineLevel="0" collapsed="false">
      <c r="A48" s="116" t="str">
        <f aca="false">'🤖 Claude Haiku 3.5'!$A$47</f>
        <v>https://www.berria.eus/mundua/aleksei-navalni-hil-da_2120844_102.html</v>
      </c>
      <c r="B48" s="3" t="str">
        <f aca="false">"Claude Sonnet 3.5"</f>
        <v>Claude Sonnet 3.5</v>
      </c>
      <c r="C48" s="5" t="str">
        <f aca="false">'🤖 Claude Haiku 3.5'!C48</f>
        <v>CoT</v>
      </c>
      <c r="D48" s="126" t="n">
        <f aca="false">'🤖 Claude Haiku 3.5'!E48</f>
        <v>0.2961165049</v>
      </c>
      <c r="E48" s="118" t="n">
        <f aca="false">'🤖 Claude Haiku 3.5'!F48</f>
        <v>4</v>
      </c>
      <c r="F48" s="118" t="n">
        <f aca="false">'🤖 Claude Haiku 3.5'!G48</f>
        <v>4</v>
      </c>
      <c r="G48" s="118" t="n">
        <f aca="false">'🤖 Claude Haiku 3.5'!H48</f>
        <v>5</v>
      </c>
      <c r="H48" s="118" t="n">
        <f aca="false">'🤖 Claude Haiku 3.5'!I48</f>
        <v>3</v>
      </c>
      <c r="I48" s="118" t="n">
        <f aca="false">'🤖 Claude Haiku 3.5'!J48</f>
        <v>5</v>
      </c>
    </row>
    <row r="49" customFormat="false" ht="15.75" hidden="false" customHeight="false" outlineLevel="0" collapsed="false">
      <c r="A49" s="116" t="str">
        <f aca="false">'🤖 Claude Haiku 3.5'!$A$47</f>
        <v>https://www.berria.eus/mundua/aleksei-navalni-hil-da_2120844_102.html</v>
      </c>
      <c r="B49" s="3" t="str">
        <f aca="false">"Claude Sonnet 3.5"</f>
        <v>Claude Sonnet 3.5</v>
      </c>
      <c r="C49" s="5" t="str">
        <f aca="false">'🤖 Claude Haiku 3.5'!C49</f>
        <v>5W1H</v>
      </c>
      <c r="D49" s="142" t="n">
        <f aca="false">'🤖 Claude Haiku 3.5'!E49</f>
        <v>0.3276699029</v>
      </c>
      <c r="E49" s="118" t="n">
        <f aca="false">'🤖 Claude Haiku 3.5'!F49</f>
        <v>2</v>
      </c>
      <c r="F49" s="118" t="n">
        <f aca="false">'🤖 Claude Haiku 3.5'!G49</f>
        <v>4</v>
      </c>
      <c r="G49" s="118" t="n">
        <f aca="false">'🤖 Claude Haiku 3.5'!H49</f>
        <v>4</v>
      </c>
      <c r="H49" s="118" t="n">
        <f aca="false">'🤖 Claude Haiku 3.5'!I49</f>
        <v>3</v>
      </c>
      <c r="I49" s="118" t="n">
        <f aca="false">'🤖 Claude Haiku 3.5'!J49</f>
        <v>5</v>
      </c>
    </row>
    <row r="50" customFormat="false" ht="15.75" hidden="false" customHeight="false" outlineLevel="0" collapsed="false">
      <c r="A50" s="116" t="str">
        <f aca="false">'🤖 Claude Haiku 3.5'!$A$47</f>
        <v>https://www.berria.eus/mundua/aleksei-navalni-hil-da_2120844_102.html</v>
      </c>
      <c r="B50" s="3" t="str">
        <f aca="false">"Claude Sonnet 3.5"</f>
        <v>Claude Sonnet 3.5</v>
      </c>
      <c r="C50" s="5" t="str">
        <f aca="false">'🤖 Claude Haiku 3.5'!C50</f>
        <v>tldr</v>
      </c>
      <c r="D50" s="143" t="n">
        <f aca="false">'🤖 Claude Haiku 3.5'!E50</f>
        <v>0.2694174757</v>
      </c>
      <c r="E50" s="118" t="n">
        <f aca="false">'🤖 Claude Haiku 3.5'!F50</f>
        <v>2</v>
      </c>
      <c r="F50" s="118" t="n">
        <f aca="false">'🤖 Claude Haiku 3.5'!G50</f>
        <v>4</v>
      </c>
      <c r="G50" s="118" t="n">
        <f aca="false">'🤖 Claude Haiku 3.5'!H50</f>
        <v>5</v>
      </c>
      <c r="H50" s="118" t="n">
        <f aca="false">'🤖 Claude Haiku 3.5'!I50</f>
        <v>4</v>
      </c>
      <c r="I50" s="118" t="n">
        <f aca="false">'🤖 Claude Haiku 3.5'!J50</f>
        <v>5</v>
      </c>
    </row>
    <row r="51" customFormat="false" ht="15.75" hidden="false" customHeight="false" outlineLevel="0" collapsed="false">
      <c r="A51" s="116"/>
      <c r="B51" s="3"/>
      <c r="C51" s="5"/>
      <c r="D51" s="143"/>
      <c r="E51" s="5"/>
      <c r="F51" s="5"/>
      <c r="G51" s="5"/>
      <c r="H51" s="5"/>
      <c r="I51" s="5"/>
    </row>
    <row r="52" customFormat="false" ht="15.75" hidden="false" customHeight="false" outlineLevel="0" collapsed="false">
      <c r="A52" s="116" t="n">
        <f aca="false">'🤖 Claude Haiku 3.5'!$A$52</f>
        <v>0</v>
      </c>
      <c r="B52" s="3" t="str">
        <f aca="false">"Claude Sonnet 3.5"</f>
        <v>Claude Sonnet 3.5</v>
      </c>
      <c r="C52" s="5" t="str">
        <f aca="false">'🤖 Claude Haiku 3.5'!C52</f>
        <v>Base</v>
      </c>
      <c r="D52" s="143" t="n">
        <f aca="false">'🤖 Claude Haiku 3.5'!E52</f>
        <v>0.002427184466</v>
      </c>
      <c r="E52" s="118" t="n">
        <f aca="false">'🤖 Claude Haiku 3.5'!F52</f>
        <v>0</v>
      </c>
      <c r="F52" s="118" t="n">
        <f aca="false">'🤖 Claude Haiku 3.5'!G52</f>
        <v>0</v>
      </c>
      <c r="G52" s="118" t="n">
        <f aca="false">'🤖 Claude Haiku 3.5'!H52</f>
        <v>0</v>
      </c>
      <c r="H52" s="118" t="n">
        <f aca="false">'🤖 Claude Haiku 3.5'!I52</f>
        <v>0</v>
      </c>
      <c r="I52" s="118" t="n">
        <f aca="false">'🤖 Claude Haiku 3.5'!J52</f>
        <v>0</v>
      </c>
    </row>
    <row r="53" customFormat="false" ht="15.75" hidden="false" customHeight="false" outlineLevel="0" collapsed="false">
      <c r="A53" s="116" t="n">
        <f aca="false">'🤖 Claude Haiku 3.5'!$A$52</f>
        <v>0</v>
      </c>
      <c r="B53" s="3" t="str">
        <f aca="false">"Claude Sonnet 3.5"</f>
        <v>Claude Sonnet 3.5</v>
      </c>
      <c r="C53" s="5" t="str">
        <f aca="false">'🤖 Claude Haiku 3.5'!C53</f>
        <v>CoT</v>
      </c>
      <c r="D53" s="143" t="n">
        <f aca="false">'🤖 Claude Haiku 3.5'!E53</f>
        <v>0.002427184466</v>
      </c>
      <c r="E53" s="118" t="n">
        <f aca="false">'🤖 Claude Haiku 3.5'!F53</f>
        <v>0</v>
      </c>
      <c r="F53" s="118" t="n">
        <f aca="false">'🤖 Claude Haiku 3.5'!G53</f>
        <v>0</v>
      </c>
      <c r="G53" s="118" t="n">
        <f aca="false">'🤖 Claude Haiku 3.5'!H53</f>
        <v>0</v>
      </c>
      <c r="H53" s="118" t="n">
        <f aca="false">'🤖 Claude Haiku 3.5'!I53</f>
        <v>0</v>
      </c>
      <c r="I53" s="118" t="n">
        <f aca="false">'🤖 Claude Haiku 3.5'!J53</f>
        <v>0</v>
      </c>
    </row>
    <row r="54" customFormat="false" ht="15.75" hidden="false" customHeight="false" outlineLevel="0" collapsed="false">
      <c r="A54" s="116" t="n">
        <f aca="false">'🤖 Claude Haiku 3.5'!$A$52</f>
        <v>0</v>
      </c>
      <c r="B54" s="3" t="str">
        <f aca="false">"Claude Sonnet 3.5"</f>
        <v>Claude Sonnet 3.5</v>
      </c>
      <c r="C54" s="5" t="str">
        <f aca="false">'🤖 Claude Haiku 3.5'!C54</f>
        <v>5W1H</v>
      </c>
      <c r="D54" s="143" t="n">
        <f aca="false">'🤖 Claude Haiku 3.5'!E54</f>
        <v>0.002427184466</v>
      </c>
      <c r="E54" s="118" t="n">
        <f aca="false">'🤖 Claude Haiku 3.5'!F54</f>
        <v>0</v>
      </c>
      <c r="F54" s="118" t="n">
        <f aca="false">'🤖 Claude Haiku 3.5'!G54</f>
        <v>0</v>
      </c>
      <c r="G54" s="118" t="n">
        <f aca="false">'🤖 Claude Haiku 3.5'!H54</f>
        <v>0</v>
      </c>
      <c r="H54" s="118" t="n">
        <f aca="false">'🤖 Claude Haiku 3.5'!I54</f>
        <v>0</v>
      </c>
      <c r="I54" s="118" t="n">
        <f aca="false">'🤖 Claude Haiku 3.5'!J54</f>
        <v>0</v>
      </c>
    </row>
    <row r="55" customFormat="false" ht="15.75" hidden="false" customHeight="false" outlineLevel="0" collapsed="false">
      <c r="A55" s="116" t="n">
        <f aca="false">'🤖 Claude Haiku 3.5'!$A$52</f>
        <v>0</v>
      </c>
      <c r="B55" s="3" t="str">
        <f aca="false">"Claude Sonnet 3.5"</f>
        <v>Claude Sonnet 3.5</v>
      </c>
      <c r="C55" s="5" t="str">
        <f aca="false">'🤖 Claude Haiku 3.5'!C55</f>
        <v>tldr</v>
      </c>
      <c r="D55" s="143" t="n">
        <f aca="false">'🤖 Claude Haiku 3.5'!E55</f>
        <v>0.002427184466</v>
      </c>
      <c r="E55" s="118" t="n">
        <f aca="false">'🤖 Claude Haiku 3.5'!F55</f>
        <v>0</v>
      </c>
      <c r="F55" s="118" t="n">
        <f aca="false">'🤖 Claude Haiku 3.5'!G55</f>
        <v>0</v>
      </c>
      <c r="G55" s="118" t="n">
        <f aca="false">'🤖 Claude Haiku 3.5'!H55</f>
        <v>0</v>
      </c>
      <c r="H55" s="118" t="n">
        <f aca="false">'🤖 Claude Haiku 3.5'!I55</f>
        <v>0</v>
      </c>
      <c r="I55" s="118" t="n">
        <f aca="false">'🤖 Claude Haiku 3.5'!J55</f>
        <v>0</v>
      </c>
    </row>
    <row r="56" customFormat="false" ht="15.75" hidden="false" customHeight="false" outlineLevel="0" collapsed="false">
      <c r="A56" s="116"/>
      <c r="B56" s="3"/>
      <c r="C56" s="5"/>
      <c r="D56" s="143"/>
      <c r="E56" s="5"/>
      <c r="F56" s="5"/>
      <c r="G56" s="5"/>
      <c r="H56" s="5"/>
      <c r="I56" s="5"/>
    </row>
    <row r="57" customFormat="false" ht="15.75" hidden="false" customHeight="false" outlineLevel="0" collapsed="false">
      <c r="A57" s="116" t="n">
        <f aca="false">'🤖 Claude Haiku 3.5'!$A$57</f>
        <v>0</v>
      </c>
      <c r="B57" s="3" t="str">
        <f aca="false">"Claude Sonnet 3.5"</f>
        <v>Claude Sonnet 3.5</v>
      </c>
      <c r="C57" s="5" t="str">
        <f aca="false">'🤖 Claude Haiku 3.5'!C57</f>
        <v>Base</v>
      </c>
      <c r="D57" s="143" t="n">
        <f aca="false">'🤖 Claude Haiku 3.5'!E57</f>
        <v>0.002427184466</v>
      </c>
      <c r="E57" s="118" t="n">
        <f aca="false">'🤖 Claude Haiku 3.5'!F57</f>
        <v>0</v>
      </c>
      <c r="F57" s="118" t="n">
        <f aca="false">'🤖 Claude Haiku 3.5'!G57</f>
        <v>0</v>
      </c>
      <c r="G57" s="118" t="n">
        <f aca="false">'🤖 Claude Haiku 3.5'!H57</f>
        <v>0</v>
      </c>
      <c r="H57" s="118" t="n">
        <f aca="false">'🤖 Claude Haiku 3.5'!I57</f>
        <v>0</v>
      </c>
      <c r="I57" s="118" t="n">
        <f aca="false">'🤖 Claude Haiku 3.5'!J57</f>
        <v>0</v>
      </c>
    </row>
    <row r="58" customFormat="false" ht="15.75" hidden="false" customHeight="false" outlineLevel="0" collapsed="false">
      <c r="A58" s="116" t="n">
        <f aca="false">'🤖 Claude Haiku 3.5'!$A$57</f>
        <v>0</v>
      </c>
      <c r="B58" s="3" t="str">
        <f aca="false">"Claude Sonnet 3.5"</f>
        <v>Claude Sonnet 3.5</v>
      </c>
      <c r="C58" s="5" t="str">
        <f aca="false">'🤖 Claude Haiku 3.5'!C58</f>
        <v>CoT</v>
      </c>
      <c r="D58" s="143" t="n">
        <f aca="false">'🤖 Claude Haiku 3.5'!E58</f>
        <v>0.002427184466</v>
      </c>
      <c r="E58" s="118" t="n">
        <f aca="false">'🤖 Claude Haiku 3.5'!F58</f>
        <v>0</v>
      </c>
      <c r="F58" s="118" t="n">
        <f aca="false">'🤖 Claude Haiku 3.5'!G58</f>
        <v>0</v>
      </c>
      <c r="G58" s="118" t="n">
        <f aca="false">'🤖 Claude Haiku 3.5'!H58</f>
        <v>0</v>
      </c>
      <c r="H58" s="118" t="n">
        <f aca="false">'🤖 Claude Haiku 3.5'!I58</f>
        <v>0</v>
      </c>
      <c r="I58" s="118" t="n">
        <f aca="false">'🤖 Claude Haiku 3.5'!J58</f>
        <v>0</v>
      </c>
    </row>
    <row r="59" customFormat="false" ht="15.75" hidden="false" customHeight="false" outlineLevel="0" collapsed="false">
      <c r="A59" s="116" t="n">
        <f aca="false">'🤖 Claude Haiku 3.5'!$A$57</f>
        <v>0</v>
      </c>
      <c r="B59" s="3" t="str">
        <f aca="false">"Claude Sonnet 3.5"</f>
        <v>Claude Sonnet 3.5</v>
      </c>
      <c r="C59" s="5" t="str">
        <f aca="false">'🤖 Claude Haiku 3.5'!C59</f>
        <v>5W1H</v>
      </c>
      <c r="D59" s="143" t="n">
        <f aca="false">'🤖 Claude Haiku 3.5'!E59</f>
        <v>0.002427184466</v>
      </c>
      <c r="E59" s="118" t="n">
        <f aca="false">'🤖 Claude Haiku 3.5'!F59</f>
        <v>0</v>
      </c>
      <c r="F59" s="118" t="n">
        <f aca="false">'🤖 Claude Haiku 3.5'!G59</f>
        <v>0</v>
      </c>
      <c r="G59" s="118" t="n">
        <f aca="false">'🤖 Claude Haiku 3.5'!H59</f>
        <v>0</v>
      </c>
      <c r="H59" s="118" t="n">
        <f aca="false">'🤖 Claude Haiku 3.5'!I59</f>
        <v>0</v>
      </c>
      <c r="I59" s="118" t="n">
        <f aca="false">'🤖 Claude Haiku 3.5'!J59</f>
        <v>0</v>
      </c>
    </row>
    <row r="60" customFormat="false" ht="15.75" hidden="false" customHeight="false" outlineLevel="0" collapsed="false">
      <c r="A60" s="116" t="n">
        <f aca="false">'🤖 Claude Haiku 3.5'!$A$57</f>
        <v>0</v>
      </c>
      <c r="B60" s="3" t="str">
        <f aca="false">"Claude Sonnet 3.5"</f>
        <v>Claude Sonnet 3.5</v>
      </c>
      <c r="C60" s="5" t="str">
        <f aca="false">'🤖 Claude Haiku 3.5'!C60</f>
        <v>tldr</v>
      </c>
      <c r="D60" s="143" t="n">
        <f aca="false">'🤖 Claude Haiku 3.5'!E60</f>
        <v>0.002427184466</v>
      </c>
      <c r="E60" s="118" t="n">
        <f aca="false">'🤖 Claude Haiku 3.5'!F60</f>
        <v>0</v>
      </c>
      <c r="F60" s="118" t="n">
        <f aca="false">'🤖 Claude Haiku 3.5'!G60</f>
        <v>0</v>
      </c>
      <c r="G60" s="118" t="n">
        <f aca="false">'🤖 Claude Haiku 3.5'!H60</f>
        <v>0</v>
      </c>
      <c r="H60" s="118" t="n">
        <f aca="false">'🤖 Claude Haiku 3.5'!I60</f>
        <v>0</v>
      </c>
      <c r="I60" s="118" t="n">
        <f aca="false">'🤖 Claude Haiku 3.5'!J60</f>
        <v>0</v>
      </c>
    </row>
    <row r="61" customFormat="false" ht="15.75" hidden="false" customHeight="false" outlineLevel="0" collapsed="false">
      <c r="A61" s="116"/>
      <c r="B61" s="3"/>
      <c r="C61" s="5"/>
      <c r="D61" s="143"/>
      <c r="E61" s="5"/>
      <c r="F61" s="5"/>
      <c r="G61" s="5"/>
      <c r="H61" s="5"/>
      <c r="I61" s="5"/>
    </row>
    <row r="62" customFormat="false" ht="15.75" hidden="false" customHeight="false" outlineLevel="0" collapsed="false">
      <c r="A62" s="116" t="n">
        <f aca="false">'🤖 Claude Haiku 3.5'!$A$62</f>
        <v>0</v>
      </c>
      <c r="B62" s="3" t="str">
        <f aca="false">"Claude Sonnet 3.5"</f>
        <v>Claude Sonnet 3.5</v>
      </c>
      <c r="C62" s="5" t="str">
        <f aca="false">'🤖 Claude Haiku 3.5'!C62</f>
        <v>Base</v>
      </c>
      <c r="D62" s="143" t="n">
        <f aca="false">'🤖 Claude Haiku 3.5'!E62</f>
        <v>0.002427184466</v>
      </c>
      <c r="E62" s="118" t="n">
        <f aca="false">'🤖 Claude Haiku 3.5'!F62</f>
        <v>0</v>
      </c>
      <c r="F62" s="118" t="n">
        <f aca="false">'🤖 Claude Haiku 3.5'!G62</f>
        <v>0</v>
      </c>
      <c r="G62" s="118" t="n">
        <f aca="false">'🤖 Claude Haiku 3.5'!H62</f>
        <v>0</v>
      </c>
      <c r="H62" s="118" t="n">
        <f aca="false">'🤖 Claude Haiku 3.5'!I62</f>
        <v>0</v>
      </c>
      <c r="I62" s="118" t="n">
        <f aca="false">'🤖 Claude Haiku 3.5'!J62</f>
        <v>0</v>
      </c>
    </row>
    <row r="63" customFormat="false" ht="15.75" hidden="false" customHeight="false" outlineLevel="0" collapsed="false">
      <c r="A63" s="116" t="n">
        <f aca="false">'🤖 Claude Haiku 3.5'!$A$62</f>
        <v>0</v>
      </c>
      <c r="B63" s="3" t="str">
        <f aca="false">"Claude Sonnet 3.5"</f>
        <v>Claude Sonnet 3.5</v>
      </c>
      <c r="C63" s="5" t="str">
        <f aca="false">'🤖 Claude Haiku 3.5'!C63</f>
        <v>CoT</v>
      </c>
      <c r="D63" s="143" t="n">
        <f aca="false">'🤖 Claude Haiku 3.5'!E63</f>
        <v>0.002427184466</v>
      </c>
      <c r="E63" s="118" t="n">
        <f aca="false">'🤖 Claude Haiku 3.5'!F63</f>
        <v>0</v>
      </c>
      <c r="F63" s="118" t="n">
        <f aca="false">'🤖 Claude Haiku 3.5'!G63</f>
        <v>0</v>
      </c>
      <c r="G63" s="118" t="n">
        <f aca="false">'🤖 Claude Haiku 3.5'!H63</f>
        <v>0</v>
      </c>
      <c r="H63" s="118" t="n">
        <f aca="false">'🤖 Claude Haiku 3.5'!I63</f>
        <v>0</v>
      </c>
      <c r="I63" s="118" t="n">
        <f aca="false">'🤖 Claude Haiku 3.5'!J63</f>
        <v>0</v>
      </c>
    </row>
    <row r="64" customFormat="false" ht="15.75" hidden="false" customHeight="false" outlineLevel="0" collapsed="false">
      <c r="A64" s="116" t="n">
        <f aca="false">'🤖 Claude Haiku 3.5'!$A$62</f>
        <v>0</v>
      </c>
      <c r="B64" s="3" t="str">
        <f aca="false">"Claude Sonnet 3.5"</f>
        <v>Claude Sonnet 3.5</v>
      </c>
      <c r="C64" s="5" t="str">
        <f aca="false">'🤖 Claude Haiku 3.5'!C64</f>
        <v>5W1H</v>
      </c>
      <c r="D64" s="143" t="n">
        <f aca="false">'🤖 Claude Haiku 3.5'!E64</f>
        <v>0.002427184466</v>
      </c>
      <c r="E64" s="118" t="n">
        <f aca="false">'🤖 Claude Haiku 3.5'!F64</f>
        <v>0</v>
      </c>
      <c r="F64" s="118" t="n">
        <f aca="false">'🤖 Claude Haiku 3.5'!G64</f>
        <v>0</v>
      </c>
      <c r="G64" s="118" t="n">
        <f aca="false">'🤖 Claude Haiku 3.5'!H64</f>
        <v>0</v>
      </c>
      <c r="H64" s="118" t="n">
        <f aca="false">'🤖 Claude Haiku 3.5'!I64</f>
        <v>0</v>
      </c>
      <c r="I64" s="118" t="n">
        <f aca="false">'🤖 Claude Haiku 3.5'!J64</f>
        <v>0</v>
      </c>
    </row>
    <row r="65" customFormat="false" ht="15.75" hidden="false" customHeight="false" outlineLevel="0" collapsed="false">
      <c r="A65" s="116" t="n">
        <f aca="false">'🤖 Claude Haiku 3.5'!$A$62</f>
        <v>0</v>
      </c>
      <c r="B65" s="3" t="str">
        <f aca="false">"Claude Sonnet 3.5"</f>
        <v>Claude Sonnet 3.5</v>
      </c>
      <c r="C65" s="5" t="str">
        <f aca="false">'🤖 Claude Haiku 3.5'!C65</f>
        <v>tldr</v>
      </c>
      <c r="D65" s="143" t="n">
        <f aca="false">'🤖 Claude Haiku 3.5'!E65</f>
        <v>0.002427184466</v>
      </c>
      <c r="E65" s="118" t="n">
        <f aca="false">'🤖 Claude Haiku 3.5'!F65</f>
        <v>0</v>
      </c>
      <c r="F65" s="118" t="n">
        <f aca="false">'🤖 Claude Haiku 3.5'!G65</f>
        <v>0</v>
      </c>
      <c r="G65" s="118" t="n">
        <f aca="false">'🤖 Claude Haiku 3.5'!H65</f>
        <v>0</v>
      </c>
      <c r="H65" s="118" t="n">
        <f aca="false">'🤖 Claude Haiku 3.5'!I65</f>
        <v>0</v>
      </c>
      <c r="I65" s="118" t="n">
        <f aca="false">'🤖 Claude Haiku 3.5'!J65</f>
        <v>0</v>
      </c>
    </row>
    <row r="66" customFormat="false" ht="15.75" hidden="false" customHeight="false" outlineLevel="0" collapsed="false">
      <c r="A66" s="116"/>
      <c r="B66" s="3"/>
      <c r="C66" s="5"/>
      <c r="D66" s="143"/>
      <c r="E66" s="5"/>
      <c r="F66" s="5"/>
      <c r="G66" s="5"/>
      <c r="H66" s="5"/>
      <c r="I66" s="5"/>
    </row>
    <row r="67" customFormat="false" ht="15.75" hidden="false" customHeight="false" outlineLevel="0" collapsed="false">
      <c r="A67" s="116" t="n">
        <f aca="false">'🤖 Claude Haiku 3.5'!$A$67</f>
        <v>0</v>
      </c>
      <c r="B67" s="3" t="str">
        <f aca="false">"Claude Sonnet 3.5"</f>
        <v>Claude Sonnet 3.5</v>
      </c>
      <c r="C67" s="5" t="str">
        <f aca="false">'🤖 Claude Haiku 3.5'!C67</f>
        <v>Base</v>
      </c>
      <c r="D67" s="143" t="n">
        <f aca="false">'🤖 Claude Haiku 3.5'!E67</f>
        <v>0.002427184466</v>
      </c>
      <c r="E67" s="118" t="n">
        <f aca="false">'🤖 Claude Haiku 3.5'!F67</f>
        <v>0</v>
      </c>
      <c r="F67" s="118" t="n">
        <f aca="false">'🤖 Claude Haiku 3.5'!G67</f>
        <v>0</v>
      </c>
      <c r="G67" s="118" t="n">
        <f aca="false">'🤖 Claude Haiku 3.5'!H67</f>
        <v>0</v>
      </c>
      <c r="H67" s="118" t="n">
        <f aca="false">'🤖 Claude Haiku 3.5'!I67</f>
        <v>0</v>
      </c>
      <c r="I67" s="118" t="n">
        <f aca="false">'🤖 Claude Haiku 3.5'!J67</f>
        <v>0</v>
      </c>
    </row>
    <row r="68" customFormat="false" ht="15.75" hidden="false" customHeight="false" outlineLevel="0" collapsed="false">
      <c r="A68" s="116" t="n">
        <f aca="false">'🤖 Claude Haiku 3.5'!$A$67</f>
        <v>0</v>
      </c>
      <c r="B68" s="3" t="str">
        <f aca="false">"Claude Sonnet 3.5"</f>
        <v>Claude Sonnet 3.5</v>
      </c>
      <c r="C68" s="5" t="str">
        <f aca="false">'🤖 Claude Haiku 3.5'!C68</f>
        <v>CoT</v>
      </c>
      <c r="D68" s="143" t="n">
        <f aca="false">'🤖 Claude Haiku 3.5'!E68</f>
        <v>0.002427184466</v>
      </c>
      <c r="E68" s="118" t="n">
        <f aca="false">'🤖 Claude Haiku 3.5'!F68</f>
        <v>0</v>
      </c>
      <c r="F68" s="118" t="n">
        <f aca="false">'🤖 Claude Haiku 3.5'!G68</f>
        <v>0</v>
      </c>
      <c r="G68" s="118" t="n">
        <f aca="false">'🤖 Claude Haiku 3.5'!H68</f>
        <v>0</v>
      </c>
      <c r="H68" s="118" t="n">
        <f aca="false">'🤖 Claude Haiku 3.5'!I68</f>
        <v>0</v>
      </c>
      <c r="I68" s="118" t="n">
        <f aca="false">'🤖 Claude Haiku 3.5'!J68</f>
        <v>0</v>
      </c>
    </row>
    <row r="69" customFormat="false" ht="15.75" hidden="false" customHeight="false" outlineLevel="0" collapsed="false">
      <c r="A69" s="116" t="n">
        <f aca="false">'🤖 Claude Haiku 3.5'!$A$67</f>
        <v>0</v>
      </c>
      <c r="B69" s="3" t="str">
        <f aca="false">"Claude Sonnet 3.5"</f>
        <v>Claude Sonnet 3.5</v>
      </c>
      <c r="C69" s="5" t="str">
        <f aca="false">'🤖 Claude Haiku 3.5'!C69</f>
        <v>5W1H</v>
      </c>
      <c r="D69" s="143" t="n">
        <f aca="false">'🤖 Claude Haiku 3.5'!E69</f>
        <v>0.002427184466</v>
      </c>
      <c r="E69" s="118" t="n">
        <f aca="false">'🤖 Claude Haiku 3.5'!F69</f>
        <v>0</v>
      </c>
      <c r="F69" s="118" t="n">
        <f aca="false">'🤖 Claude Haiku 3.5'!G69</f>
        <v>0</v>
      </c>
      <c r="G69" s="118" t="n">
        <f aca="false">'🤖 Claude Haiku 3.5'!H69</f>
        <v>0</v>
      </c>
      <c r="H69" s="118" t="n">
        <f aca="false">'🤖 Claude Haiku 3.5'!I69</f>
        <v>0</v>
      </c>
      <c r="I69" s="118" t="n">
        <f aca="false">'🤖 Claude Haiku 3.5'!J69</f>
        <v>0</v>
      </c>
    </row>
    <row r="70" customFormat="false" ht="15.75" hidden="false" customHeight="false" outlineLevel="0" collapsed="false">
      <c r="A70" s="116" t="n">
        <f aca="false">'🤖 Claude Haiku 3.5'!$A$67</f>
        <v>0</v>
      </c>
      <c r="B70" s="3" t="str">
        <f aca="false">"Claude Sonnet 3.5"</f>
        <v>Claude Sonnet 3.5</v>
      </c>
      <c r="C70" s="5" t="str">
        <f aca="false">'🤖 Claude Haiku 3.5'!C70</f>
        <v>tldr</v>
      </c>
      <c r="D70" s="143" t="n">
        <f aca="false">'🤖 Claude Haiku 3.5'!E70</f>
        <v>0.002427184466</v>
      </c>
      <c r="E70" s="118" t="n">
        <f aca="false">'🤖 Claude Haiku 3.5'!F70</f>
        <v>0</v>
      </c>
      <c r="F70" s="118" t="n">
        <f aca="false">'🤖 Claude Haiku 3.5'!G70</f>
        <v>0</v>
      </c>
      <c r="G70" s="118" t="n">
        <f aca="false">'🤖 Claude Haiku 3.5'!H70</f>
        <v>0</v>
      </c>
      <c r="H70" s="118" t="n">
        <f aca="false">'🤖 Claude Haiku 3.5'!I70</f>
        <v>0</v>
      </c>
      <c r="I70" s="118" t="n">
        <f aca="false">'🤖 Claude Haiku 3.5'!J70</f>
        <v>0</v>
      </c>
    </row>
    <row r="71" customFormat="false" ht="15.75" hidden="false" customHeight="false" outlineLevel="0" collapsed="false">
      <c r="A71" s="116"/>
      <c r="B71" s="3"/>
      <c r="C71" s="5"/>
      <c r="D71" s="143"/>
      <c r="E71" s="5"/>
      <c r="F71" s="5"/>
      <c r="G71" s="5"/>
      <c r="H71" s="5"/>
      <c r="I71" s="5"/>
    </row>
    <row r="72" customFormat="false" ht="15.75" hidden="false" customHeight="false" outlineLevel="0" collapsed="false">
      <c r="A72" s="116" t="n">
        <f aca="false">'🤖 Claude Haiku 3.5'!$A$72</f>
        <v>0</v>
      </c>
      <c r="B72" s="3" t="str">
        <f aca="false">"Claude Sonnet 3.5"</f>
        <v>Claude Sonnet 3.5</v>
      </c>
      <c r="C72" s="5" t="str">
        <f aca="false">'🤖 Claude Haiku 3.5'!C72</f>
        <v>Base</v>
      </c>
      <c r="D72" s="143" t="n">
        <f aca="false">'🤖 Claude Haiku 3.5'!E72</f>
        <v>0.002427184466</v>
      </c>
      <c r="E72" s="118" t="n">
        <f aca="false">'🤖 Claude Haiku 3.5'!F72</f>
        <v>0</v>
      </c>
      <c r="F72" s="118" t="n">
        <f aca="false">'🤖 Claude Haiku 3.5'!G72</f>
        <v>0</v>
      </c>
      <c r="G72" s="118" t="n">
        <f aca="false">'🤖 Claude Haiku 3.5'!H72</f>
        <v>0</v>
      </c>
      <c r="H72" s="118" t="n">
        <f aca="false">'🤖 Claude Haiku 3.5'!I72</f>
        <v>0</v>
      </c>
      <c r="I72" s="118" t="n">
        <f aca="false">'🤖 Claude Haiku 3.5'!J72</f>
        <v>0</v>
      </c>
    </row>
    <row r="73" customFormat="false" ht="15.75" hidden="false" customHeight="false" outlineLevel="0" collapsed="false">
      <c r="A73" s="116" t="n">
        <f aca="false">'🤖 Claude Haiku 3.5'!$A$72</f>
        <v>0</v>
      </c>
      <c r="B73" s="3" t="str">
        <f aca="false">"Claude Sonnet 3.5"</f>
        <v>Claude Sonnet 3.5</v>
      </c>
      <c r="C73" s="5" t="str">
        <f aca="false">'🤖 Claude Haiku 3.5'!C73</f>
        <v>CoT</v>
      </c>
      <c r="D73" s="143" t="n">
        <f aca="false">'🤖 Claude Haiku 3.5'!E73</f>
        <v>0.002427184466</v>
      </c>
      <c r="E73" s="118" t="n">
        <f aca="false">'🤖 Claude Haiku 3.5'!F73</f>
        <v>0</v>
      </c>
      <c r="F73" s="118" t="n">
        <f aca="false">'🤖 Claude Haiku 3.5'!G73</f>
        <v>0</v>
      </c>
      <c r="G73" s="118" t="n">
        <f aca="false">'🤖 Claude Haiku 3.5'!H73</f>
        <v>0</v>
      </c>
      <c r="H73" s="118" t="n">
        <f aca="false">'🤖 Claude Haiku 3.5'!I73</f>
        <v>0</v>
      </c>
      <c r="I73" s="118" t="n">
        <f aca="false">'🤖 Claude Haiku 3.5'!J73</f>
        <v>0</v>
      </c>
    </row>
    <row r="74" customFormat="false" ht="15.75" hidden="false" customHeight="false" outlineLevel="0" collapsed="false">
      <c r="A74" s="116" t="n">
        <f aca="false">'🤖 Claude Haiku 3.5'!$A$72</f>
        <v>0</v>
      </c>
      <c r="B74" s="3" t="str">
        <f aca="false">"Claude Sonnet 3.5"</f>
        <v>Claude Sonnet 3.5</v>
      </c>
      <c r="C74" s="5" t="str">
        <f aca="false">'🤖 Claude Haiku 3.5'!C74</f>
        <v>5W1H</v>
      </c>
      <c r="D74" s="143" t="n">
        <f aca="false">'🤖 Claude Haiku 3.5'!E74</f>
        <v>0.002427184466</v>
      </c>
      <c r="E74" s="118" t="n">
        <f aca="false">'🤖 Claude Haiku 3.5'!F74</f>
        <v>0</v>
      </c>
      <c r="F74" s="118" t="n">
        <f aca="false">'🤖 Claude Haiku 3.5'!G74</f>
        <v>0</v>
      </c>
      <c r="G74" s="118" t="n">
        <f aca="false">'🤖 Claude Haiku 3.5'!H74</f>
        <v>0</v>
      </c>
      <c r="H74" s="118" t="n">
        <f aca="false">'🤖 Claude Haiku 3.5'!I74</f>
        <v>0</v>
      </c>
      <c r="I74" s="118" t="n">
        <f aca="false">'🤖 Claude Haiku 3.5'!J74</f>
        <v>0</v>
      </c>
    </row>
    <row r="75" customFormat="false" ht="15.75" hidden="false" customHeight="false" outlineLevel="0" collapsed="false">
      <c r="A75" s="116" t="n">
        <f aca="false">'🤖 Claude Haiku 3.5'!$A$72</f>
        <v>0</v>
      </c>
      <c r="B75" s="3" t="str">
        <f aca="false">"Claude Sonnet 3.5"</f>
        <v>Claude Sonnet 3.5</v>
      </c>
      <c r="C75" s="5" t="str">
        <f aca="false">'🤖 Claude Haiku 3.5'!C75</f>
        <v>tldr</v>
      </c>
      <c r="D75" s="143" t="n">
        <f aca="false">'🤖 Claude Haiku 3.5'!E75</f>
        <v>0.002427184466</v>
      </c>
      <c r="E75" s="118" t="n">
        <f aca="false">'🤖 Claude Haiku 3.5'!F75</f>
        <v>0</v>
      </c>
      <c r="F75" s="118" t="n">
        <f aca="false">'🤖 Claude Haiku 3.5'!G75</f>
        <v>0</v>
      </c>
      <c r="G75" s="118" t="n">
        <f aca="false">'🤖 Claude Haiku 3.5'!H75</f>
        <v>0</v>
      </c>
      <c r="H75" s="118" t="n">
        <f aca="false">'🤖 Claude Haiku 3.5'!I75</f>
        <v>0</v>
      </c>
      <c r="I75" s="118" t="n">
        <f aca="false">'🤖 Claude Haiku 3.5'!J75</f>
        <v>0</v>
      </c>
    </row>
    <row r="76" customFormat="false" ht="15.75" hidden="false" customHeight="false" outlineLevel="0" collapsed="false">
      <c r="A76" s="116"/>
      <c r="B76" s="3"/>
      <c r="C76" s="5"/>
      <c r="D76" s="143"/>
      <c r="E76" s="5"/>
      <c r="F76" s="5"/>
      <c r="G76" s="5"/>
      <c r="H76" s="5"/>
      <c r="I76" s="5"/>
    </row>
    <row r="77" customFormat="false" ht="15.75" hidden="false" customHeight="false" outlineLevel="0" collapsed="false">
      <c r="A77" s="116" t="n">
        <f aca="false">'🤖 Claude Haiku 3.5'!$A$77</f>
        <v>0</v>
      </c>
      <c r="B77" s="3" t="str">
        <f aca="false">"Claude Sonnet 3.5"</f>
        <v>Claude Sonnet 3.5</v>
      </c>
      <c r="C77" s="5" t="str">
        <f aca="false">'🤖 Claude Haiku 3.5'!C77</f>
        <v>Base</v>
      </c>
      <c r="D77" s="143" t="n">
        <f aca="false">'🤖 Claude Haiku 3.5'!E77</f>
        <v>0.002427184466</v>
      </c>
      <c r="E77" s="118" t="n">
        <f aca="false">'🤖 Claude Haiku 3.5'!F77</f>
        <v>0</v>
      </c>
      <c r="F77" s="118" t="n">
        <f aca="false">'🤖 Claude Haiku 3.5'!G77</f>
        <v>0</v>
      </c>
      <c r="G77" s="118" t="n">
        <f aca="false">'🤖 Claude Haiku 3.5'!H77</f>
        <v>0</v>
      </c>
      <c r="H77" s="118" t="n">
        <f aca="false">'🤖 Claude Haiku 3.5'!I77</f>
        <v>0</v>
      </c>
      <c r="I77" s="118" t="n">
        <f aca="false">'🤖 Claude Haiku 3.5'!J77</f>
        <v>0</v>
      </c>
    </row>
    <row r="78" customFormat="false" ht="15.75" hidden="false" customHeight="false" outlineLevel="0" collapsed="false">
      <c r="A78" s="116" t="n">
        <f aca="false">'🤖 Claude Haiku 3.5'!$A$77</f>
        <v>0</v>
      </c>
      <c r="B78" s="3" t="str">
        <f aca="false">"Claude Sonnet 3.5"</f>
        <v>Claude Sonnet 3.5</v>
      </c>
      <c r="C78" s="5" t="str">
        <f aca="false">'🤖 Claude Haiku 3.5'!C78</f>
        <v>CoT</v>
      </c>
      <c r="D78" s="143" t="n">
        <f aca="false">'🤖 Claude Haiku 3.5'!E78</f>
        <v>0.002427184466</v>
      </c>
      <c r="E78" s="118" t="n">
        <f aca="false">'🤖 Claude Haiku 3.5'!F78</f>
        <v>0</v>
      </c>
      <c r="F78" s="118" t="n">
        <f aca="false">'🤖 Claude Haiku 3.5'!G78</f>
        <v>0</v>
      </c>
      <c r="G78" s="118" t="n">
        <f aca="false">'🤖 Claude Haiku 3.5'!H78</f>
        <v>0</v>
      </c>
      <c r="H78" s="118" t="n">
        <f aca="false">'🤖 Claude Haiku 3.5'!I78</f>
        <v>0</v>
      </c>
      <c r="I78" s="118" t="n">
        <f aca="false">'🤖 Claude Haiku 3.5'!J78</f>
        <v>0</v>
      </c>
    </row>
    <row r="79" customFormat="false" ht="15.75" hidden="false" customHeight="false" outlineLevel="0" collapsed="false">
      <c r="A79" s="116" t="n">
        <f aca="false">'🤖 Claude Haiku 3.5'!$A$77</f>
        <v>0</v>
      </c>
      <c r="B79" s="3" t="str">
        <f aca="false">"Claude Sonnet 3.5"</f>
        <v>Claude Sonnet 3.5</v>
      </c>
      <c r="C79" s="5" t="str">
        <f aca="false">'🤖 Claude Haiku 3.5'!C79</f>
        <v>5W1H</v>
      </c>
      <c r="D79" s="143" t="n">
        <f aca="false">'🤖 Claude Haiku 3.5'!E79</f>
        <v>0.002427184466</v>
      </c>
      <c r="E79" s="118" t="n">
        <f aca="false">'🤖 Claude Haiku 3.5'!F79</f>
        <v>0</v>
      </c>
      <c r="F79" s="118" t="n">
        <f aca="false">'🤖 Claude Haiku 3.5'!G79</f>
        <v>0</v>
      </c>
      <c r="G79" s="118" t="n">
        <f aca="false">'🤖 Claude Haiku 3.5'!H79</f>
        <v>0</v>
      </c>
      <c r="H79" s="118" t="n">
        <f aca="false">'🤖 Claude Haiku 3.5'!I79</f>
        <v>0</v>
      </c>
      <c r="I79" s="118" t="n">
        <f aca="false">'🤖 Claude Haiku 3.5'!J79</f>
        <v>0</v>
      </c>
    </row>
    <row r="80" customFormat="false" ht="15.75" hidden="false" customHeight="false" outlineLevel="0" collapsed="false">
      <c r="A80" s="116" t="n">
        <f aca="false">'🤖 Claude Haiku 3.5'!$A$77</f>
        <v>0</v>
      </c>
      <c r="B80" s="3" t="str">
        <f aca="false">"Claude Sonnet 3.5"</f>
        <v>Claude Sonnet 3.5</v>
      </c>
      <c r="C80" s="5" t="str">
        <f aca="false">'🤖 Claude Haiku 3.5'!C80</f>
        <v>tldr</v>
      </c>
      <c r="D80" s="143" t="n">
        <f aca="false">'🤖 Claude Haiku 3.5'!E80</f>
        <v>0.002427184466</v>
      </c>
      <c r="E80" s="118" t="n">
        <f aca="false">'🤖 Claude Haiku 3.5'!F80</f>
        <v>0</v>
      </c>
      <c r="F80" s="118" t="n">
        <f aca="false">'🤖 Claude Haiku 3.5'!G80</f>
        <v>0</v>
      </c>
      <c r="G80" s="118" t="n">
        <f aca="false">'🤖 Claude Haiku 3.5'!H80</f>
        <v>0</v>
      </c>
      <c r="H80" s="118" t="n">
        <f aca="false">'🤖 Claude Haiku 3.5'!I80</f>
        <v>0</v>
      </c>
      <c r="I80" s="118" t="n">
        <f aca="false">'🤖 Claude Haiku 3.5'!J80</f>
        <v>0</v>
      </c>
    </row>
    <row r="81" customFormat="false" ht="15.75" hidden="false" customHeight="false" outlineLevel="0" collapsed="false">
      <c r="A81" s="116"/>
      <c r="B81" s="3"/>
      <c r="C81" s="5"/>
      <c r="D81" s="143"/>
      <c r="E81" s="5"/>
      <c r="F81" s="5"/>
      <c r="G81" s="5"/>
      <c r="H81" s="5"/>
      <c r="I81" s="5"/>
    </row>
    <row r="82" customFormat="false" ht="15.75" hidden="false" customHeight="false" outlineLevel="0" collapsed="false">
      <c r="A82" s="116" t="n">
        <f aca="false">'🤖 Claude Haiku 3.5'!$A$82</f>
        <v>0</v>
      </c>
      <c r="B82" s="3" t="str">
        <f aca="false">"Claude Sonnet 3.5"</f>
        <v>Claude Sonnet 3.5</v>
      </c>
      <c r="C82" s="5" t="str">
        <f aca="false">'🤖 Claude Haiku 3.5'!C82</f>
        <v>Base</v>
      </c>
      <c r="D82" s="143" t="n">
        <f aca="false">'🤖 Claude Haiku 3.5'!E82</f>
        <v>0.002427184466</v>
      </c>
      <c r="E82" s="118" t="n">
        <f aca="false">'🤖 Claude Haiku 3.5'!F82</f>
        <v>0</v>
      </c>
      <c r="F82" s="118" t="n">
        <f aca="false">'🤖 Claude Haiku 3.5'!G82</f>
        <v>0</v>
      </c>
      <c r="G82" s="118" t="n">
        <f aca="false">'🤖 Claude Haiku 3.5'!H82</f>
        <v>0</v>
      </c>
      <c r="H82" s="118" t="n">
        <f aca="false">'🤖 Claude Haiku 3.5'!I82</f>
        <v>0</v>
      </c>
      <c r="I82" s="118" t="n">
        <f aca="false">'🤖 Claude Haiku 3.5'!J82</f>
        <v>0</v>
      </c>
    </row>
    <row r="83" customFormat="false" ht="15.75" hidden="false" customHeight="false" outlineLevel="0" collapsed="false">
      <c r="A83" s="116" t="n">
        <f aca="false">'🤖 Claude Haiku 3.5'!$A$82</f>
        <v>0</v>
      </c>
      <c r="B83" s="3" t="str">
        <f aca="false">"Claude Sonnet 3.5"</f>
        <v>Claude Sonnet 3.5</v>
      </c>
      <c r="C83" s="5" t="str">
        <f aca="false">'🤖 Claude Haiku 3.5'!C83</f>
        <v>CoT</v>
      </c>
      <c r="D83" s="143" t="n">
        <f aca="false">'🤖 Claude Haiku 3.5'!E83</f>
        <v>0.002427184466</v>
      </c>
      <c r="E83" s="118" t="n">
        <f aca="false">'🤖 Claude Haiku 3.5'!F83</f>
        <v>0</v>
      </c>
      <c r="F83" s="118" t="n">
        <f aca="false">'🤖 Claude Haiku 3.5'!G83</f>
        <v>0</v>
      </c>
      <c r="G83" s="118" t="n">
        <f aca="false">'🤖 Claude Haiku 3.5'!H83</f>
        <v>0</v>
      </c>
      <c r="H83" s="118" t="n">
        <f aca="false">'🤖 Claude Haiku 3.5'!I83</f>
        <v>0</v>
      </c>
      <c r="I83" s="118" t="n">
        <f aca="false">'🤖 Claude Haiku 3.5'!J83</f>
        <v>0</v>
      </c>
    </row>
    <row r="84" customFormat="false" ht="15.75" hidden="false" customHeight="false" outlineLevel="0" collapsed="false">
      <c r="A84" s="116" t="n">
        <f aca="false">'🤖 Claude Haiku 3.5'!$A$82</f>
        <v>0</v>
      </c>
      <c r="B84" s="3" t="str">
        <f aca="false">"Claude Sonnet 3.5"</f>
        <v>Claude Sonnet 3.5</v>
      </c>
      <c r="C84" s="5" t="str">
        <f aca="false">'🤖 Claude Haiku 3.5'!C84</f>
        <v>5W1H</v>
      </c>
      <c r="D84" s="143" t="n">
        <f aca="false">'🤖 Claude Haiku 3.5'!E84</f>
        <v>0.002427184466</v>
      </c>
      <c r="E84" s="118" t="n">
        <f aca="false">'🤖 Claude Haiku 3.5'!F84</f>
        <v>0</v>
      </c>
      <c r="F84" s="118" t="n">
        <f aca="false">'🤖 Claude Haiku 3.5'!G84</f>
        <v>0</v>
      </c>
      <c r="G84" s="118" t="n">
        <f aca="false">'🤖 Claude Haiku 3.5'!H84</f>
        <v>0</v>
      </c>
      <c r="H84" s="118" t="n">
        <f aca="false">'🤖 Claude Haiku 3.5'!I84</f>
        <v>0</v>
      </c>
      <c r="I84" s="118" t="n">
        <f aca="false">'🤖 Claude Haiku 3.5'!J84</f>
        <v>0</v>
      </c>
    </row>
    <row r="85" customFormat="false" ht="15.75" hidden="false" customHeight="false" outlineLevel="0" collapsed="false">
      <c r="A85" s="116" t="n">
        <f aca="false">'🤖 Claude Haiku 3.5'!$A$82</f>
        <v>0</v>
      </c>
      <c r="B85" s="3" t="str">
        <f aca="false">"Claude Sonnet 3.5"</f>
        <v>Claude Sonnet 3.5</v>
      </c>
      <c r="C85" s="5" t="str">
        <f aca="false">'🤖 Claude Haiku 3.5'!C85</f>
        <v>tldr</v>
      </c>
      <c r="D85" s="143" t="n">
        <f aca="false">'🤖 Claude Haiku 3.5'!E85</f>
        <v>0.002427184466</v>
      </c>
      <c r="E85" s="118" t="n">
        <f aca="false">'🤖 Claude Haiku 3.5'!F85</f>
        <v>0</v>
      </c>
      <c r="F85" s="118" t="n">
        <f aca="false">'🤖 Claude Haiku 3.5'!G85</f>
        <v>0</v>
      </c>
      <c r="G85" s="118" t="n">
        <f aca="false">'🤖 Claude Haiku 3.5'!H85</f>
        <v>0</v>
      </c>
      <c r="H85" s="118" t="n">
        <f aca="false">'🤖 Claude Haiku 3.5'!I85</f>
        <v>0</v>
      </c>
      <c r="I85" s="118" t="n">
        <f aca="false">'🤖 Claude Haiku 3.5'!J85</f>
        <v>0</v>
      </c>
    </row>
    <row r="86" customFormat="false" ht="15.75" hidden="false" customHeight="false" outlineLevel="0" collapsed="false">
      <c r="A86" s="116"/>
      <c r="B86" s="3"/>
      <c r="C86" s="5"/>
      <c r="D86" s="143"/>
      <c r="E86" s="5"/>
      <c r="F86" s="5"/>
      <c r="G86" s="5"/>
      <c r="H86" s="5"/>
      <c r="I86" s="5"/>
    </row>
    <row r="87" customFormat="false" ht="15.75" hidden="false" customHeight="false" outlineLevel="0" collapsed="false">
      <c r="A87" s="116" t="n">
        <f aca="false">'🤖 Claude Haiku 3.5'!$A$87</f>
        <v>0</v>
      </c>
      <c r="B87" s="3" t="str">
        <f aca="false">"Claude Sonnet 3.5"</f>
        <v>Claude Sonnet 3.5</v>
      </c>
      <c r="C87" s="5" t="str">
        <f aca="false">'🤖 Claude Haiku 3.5'!C87</f>
        <v>Base</v>
      </c>
      <c r="D87" s="143" t="n">
        <f aca="false">'🤖 Claude Haiku 3.5'!E87</f>
        <v>0.002427184466</v>
      </c>
      <c r="E87" s="118" t="n">
        <f aca="false">'🤖 Claude Haiku 3.5'!F87</f>
        <v>0</v>
      </c>
      <c r="F87" s="118" t="n">
        <f aca="false">'🤖 Claude Haiku 3.5'!G87</f>
        <v>0</v>
      </c>
      <c r="G87" s="118" t="n">
        <f aca="false">'🤖 Claude Haiku 3.5'!H87</f>
        <v>0</v>
      </c>
      <c r="H87" s="118" t="n">
        <f aca="false">'🤖 Claude Haiku 3.5'!I87</f>
        <v>0</v>
      </c>
      <c r="I87" s="118" t="n">
        <f aca="false">'🤖 Claude Haiku 3.5'!J87</f>
        <v>0</v>
      </c>
    </row>
    <row r="88" customFormat="false" ht="15.75" hidden="false" customHeight="false" outlineLevel="0" collapsed="false">
      <c r="A88" s="116" t="n">
        <f aca="false">'🤖 Claude Haiku 3.5'!$A$87</f>
        <v>0</v>
      </c>
      <c r="B88" s="3" t="str">
        <f aca="false">"Claude Sonnet 3.5"</f>
        <v>Claude Sonnet 3.5</v>
      </c>
      <c r="C88" s="5" t="str">
        <f aca="false">'🤖 Claude Haiku 3.5'!C88</f>
        <v>CoT</v>
      </c>
      <c r="D88" s="143" t="n">
        <f aca="false">'🤖 Claude Haiku 3.5'!E88</f>
        <v>0.002427184466</v>
      </c>
      <c r="E88" s="118" t="n">
        <f aca="false">'🤖 Claude Haiku 3.5'!F88</f>
        <v>0</v>
      </c>
      <c r="F88" s="118" t="n">
        <f aca="false">'🤖 Claude Haiku 3.5'!G88</f>
        <v>0</v>
      </c>
      <c r="G88" s="118" t="n">
        <f aca="false">'🤖 Claude Haiku 3.5'!H88</f>
        <v>0</v>
      </c>
      <c r="H88" s="118" t="n">
        <f aca="false">'🤖 Claude Haiku 3.5'!I88</f>
        <v>0</v>
      </c>
      <c r="I88" s="118" t="n">
        <f aca="false">'🤖 Claude Haiku 3.5'!J88</f>
        <v>0</v>
      </c>
    </row>
    <row r="89" customFormat="false" ht="15.75" hidden="false" customHeight="false" outlineLevel="0" collapsed="false">
      <c r="A89" s="116" t="n">
        <f aca="false">'🤖 Claude Haiku 3.5'!$A$87</f>
        <v>0</v>
      </c>
      <c r="B89" s="3" t="str">
        <f aca="false">"Claude Sonnet 3.5"</f>
        <v>Claude Sonnet 3.5</v>
      </c>
      <c r="C89" s="5" t="str">
        <f aca="false">'🤖 Claude Haiku 3.5'!C89</f>
        <v>5W1H</v>
      </c>
      <c r="D89" s="143" t="n">
        <f aca="false">'🤖 Claude Haiku 3.5'!E89</f>
        <v>0.002427184466</v>
      </c>
      <c r="E89" s="118" t="n">
        <f aca="false">'🤖 Claude Haiku 3.5'!F89</f>
        <v>0</v>
      </c>
      <c r="F89" s="118" t="n">
        <f aca="false">'🤖 Claude Haiku 3.5'!G89</f>
        <v>0</v>
      </c>
      <c r="G89" s="118" t="n">
        <f aca="false">'🤖 Claude Haiku 3.5'!H89</f>
        <v>0</v>
      </c>
      <c r="H89" s="118" t="n">
        <f aca="false">'🤖 Claude Haiku 3.5'!I89</f>
        <v>0</v>
      </c>
      <c r="I89" s="118" t="n">
        <f aca="false">'🤖 Claude Haiku 3.5'!J89</f>
        <v>0</v>
      </c>
    </row>
    <row r="90" customFormat="false" ht="15.75" hidden="false" customHeight="false" outlineLevel="0" collapsed="false">
      <c r="A90" s="116" t="n">
        <f aca="false">'🤖 Claude Haiku 3.5'!$A$87</f>
        <v>0</v>
      </c>
      <c r="B90" s="3" t="str">
        <f aca="false">"Claude Sonnet 3.5"</f>
        <v>Claude Sonnet 3.5</v>
      </c>
      <c r="C90" s="5" t="str">
        <f aca="false">'🤖 Claude Haiku 3.5'!C90</f>
        <v>tldr</v>
      </c>
      <c r="D90" s="143" t="n">
        <f aca="false">'🤖 Claude Haiku 3.5'!E90</f>
        <v>0.002427184466</v>
      </c>
      <c r="E90" s="118" t="n">
        <f aca="false">'🤖 Claude Haiku 3.5'!F90</f>
        <v>0</v>
      </c>
      <c r="F90" s="118" t="n">
        <f aca="false">'🤖 Claude Haiku 3.5'!G90</f>
        <v>0</v>
      </c>
      <c r="G90" s="118" t="n">
        <f aca="false">'🤖 Claude Haiku 3.5'!H90</f>
        <v>0</v>
      </c>
      <c r="H90" s="118" t="n">
        <f aca="false">'🤖 Claude Haiku 3.5'!I90</f>
        <v>0</v>
      </c>
      <c r="I90" s="118" t="n">
        <f aca="false">'🤖 Claude Haiku 3.5'!J90</f>
        <v>0</v>
      </c>
    </row>
    <row r="91" customFormat="false" ht="15.75" hidden="false" customHeight="false" outlineLevel="0" collapsed="false">
      <c r="A91" s="116"/>
      <c r="B91" s="3"/>
      <c r="C91" s="5"/>
      <c r="D91" s="143"/>
      <c r="E91" s="5"/>
      <c r="F91" s="5"/>
      <c r="G91" s="5"/>
      <c r="H91" s="5"/>
      <c r="I91" s="5"/>
    </row>
    <row r="92" customFormat="false" ht="15.75" hidden="false" customHeight="false" outlineLevel="0" collapsed="false">
      <c r="A92" s="116" t="n">
        <f aca="false">'🤖 Claude Haiku 3.5'!$A$92</f>
        <v>0</v>
      </c>
      <c r="B92" s="3" t="str">
        <f aca="false">"Claude Sonnet 3.5"</f>
        <v>Claude Sonnet 3.5</v>
      </c>
      <c r="C92" s="5" t="str">
        <f aca="false">'🤖 Claude Haiku 3.5'!C92</f>
        <v>Base</v>
      </c>
      <c r="D92" s="143" t="n">
        <f aca="false">'🤖 Claude Haiku 3.5'!E92</f>
        <v>0.002427184466</v>
      </c>
      <c r="E92" s="118" t="n">
        <f aca="false">'🤖 Claude Haiku 3.5'!F92</f>
        <v>0</v>
      </c>
      <c r="F92" s="118" t="n">
        <f aca="false">'🤖 Claude Haiku 3.5'!G92</f>
        <v>0</v>
      </c>
      <c r="G92" s="118" t="n">
        <f aca="false">'🤖 Claude Haiku 3.5'!H92</f>
        <v>0</v>
      </c>
      <c r="H92" s="118" t="n">
        <f aca="false">'🤖 Claude Haiku 3.5'!I92</f>
        <v>0</v>
      </c>
      <c r="I92" s="118" t="n">
        <f aca="false">'🤖 Claude Haiku 3.5'!J92</f>
        <v>0</v>
      </c>
    </row>
    <row r="93" customFormat="false" ht="15.75" hidden="false" customHeight="false" outlineLevel="0" collapsed="false">
      <c r="A93" s="116" t="n">
        <f aca="false">'🤖 Claude Haiku 3.5'!$A$92</f>
        <v>0</v>
      </c>
      <c r="B93" s="3" t="str">
        <f aca="false">"Claude Sonnet 3.5"</f>
        <v>Claude Sonnet 3.5</v>
      </c>
      <c r="C93" s="5" t="str">
        <f aca="false">'🤖 Claude Haiku 3.5'!C93</f>
        <v>CoT</v>
      </c>
      <c r="D93" s="143" t="n">
        <f aca="false">'🤖 Claude Haiku 3.5'!E93</f>
        <v>0.002427184466</v>
      </c>
      <c r="E93" s="118" t="n">
        <f aca="false">'🤖 Claude Haiku 3.5'!F93</f>
        <v>0</v>
      </c>
      <c r="F93" s="118" t="n">
        <f aca="false">'🤖 Claude Haiku 3.5'!G93</f>
        <v>0</v>
      </c>
      <c r="G93" s="118" t="n">
        <f aca="false">'🤖 Claude Haiku 3.5'!H93</f>
        <v>0</v>
      </c>
      <c r="H93" s="118" t="n">
        <f aca="false">'🤖 Claude Haiku 3.5'!I93</f>
        <v>0</v>
      </c>
      <c r="I93" s="118" t="n">
        <f aca="false">'🤖 Claude Haiku 3.5'!J93</f>
        <v>0</v>
      </c>
    </row>
    <row r="94" customFormat="false" ht="15.75" hidden="false" customHeight="false" outlineLevel="0" collapsed="false">
      <c r="A94" s="116" t="n">
        <f aca="false">'🤖 Claude Haiku 3.5'!$A$92</f>
        <v>0</v>
      </c>
      <c r="B94" s="3" t="str">
        <f aca="false">"Claude Sonnet 3.5"</f>
        <v>Claude Sonnet 3.5</v>
      </c>
      <c r="C94" s="5" t="str">
        <f aca="false">'🤖 Claude Haiku 3.5'!C94</f>
        <v>5W1H</v>
      </c>
      <c r="D94" s="143" t="n">
        <f aca="false">'🤖 Claude Haiku 3.5'!E94</f>
        <v>0.002427184466</v>
      </c>
      <c r="E94" s="118" t="n">
        <f aca="false">'🤖 Claude Haiku 3.5'!F94</f>
        <v>0</v>
      </c>
      <c r="F94" s="118" t="n">
        <f aca="false">'🤖 Claude Haiku 3.5'!G94</f>
        <v>0</v>
      </c>
      <c r="G94" s="118" t="n">
        <f aca="false">'🤖 Claude Haiku 3.5'!H94</f>
        <v>0</v>
      </c>
      <c r="H94" s="118" t="n">
        <f aca="false">'🤖 Claude Haiku 3.5'!I94</f>
        <v>0</v>
      </c>
      <c r="I94" s="118" t="n">
        <f aca="false">'🤖 Claude Haiku 3.5'!J94</f>
        <v>0</v>
      </c>
    </row>
    <row r="95" customFormat="false" ht="15.75" hidden="false" customHeight="false" outlineLevel="0" collapsed="false">
      <c r="A95" s="116" t="n">
        <f aca="false">'🤖 Claude Haiku 3.5'!$A$92</f>
        <v>0</v>
      </c>
      <c r="B95" s="3" t="str">
        <f aca="false">"Claude Sonnet 3.5"</f>
        <v>Claude Sonnet 3.5</v>
      </c>
      <c r="C95" s="5" t="str">
        <f aca="false">'🤖 Claude Haiku 3.5'!C95</f>
        <v>tldr</v>
      </c>
      <c r="D95" s="143" t="n">
        <f aca="false">'🤖 Claude Haiku 3.5'!E95</f>
        <v>0.002427184466</v>
      </c>
      <c r="E95" s="118" t="n">
        <f aca="false">'🤖 Claude Haiku 3.5'!F95</f>
        <v>0</v>
      </c>
      <c r="F95" s="118" t="n">
        <f aca="false">'🤖 Claude Haiku 3.5'!G95</f>
        <v>0</v>
      </c>
      <c r="G95" s="118" t="n">
        <f aca="false">'🤖 Claude Haiku 3.5'!H95</f>
        <v>0</v>
      </c>
      <c r="H95" s="118" t="n">
        <f aca="false">'🤖 Claude Haiku 3.5'!I95</f>
        <v>0</v>
      </c>
      <c r="I95" s="118" t="n">
        <f aca="false">'🤖 Claude Haiku 3.5'!J95</f>
        <v>0</v>
      </c>
    </row>
    <row r="96" customFormat="false" ht="15.75" hidden="false" customHeight="false" outlineLevel="0" collapsed="false">
      <c r="A96" s="116"/>
      <c r="B96" s="3"/>
      <c r="C96" s="5"/>
      <c r="D96" s="143"/>
      <c r="E96" s="5"/>
      <c r="F96" s="5"/>
      <c r="G96" s="5"/>
      <c r="H96" s="5"/>
      <c r="I96" s="5"/>
    </row>
    <row r="97" customFormat="false" ht="15.75" hidden="false" customHeight="false" outlineLevel="0" collapsed="false">
      <c r="A97" s="116" t="n">
        <f aca="false">'🤖 Claude Haiku 3.5'!$A$97</f>
        <v>0</v>
      </c>
      <c r="B97" s="3" t="str">
        <f aca="false">"Claude Sonnet 3.5"</f>
        <v>Claude Sonnet 3.5</v>
      </c>
      <c r="C97" s="5" t="str">
        <f aca="false">'🤖 Claude Haiku 3.5'!C97</f>
        <v>Base</v>
      </c>
      <c r="D97" s="143" t="n">
        <f aca="false">'🤖 Claude Haiku 3.5'!E97</f>
        <v>0.002427184466</v>
      </c>
      <c r="E97" s="118" t="n">
        <f aca="false">'🤖 Claude Haiku 3.5'!F97</f>
        <v>0</v>
      </c>
      <c r="F97" s="118" t="n">
        <f aca="false">'🤖 Claude Haiku 3.5'!G97</f>
        <v>0</v>
      </c>
      <c r="G97" s="118" t="n">
        <f aca="false">'🤖 Claude Haiku 3.5'!H97</f>
        <v>0</v>
      </c>
      <c r="H97" s="118" t="n">
        <f aca="false">'🤖 Claude Haiku 3.5'!I97</f>
        <v>0</v>
      </c>
      <c r="I97" s="118" t="n">
        <f aca="false">'🤖 Claude Haiku 3.5'!J97</f>
        <v>0</v>
      </c>
    </row>
    <row r="98" customFormat="false" ht="15.75" hidden="false" customHeight="false" outlineLevel="0" collapsed="false">
      <c r="A98" s="116" t="n">
        <f aca="false">'🤖 Claude Haiku 3.5'!$A$97</f>
        <v>0</v>
      </c>
      <c r="B98" s="3" t="str">
        <f aca="false">"Claude Sonnet 3.5"</f>
        <v>Claude Sonnet 3.5</v>
      </c>
      <c r="C98" s="5" t="str">
        <f aca="false">'🤖 Claude Haiku 3.5'!C98</f>
        <v>CoT</v>
      </c>
      <c r="D98" s="143" t="n">
        <f aca="false">'🤖 Claude Haiku 3.5'!E98</f>
        <v>0.002427184466</v>
      </c>
      <c r="E98" s="118" t="n">
        <f aca="false">'🤖 Claude Haiku 3.5'!F98</f>
        <v>0</v>
      </c>
      <c r="F98" s="118" t="n">
        <f aca="false">'🤖 Claude Haiku 3.5'!G98</f>
        <v>0</v>
      </c>
      <c r="G98" s="118" t="n">
        <f aca="false">'🤖 Claude Haiku 3.5'!H98</f>
        <v>0</v>
      </c>
      <c r="H98" s="118" t="n">
        <f aca="false">'🤖 Claude Haiku 3.5'!I98</f>
        <v>0</v>
      </c>
      <c r="I98" s="118" t="n">
        <f aca="false">'🤖 Claude Haiku 3.5'!J98</f>
        <v>0</v>
      </c>
    </row>
    <row r="99" customFormat="false" ht="15.75" hidden="false" customHeight="false" outlineLevel="0" collapsed="false">
      <c r="A99" s="116" t="n">
        <f aca="false">'🤖 Claude Haiku 3.5'!$A$97</f>
        <v>0</v>
      </c>
      <c r="B99" s="3" t="str">
        <f aca="false">"Claude Sonnet 3.5"</f>
        <v>Claude Sonnet 3.5</v>
      </c>
      <c r="C99" s="5" t="str">
        <f aca="false">'🤖 Claude Haiku 3.5'!C99</f>
        <v>5W1H</v>
      </c>
      <c r="D99" s="143" t="n">
        <f aca="false">'🤖 Claude Haiku 3.5'!E99</f>
        <v>0.002427184466</v>
      </c>
      <c r="E99" s="118" t="n">
        <f aca="false">'🤖 Claude Haiku 3.5'!F99</f>
        <v>0</v>
      </c>
      <c r="F99" s="118" t="n">
        <f aca="false">'🤖 Claude Haiku 3.5'!G99</f>
        <v>0</v>
      </c>
      <c r="G99" s="118" t="n">
        <f aca="false">'🤖 Claude Haiku 3.5'!H99</f>
        <v>0</v>
      </c>
      <c r="H99" s="118" t="n">
        <f aca="false">'🤖 Claude Haiku 3.5'!I99</f>
        <v>0</v>
      </c>
      <c r="I99" s="118" t="n">
        <f aca="false">'🤖 Claude Haiku 3.5'!J99</f>
        <v>0</v>
      </c>
    </row>
    <row r="100" customFormat="false" ht="15.75" hidden="false" customHeight="false" outlineLevel="0" collapsed="false">
      <c r="A100" s="116" t="n">
        <f aca="false">'🤖 Claude Haiku 3.5'!$A$97</f>
        <v>0</v>
      </c>
      <c r="B100" s="3" t="str">
        <f aca="false">"Claude Sonnet 3.5"</f>
        <v>Claude Sonnet 3.5</v>
      </c>
      <c r="C100" s="5" t="str">
        <f aca="false">'🤖 Claude Haiku 3.5'!C100</f>
        <v>tldr</v>
      </c>
      <c r="D100" s="143" t="n">
        <f aca="false">'🤖 Claude Haiku 3.5'!E100</f>
        <v>0.002427184466</v>
      </c>
      <c r="E100" s="118" t="n">
        <f aca="false">'🤖 Claude Haiku 3.5'!F100</f>
        <v>0</v>
      </c>
      <c r="F100" s="118" t="n">
        <f aca="false">'🤖 Claude Haiku 3.5'!G100</f>
        <v>0</v>
      </c>
      <c r="G100" s="118" t="n">
        <f aca="false">'🤖 Claude Haiku 3.5'!H100</f>
        <v>0</v>
      </c>
      <c r="H100" s="118" t="n">
        <f aca="false">'🤖 Claude Haiku 3.5'!I100</f>
        <v>0</v>
      </c>
      <c r="I100" s="118" t="n">
        <f aca="false">'🤖 Claude Haiku 3.5'!J100</f>
        <v>0</v>
      </c>
    </row>
    <row r="101" customFormat="false" ht="15.75" hidden="false" customHeight="false" outlineLevel="0" collapsed="false">
      <c r="A101" s="116"/>
      <c r="B101" s="3"/>
      <c r="C101" s="5"/>
      <c r="D101" s="143"/>
      <c r="E101" s="5"/>
      <c r="F101" s="5"/>
      <c r="G101" s="5"/>
      <c r="H101" s="5"/>
      <c r="I101" s="5"/>
    </row>
    <row r="102" customFormat="false" ht="15.75" hidden="false" customHeight="false" outlineLevel="0" collapsed="false">
      <c r="A102" s="116" t="n">
        <f aca="false">'🤖 Claude Haiku 3.5'!$A$102</f>
        <v>0</v>
      </c>
      <c r="B102" s="3" t="str">
        <f aca="false">"Claude Sonnet 3.5"</f>
        <v>Claude Sonnet 3.5</v>
      </c>
      <c r="C102" s="5" t="str">
        <f aca="false">'🤖 Claude Haiku 3.5'!C102</f>
        <v>Base</v>
      </c>
      <c r="D102" s="143" t="n">
        <f aca="false">'🤖 Claude Haiku 3.5'!E102</f>
        <v>0.002427184466</v>
      </c>
      <c r="E102" s="118" t="n">
        <f aca="false">'🤖 Claude Haiku 3.5'!F102</f>
        <v>0</v>
      </c>
      <c r="F102" s="118" t="n">
        <f aca="false">'🤖 Claude Haiku 3.5'!G102</f>
        <v>0</v>
      </c>
      <c r="G102" s="118" t="n">
        <f aca="false">'🤖 Claude Haiku 3.5'!H102</f>
        <v>0</v>
      </c>
      <c r="H102" s="118" t="n">
        <f aca="false">'🤖 Claude Haiku 3.5'!I102</f>
        <v>0</v>
      </c>
      <c r="I102" s="118" t="n">
        <f aca="false">'🤖 Claude Haiku 3.5'!J102</f>
        <v>0</v>
      </c>
    </row>
    <row r="103" customFormat="false" ht="15.75" hidden="false" customHeight="false" outlineLevel="0" collapsed="false">
      <c r="A103" s="116" t="n">
        <f aca="false">'🤖 Claude Haiku 3.5'!$A$102</f>
        <v>0</v>
      </c>
      <c r="B103" s="3" t="str">
        <f aca="false">"Claude Sonnet 3.5"</f>
        <v>Claude Sonnet 3.5</v>
      </c>
      <c r="C103" s="5" t="str">
        <f aca="false">'🤖 Claude Haiku 3.5'!C103</f>
        <v>CoT</v>
      </c>
      <c r="D103" s="143" t="n">
        <f aca="false">'🤖 Claude Haiku 3.5'!E103</f>
        <v>0.002427184466</v>
      </c>
      <c r="E103" s="118" t="n">
        <f aca="false">'🤖 Claude Haiku 3.5'!F103</f>
        <v>0</v>
      </c>
      <c r="F103" s="118" t="n">
        <f aca="false">'🤖 Claude Haiku 3.5'!G103</f>
        <v>0</v>
      </c>
      <c r="G103" s="118" t="n">
        <f aca="false">'🤖 Claude Haiku 3.5'!H103</f>
        <v>0</v>
      </c>
      <c r="H103" s="118" t="n">
        <f aca="false">'🤖 Claude Haiku 3.5'!I103</f>
        <v>0</v>
      </c>
      <c r="I103" s="118" t="n">
        <f aca="false">'🤖 Claude Haiku 3.5'!J103</f>
        <v>0</v>
      </c>
    </row>
    <row r="104" customFormat="false" ht="15.75" hidden="false" customHeight="false" outlineLevel="0" collapsed="false">
      <c r="A104" s="116" t="n">
        <f aca="false">'🤖 Claude Haiku 3.5'!$A$102</f>
        <v>0</v>
      </c>
      <c r="B104" s="3" t="str">
        <f aca="false">"Claude Sonnet 3.5"</f>
        <v>Claude Sonnet 3.5</v>
      </c>
      <c r="C104" s="5" t="str">
        <f aca="false">'🤖 Claude Haiku 3.5'!C104</f>
        <v>5W1H</v>
      </c>
      <c r="D104" s="143" t="n">
        <f aca="false">'🤖 Claude Haiku 3.5'!E104</f>
        <v>0.002427184466</v>
      </c>
      <c r="E104" s="118" t="n">
        <f aca="false">'🤖 Claude Haiku 3.5'!F104</f>
        <v>0</v>
      </c>
      <c r="F104" s="118" t="n">
        <f aca="false">'🤖 Claude Haiku 3.5'!G104</f>
        <v>0</v>
      </c>
      <c r="G104" s="118" t="n">
        <f aca="false">'🤖 Claude Haiku 3.5'!H104</f>
        <v>0</v>
      </c>
      <c r="H104" s="118" t="n">
        <f aca="false">'🤖 Claude Haiku 3.5'!I104</f>
        <v>0</v>
      </c>
      <c r="I104" s="118" t="n">
        <f aca="false">'🤖 Claude Haiku 3.5'!J104</f>
        <v>0</v>
      </c>
    </row>
    <row r="105" customFormat="false" ht="15.75" hidden="false" customHeight="false" outlineLevel="0" collapsed="false">
      <c r="A105" s="116" t="n">
        <f aca="false">'🤖 Claude Haiku 3.5'!$A$102</f>
        <v>0</v>
      </c>
      <c r="B105" s="3" t="str">
        <f aca="false">"Claude Sonnet 3.5"</f>
        <v>Claude Sonnet 3.5</v>
      </c>
      <c r="C105" s="5" t="str">
        <f aca="false">'🤖 Claude Haiku 3.5'!C105</f>
        <v>tldr</v>
      </c>
      <c r="D105" s="143" t="n">
        <f aca="false">'🤖 Claude Haiku 3.5'!E105</f>
        <v>0.002427184466</v>
      </c>
      <c r="E105" s="118" t="n">
        <f aca="false">'🤖 Claude Haiku 3.5'!F105</f>
        <v>0</v>
      </c>
      <c r="F105" s="118" t="n">
        <f aca="false">'🤖 Claude Haiku 3.5'!G105</f>
        <v>0</v>
      </c>
      <c r="G105" s="118" t="n">
        <f aca="false">'🤖 Claude Haiku 3.5'!H105</f>
        <v>0</v>
      </c>
      <c r="H105" s="118" t="n">
        <f aca="false">'🤖 Claude Haiku 3.5'!I105</f>
        <v>0</v>
      </c>
      <c r="I105" s="118" t="n">
        <f aca="false">'🤖 Claude Haiku 3.5'!J105</f>
        <v>0</v>
      </c>
    </row>
    <row r="106" customFormat="false" ht="15.75" hidden="false" customHeight="false" outlineLevel="0" collapsed="false">
      <c r="A106" s="116"/>
      <c r="B106" s="3"/>
      <c r="C106" s="5"/>
      <c r="D106" s="143"/>
      <c r="E106" s="5"/>
      <c r="F106" s="5"/>
      <c r="G106" s="5"/>
      <c r="H106" s="5"/>
      <c r="I106" s="5"/>
    </row>
    <row r="107" customFormat="false" ht="15.75" hidden="false" customHeight="false" outlineLevel="0" collapsed="false">
      <c r="A107" s="116" t="n">
        <f aca="false">'🤖 Claude Haiku 3.5'!$A$107</f>
        <v>0</v>
      </c>
      <c r="B107" s="3" t="str">
        <f aca="false">"Claude Sonnet 3.5"</f>
        <v>Claude Sonnet 3.5</v>
      </c>
      <c r="C107" s="5" t="str">
        <f aca="false">'🤖 Claude Haiku 3.5'!C107</f>
        <v>Base</v>
      </c>
      <c r="D107" s="143" t="n">
        <f aca="false">'🤖 Claude Haiku 3.5'!E107</f>
        <v>0.002427184466</v>
      </c>
      <c r="E107" s="118" t="n">
        <f aca="false">'🤖 Claude Haiku 3.5'!F107</f>
        <v>0</v>
      </c>
      <c r="F107" s="118" t="n">
        <f aca="false">'🤖 Claude Haiku 3.5'!G107</f>
        <v>0</v>
      </c>
      <c r="G107" s="118" t="n">
        <f aca="false">'🤖 Claude Haiku 3.5'!H107</f>
        <v>0</v>
      </c>
      <c r="H107" s="118" t="n">
        <f aca="false">'🤖 Claude Haiku 3.5'!I107</f>
        <v>0</v>
      </c>
      <c r="I107" s="118" t="n">
        <f aca="false">'🤖 Claude Haiku 3.5'!J107</f>
        <v>0</v>
      </c>
    </row>
    <row r="108" customFormat="false" ht="15.75" hidden="false" customHeight="false" outlineLevel="0" collapsed="false">
      <c r="A108" s="116" t="n">
        <f aca="false">'🤖 Claude Haiku 3.5'!$A$107</f>
        <v>0</v>
      </c>
      <c r="B108" s="3" t="str">
        <f aca="false">"Claude Sonnet 3.5"</f>
        <v>Claude Sonnet 3.5</v>
      </c>
      <c r="C108" s="5" t="str">
        <f aca="false">'🤖 Claude Haiku 3.5'!C108</f>
        <v>CoT</v>
      </c>
      <c r="D108" s="143" t="n">
        <f aca="false">'🤖 Claude Haiku 3.5'!E108</f>
        <v>0.002427184466</v>
      </c>
      <c r="E108" s="118" t="n">
        <f aca="false">'🤖 Claude Haiku 3.5'!F108</f>
        <v>0</v>
      </c>
      <c r="F108" s="118" t="n">
        <f aca="false">'🤖 Claude Haiku 3.5'!G108</f>
        <v>0</v>
      </c>
      <c r="G108" s="118" t="n">
        <f aca="false">'🤖 Claude Haiku 3.5'!H108</f>
        <v>0</v>
      </c>
      <c r="H108" s="118" t="n">
        <f aca="false">'🤖 Claude Haiku 3.5'!I108</f>
        <v>0</v>
      </c>
      <c r="I108" s="118" t="n">
        <f aca="false">'🤖 Claude Haiku 3.5'!J108</f>
        <v>0</v>
      </c>
    </row>
    <row r="109" customFormat="false" ht="15.75" hidden="false" customHeight="false" outlineLevel="0" collapsed="false">
      <c r="A109" s="116" t="n">
        <f aca="false">'🤖 Claude Haiku 3.5'!$A$107</f>
        <v>0</v>
      </c>
      <c r="B109" s="3" t="str">
        <f aca="false">"Claude Sonnet 3.5"</f>
        <v>Claude Sonnet 3.5</v>
      </c>
      <c r="C109" s="5" t="str">
        <f aca="false">'🤖 Claude Haiku 3.5'!C109</f>
        <v>5W1H</v>
      </c>
      <c r="D109" s="143" t="n">
        <f aca="false">'🤖 Claude Haiku 3.5'!E109</f>
        <v>0.002427184466</v>
      </c>
      <c r="E109" s="118" t="n">
        <f aca="false">'🤖 Claude Haiku 3.5'!F109</f>
        <v>0</v>
      </c>
      <c r="F109" s="118" t="n">
        <f aca="false">'🤖 Claude Haiku 3.5'!G109</f>
        <v>0</v>
      </c>
      <c r="G109" s="118" t="n">
        <f aca="false">'🤖 Claude Haiku 3.5'!H109</f>
        <v>0</v>
      </c>
      <c r="H109" s="118" t="n">
        <f aca="false">'🤖 Claude Haiku 3.5'!I109</f>
        <v>0</v>
      </c>
      <c r="I109" s="118" t="n">
        <f aca="false">'🤖 Claude Haiku 3.5'!J109</f>
        <v>0</v>
      </c>
    </row>
    <row r="110" customFormat="false" ht="15.75" hidden="false" customHeight="false" outlineLevel="0" collapsed="false">
      <c r="A110" s="116" t="n">
        <f aca="false">'🤖 Claude Haiku 3.5'!$A$107</f>
        <v>0</v>
      </c>
      <c r="B110" s="3" t="str">
        <f aca="false">"Claude Sonnet 3.5"</f>
        <v>Claude Sonnet 3.5</v>
      </c>
      <c r="C110" s="5" t="str">
        <f aca="false">'🤖 Claude Haiku 3.5'!C110</f>
        <v>tldr</v>
      </c>
      <c r="D110" s="143" t="n">
        <f aca="false">'🤖 Claude Haiku 3.5'!E110</f>
        <v>0.002427184466</v>
      </c>
      <c r="E110" s="118" t="n">
        <f aca="false">'🤖 Claude Haiku 3.5'!F110</f>
        <v>0</v>
      </c>
      <c r="F110" s="118" t="n">
        <f aca="false">'🤖 Claude Haiku 3.5'!G110</f>
        <v>0</v>
      </c>
      <c r="G110" s="118" t="n">
        <f aca="false">'🤖 Claude Haiku 3.5'!H110</f>
        <v>0</v>
      </c>
      <c r="H110" s="118" t="n">
        <f aca="false">'🤖 Claude Haiku 3.5'!I110</f>
        <v>0</v>
      </c>
      <c r="I110" s="118" t="n">
        <f aca="false">'🤖 Claude Haiku 3.5'!J110</f>
        <v>0</v>
      </c>
    </row>
    <row r="111" customFormat="false" ht="15.75" hidden="false" customHeight="false" outlineLevel="0" collapsed="false">
      <c r="A111" s="116"/>
      <c r="B111" s="3"/>
      <c r="C111" s="5"/>
      <c r="D111" s="143"/>
      <c r="E111" s="5"/>
      <c r="F111" s="5"/>
      <c r="G111" s="5"/>
      <c r="H111" s="5"/>
      <c r="I111" s="5"/>
    </row>
    <row r="112" customFormat="false" ht="15.75" hidden="false" customHeight="false" outlineLevel="0" collapsed="false">
      <c r="A112" s="116" t="n">
        <f aca="false">'🤖 Claude Haiku 3.5'!$A$112</f>
        <v>0</v>
      </c>
      <c r="B112" s="3" t="str">
        <f aca="false">"Claude Sonnet 3.5"</f>
        <v>Claude Sonnet 3.5</v>
      </c>
      <c r="C112" s="5" t="str">
        <f aca="false">'🤖 Claude Haiku 3.5'!C112</f>
        <v>Base</v>
      </c>
      <c r="D112" s="143" t="n">
        <f aca="false">'🤖 Claude Haiku 3.5'!E112</f>
        <v>0.002427184466</v>
      </c>
      <c r="E112" s="118" t="n">
        <f aca="false">'🤖 Claude Haiku 3.5'!F112</f>
        <v>0</v>
      </c>
      <c r="F112" s="118" t="n">
        <f aca="false">'🤖 Claude Haiku 3.5'!G112</f>
        <v>0</v>
      </c>
      <c r="G112" s="118" t="n">
        <f aca="false">'🤖 Claude Haiku 3.5'!H112</f>
        <v>0</v>
      </c>
      <c r="H112" s="118" t="n">
        <f aca="false">'🤖 Claude Haiku 3.5'!I112</f>
        <v>0</v>
      </c>
      <c r="I112" s="118" t="n">
        <f aca="false">'🤖 Claude Haiku 3.5'!J112</f>
        <v>0</v>
      </c>
    </row>
    <row r="113" customFormat="false" ht="15.75" hidden="false" customHeight="false" outlineLevel="0" collapsed="false">
      <c r="A113" s="116" t="n">
        <f aca="false">'🤖 Claude Haiku 3.5'!$A$112</f>
        <v>0</v>
      </c>
      <c r="B113" s="3" t="str">
        <f aca="false">"Claude Sonnet 3.5"</f>
        <v>Claude Sonnet 3.5</v>
      </c>
      <c r="C113" s="5" t="str">
        <f aca="false">'🤖 Claude Haiku 3.5'!C113</f>
        <v>CoT</v>
      </c>
      <c r="D113" s="143" t="n">
        <f aca="false">'🤖 Claude Haiku 3.5'!E113</f>
        <v>0.002427184466</v>
      </c>
      <c r="E113" s="118" t="n">
        <f aca="false">'🤖 Claude Haiku 3.5'!F113</f>
        <v>0</v>
      </c>
      <c r="F113" s="118" t="n">
        <f aca="false">'🤖 Claude Haiku 3.5'!G113</f>
        <v>0</v>
      </c>
      <c r="G113" s="118" t="n">
        <f aca="false">'🤖 Claude Haiku 3.5'!H113</f>
        <v>0</v>
      </c>
      <c r="H113" s="118" t="n">
        <f aca="false">'🤖 Claude Haiku 3.5'!I113</f>
        <v>0</v>
      </c>
      <c r="I113" s="118" t="n">
        <f aca="false">'🤖 Claude Haiku 3.5'!J113</f>
        <v>0</v>
      </c>
    </row>
    <row r="114" customFormat="false" ht="15.75" hidden="false" customHeight="false" outlineLevel="0" collapsed="false">
      <c r="A114" s="116" t="n">
        <f aca="false">'🤖 Claude Haiku 3.5'!$A$112</f>
        <v>0</v>
      </c>
      <c r="B114" s="3" t="str">
        <f aca="false">"Claude Sonnet 3.5"</f>
        <v>Claude Sonnet 3.5</v>
      </c>
      <c r="C114" s="5" t="str">
        <f aca="false">'🤖 Claude Haiku 3.5'!C114</f>
        <v>5W1H</v>
      </c>
      <c r="D114" s="143" t="n">
        <f aca="false">'🤖 Claude Haiku 3.5'!E114</f>
        <v>0.002427184466</v>
      </c>
      <c r="E114" s="118" t="n">
        <f aca="false">'🤖 Claude Haiku 3.5'!F114</f>
        <v>0</v>
      </c>
      <c r="F114" s="118" t="n">
        <f aca="false">'🤖 Claude Haiku 3.5'!G114</f>
        <v>0</v>
      </c>
      <c r="G114" s="118" t="n">
        <f aca="false">'🤖 Claude Haiku 3.5'!H114</f>
        <v>0</v>
      </c>
      <c r="H114" s="118" t="n">
        <f aca="false">'🤖 Claude Haiku 3.5'!I114</f>
        <v>0</v>
      </c>
      <c r="I114" s="118" t="n">
        <f aca="false">'🤖 Claude Haiku 3.5'!J114</f>
        <v>0</v>
      </c>
    </row>
    <row r="115" customFormat="false" ht="15.75" hidden="false" customHeight="false" outlineLevel="0" collapsed="false">
      <c r="A115" s="116" t="n">
        <f aca="false">'🤖 Claude Haiku 3.5'!$A$112</f>
        <v>0</v>
      </c>
      <c r="B115" s="3" t="str">
        <f aca="false">"Claude Sonnet 3.5"</f>
        <v>Claude Sonnet 3.5</v>
      </c>
      <c r="C115" s="5" t="str">
        <f aca="false">'🤖 Claude Haiku 3.5'!C115</f>
        <v>tldr</v>
      </c>
      <c r="D115" s="143" t="n">
        <f aca="false">'🤖 Claude Haiku 3.5'!E115</f>
        <v>0.002427184466</v>
      </c>
      <c r="E115" s="118" t="n">
        <f aca="false">'🤖 Claude Haiku 3.5'!F115</f>
        <v>0</v>
      </c>
      <c r="F115" s="118" t="n">
        <f aca="false">'🤖 Claude Haiku 3.5'!G115</f>
        <v>0</v>
      </c>
      <c r="G115" s="118" t="n">
        <f aca="false">'🤖 Claude Haiku 3.5'!H115</f>
        <v>0</v>
      </c>
      <c r="H115" s="118" t="n">
        <f aca="false">'🤖 Claude Haiku 3.5'!I115</f>
        <v>0</v>
      </c>
      <c r="I115" s="118" t="n">
        <f aca="false">'🤖 Claude Haiku 3.5'!J115</f>
        <v>0</v>
      </c>
    </row>
    <row r="116" customFormat="false" ht="15.75" hidden="false" customHeight="false" outlineLevel="0" collapsed="false">
      <c r="A116" s="116"/>
      <c r="B116" s="3"/>
      <c r="C116" s="5"/>
      <c r="D116" s="143"/>
      <c r="E116" s="5"/>
      <c r="F116" s="5"/>
      <c r="G116" s="5"/>
      <c r="H116" s="5"/>
      <c r="I116" s="5"/>
    </row>
    <row r="117" customFormat="false" ht="15.75" hidden="false" customHeight="false" outlineLevel="0" collapsed="false">
      <c r="A117" s="116" t="n">
        <f aca="false">'🤖 Claude Haiku 3.5'!$A$117</f>
        <v>0</v>
      </c>
      <c r="B117" s="3" t="str">
        <f aca="false">"Claude Sonnet 3.5"</f>
        <v>Claude Sonnet 3.5</v>
      </c>
      <c r="C117" s="5" t="str">
        <f aca="false">'🤖 Claude Haiku 3.5'!C117</f>
        <v>Base</v>
      </c>
      <c r="D117" s="143" t="n">
        <f aca="false">'🤖 Claude Haiku 3.5'!E117</f>
        <v>0.002427184466</v>
      </c>
      <c r="E117" s="118" t="n">
        <f aca="false">'🤖 Claude Haiku 3.5'!F117</f>
        <v>0</v>
      </c>
      <c r="F117" s="118" t="n">
        <f aca="false">'🤖 Claude Haiku 3.5'!G117</f>
        <v>0</v>
      </c>
      <c r="G117" s="118" t="n">
        <f aca="false">'🤖 Claude Haiku 3.5'!H117</f>
        <v>0</v>
      </c>
      <c r="H117" s="118" t="n">
        <f aca="false">'🤖 Claude Haiku 3.5'!I117</f>
        <v>0</v>
      </c>
      <c r="I117" s="118" t="n">
        <f aca="false">'🤖 Claude Haiku 3.5'!J117</f>
        <v>0</v>
      </c>
    </row>
    <row r="118" customFormat="false" ht="15.75" hidden="false" customHeight="false" outlineLevel="0" collapsed="false">
      <c r="A118" s="116" t="n">
        <f aca="false">'🤖 Claude Haiku 3.5'!$A$117</f>
        <v>0</v>
      </c>
      <c r="B118" s="3" t="str">
        <f aca="false">"Claude Sonnet 3.5"</f>
        <v>Claude Sonnet 3.5</v>
      </c>
      <c r="C118" s="5" t="str">
        <f aca="false">'🤖 Claude Haiku 3.5'!C118</f>
        <v>CoT</v>
      </c>
      <c r="D118" s="143" t="n">
        <f aca="false">'🤖 Claude Haiku 3.5'!E118</f>
        <v>0.002427184466</v>
      </c>
      <c r="E118" s="118" t="n">
        <f aca="false">'🤖 Claude Haiku 3.5'!F118</f>
        <v>0</v>
      </c>
      <c r="F118" s="118" t="n">
        <f aca="false">'🤖 Claude Haiku 3.5'!G118</f>
        <v>0</v>
      </c>
      <c r="G118" s="118" t="n">
        <f aca="false">'🤖 Claude Haiku 3.5'!H118</f>
        <v>0</v>
      </c>
      <c r="H118" s="118" t="n">
        <f aca="false">'🤖 Claude Haiku 3.5'!I118</f>
        <v>0</v>
      </c>
      <c r="I118" s="118" t="n">
        <f aca="false">'🤖 Claude Haiku 3.5'!J118</f>
        <v>0</v>
      </c>
    </row>
    <row r="119" customFormat="false" ht="15.75" hidden="false" customHeight="false" outlineLevel="0" collapsed="false">
      <c r="A119" s="116" t="n">
        <f aca="false">'🤖 Claude Haiku 3.5'!$A$117</f>
        <v>0</v>
      </c>
      <c r="B119" s="3" t="str">
        <f aca="false">"Claude Sonnet 3.5"</f>
        <v>Claude Sonnet 3.5</v>
      </c>
      <c r="C119" s="5" t="str">
        <f aca="false">'🤖 Claude Haiku 3.5'!C119</f>
        <v>5W1H</v>
      </c>
      <c r="D119" s="143" t="n">
        <f aca="false">'🤖 Claude Haiku 3.5'!E119</f>
        <v>0.002427184466</v>
      </c>
      <c r="E119" s="118" t="n">
        <f aca="false">'🤖 Claude Haiku 3.5'!F119</f>
        <v>0</v>
      </c>
      <c r="F119" s="118" t="n">
        <f aca="false">'🤖 Claude Haiku 3.5'!G119</f>
        <v>0</v>
      </c>
      <c r="G119" s="118" t="n">
        <f aca="false">'🤖 Claude Haiku 3.5'!H119</f>
        <v>0</v>
      </c>
      <c r="H119" s="118" t="n">
        <f aca="false">'🤖 Claude Haiku 3.5'!I119</f>
        <v>0</v>
      </c>
      <c r="I119" s="118" t="n">
        <f aca="false">'🤖 Claude Haiku 3.5'!J119</f>
        <v>0</v>
      </c>
    </row>
    <row r="120" customFormat="false" ht="15.75" hidden="false" customHeight="false" outlineLevel="0" collapsed="false">
      <c r="A120" s="116" t="n">
        <f aca="false">'🤖 Claude Haiku 3.5'!$A$117</f>
        <v>0</v>
      </c>
      <c r="B120" s="3" t="str">
        <f aca="false">"Claude Sonnet 3.5"</f>
        <v>Claude Sonnet 3.5</v>
      </c>
      <c r="C120" s="5" t="str">
        <f aca="false">'🤖 Claude Haiku 3.5'!C120</f>
        <v>tldr</v>
      </c>
      <c r="D120" s="143" t="n">
        <f aca="false">'🤖 Claude Haiku 3.5'!E120</f>
        <v>0.002427184466</v>
      </c>
      <c r="E120" s="118" t="n">
        <f aca="false">'🤖 Claude Haiku 3.5'!F120</f>
        <v>0</v>
      </c>
      <c r="F120" s="118" t="n">
        <f aca="false">'🤖 Claude Haiku 3.5'!G120</f>
        <v>0</v>
      </c>
      <c r="G120" s="118" t="n">
        <f aca="false">'🤖 Claude Haiku 3.5'!H120</f>
        <v>0</v>
      </c>
      <c r="H120" s="118" t="n">
        <f aca="false">'🤖 Claude Haiku 3.5'!I120</f>
        <v>0</v>
      </c>
      <c r="I120" s="118" t="n">
        <f aca="false">'🤖 Claude Haiku 3.5'!J120</f>
        <v>0</v>
      </c>
    </row>
    <row r="121" customFormat="false" ht="15.75" hidden="false" customHeight="false" outlineLevel="0" collapsed="false">
      <c r="A121" s="116"/>
      <c r="B121" s="3"/>
      <c r="C121" s="5"/>
      <c r="D121" s="143"/>
      <c r="E121" s="5"/>
      <c r="F121" s="5"/>
      <c r="G121" s="5"/>
      <c r="H121" s="5"/>
      <c r="I121" s="5"/>
    </row>
    <row r="122" customFormat="false" ht="15.75" hidden="false" customHeight="false" outlineLevel="0" collapsed="false">
      <c r="A122" s="116" t="n">
        <f aca="false">'🤖 Claude Haiku 3.5'!$A$122</f>
        <v>0</v>
      </c>
      <c r="B122" s="3" t="str">
        <f aca="false">"Claude Sonnet 3.5"</f>
        <v>Claude Sonnet 3.5</v>
      </c>
      <c r="C122" s="5" t="str">
        <f aca="false">'🤖 Claude Haiku 3.5'!C122</f>
        <v>Base</v>
      </c>
      <c r="D122" s="143" t="n">
        <f aca="false">'🤖 Claude Haiku 3.5'!E122</f>
        <v>0.002427184466</v>
      </c>
      <c r="E122" s="118" t="n">
        <f aca="false">'🤖 Claude Haiku 3.5'!F122</f>
        <v>0</v>
      </c>
      <c r="F122" s="118" t="n">
        <f aca="false">'🤖 Claude Haiku 3.5'!G122</f>
        <v>0</v>
      </c>
      <c r="G122" s="118" t="n">
        <f aca="false">'🤖 Claude Haiku 3.5'!H122</f>
        <v>0</v>
      </c>
      <c r="H122" s="118" t="n">
        <f aca="false">'🤖 Claude Haiku 3.5'!I122</f>
        <v>0</v>
      </c>
      <c r="I122" s="118" t="n">
        <f aca="false">'🤖 Claude Haiku 3.5'!J122</f>
        <v>0</v>
      </c>
    </row>
    <row r="123" customFormat="false" ht="15.75" hidden="false" customHeight="false" outlineLevel="0" collapsed="false">
      <c r="A123" s="116" t="n">
        <f aca="false">'🤖 Claude Haiku 3.5'!$A$122</f>
        <v>0</v>
      </c>
      <c r="B123" s="3" t="str">
        <f aca="false">"Claude Sonnet 3.5"</f>
        <v>Claude Sonnet 3.5</v>
      </c>
      <c r="C123" s="5" t="str">
        <f aca="false">'🤖 Claude Haiku 3.5'!C123</f>
        <v>CoT</v>
      </c>
      <c r="D123" s="143" t="n">
        <f aca="false">'🤖 Claude Haiku 3.5'!E123</f>
        <v>0.002427184466</v>
      </c>
      <c r="E123" s="118" t="n">
        <f aca="false">'🤖 Claude Haiku 3.5'!F123</f>
        <v>0</v>
      </c>
      <c r="F123" s="118" t="n">
        <f aca="false">'🤖 Claude Haiku 3.5'!G123</f>
        <v>0</v>
      </c>
      <c r="G123" s="118" t="n">
        <f aca="false">'🤖 Claude Haiku 3.5'!H123</f>
        <v>0</v>
      </c>
      <c r="H123" s="118" t="n">
        <f aca="false">'🤖 Claude Haiku 3.5'!I123</f>
        <v>0</v>
      </c>
      <c r="I123" s="118" t="n">
        <f aca="false">'🤖 Claude Haiku 3.5'!J123</f>
        <v>0</v>
      </c>
    </row>
    <row r="124" customFormat="false" ht="15.75" hidden="false" customHeight="false" outlineLevel="0" collapsed="false">
      <c r="A124" s="116" t="n">
        <f aca="false">'🤖 Claude Haiku 3.5'!$A$122</f>
        <v>0</v>
      </c>
      <c r="B124" s="3" t="str">
        <f aca="false">"Claude Sonnet 3.5"</f>
        <v>Claude Sonnet 3.5</v>
      </c>
      <c r="C124" s="5" t="str">
        <f aca="false">'🤖 Claude Haiku 3.5'!C124</f>
        <v>5W1H</v>
      </c>
      <c r="D124" s="143" t="n">
        <f aca="false">'🤖 Claude Haiku 3.5'!E124</f>
        <v>0.002427184466</v>
      </c>
      <c r="E124" s="118" t="n">
        <f aca="false">'🤖 Claude Haiku 3.5'!F124</f>
        <v>0</v>
      </c>
      <c r="F124" s="118" t="n">
        <f aca="false">'🤖 Claude Haiku 3.5'!G124</f>
        <v>0</v>
      </c>
      <c r="G124" s="118" t="n">
        <f aca="false">'🤖 Claude Haiku 3.5'!H124</f>
        <v>0</v>
      </c>
      <c r="H124" s="118" t="n">
        <f aca="false">'🤖 Claude Haiku 3.5'!I124</f>
        <v>0</v>
      </c>
      <c r="I124" s="118" t="n">
        <f aca="false">'🤖 Claude Haiku 3.5'!J124</f>
        <v>0</v>
      </c>
    </row>
    <row r="125" customFormat="false" ht="15.75" hidden="false" customHeight="false" outlineLevel="0" collapsed="false">
      <c r="A125" s="116" t="n">
        <f aca="false">'🤖 Claude Haiku 3.5'!$A$122</f>
        <v>0</v>
      </c>
      <c r="B125" s="3" t="str">
        <f aca="false">"Claude Sonnet 3.5"</f>
        <v>Claude Sonnet 3.5</v>
      </c>
      <c r="C125" s="5" t="str">
        <f aca="false">'🤖 Claude Haiku 3.5'!C125</f>
        <v>tldr</v>
      </c>
      <c r="D125" s="143" t="n">
        <f aca="false">'🤖 Claude Haiku 3.5'!E125</f>
        <v>0.002427184466</v>
      </c>
      <c r="E125" s="118" t="n">
        <f aca="false">'🤖 Claude Haiku 3.5'!F125</f>
        <v>0</v>
      </c>
      <c r="F125" s="118" t="n">
        <f aca="false">'🤖 Claude Haiku 3.5'!G125</f>
        <v>0</v>
      </c>
      <c r="G125" s="118" t="n">
        <f aca="false">'🤖 Claude Haiku 3.5'!H125</f>
        <v>0</v>
      </c>
      <c r="H125" s="118" t="n">
        <f aca="false">'🤖 Claude Haiku 3.5'!I125</f>
        <v>0</v>
      </c>
      <c r="I125" s="118" t="n">
        <f aca="false">'🤖 Claude Haiku 3.5'!J125</f>
        <v>0</v>
      </c>
    </row>
    <row r="126" customFormat="false" ht="15.75" hidden="false" customHeight="false" outlineLevel="0" collapsed="false">
      <c r="A126" s="116"/>
      <c r="B126" s="3"/>
      <c r="C126" s="5"/>
      <c r="D126" s="143"/>
      <c r="E126" s="5"/>
      <c r="F126" s="5"/>
      <c r="G126" s="5"/>
      <c r="H126" s="5"/>
      <c r="I126" s="5"/>
    </row>
    <row r="127" customFormat="false" ht="15.75" hidden="false" customHeight="false" outlineLevel="0" collapsed="false">
      <c r="A127" s="116" t="n">
        <f aca="false">'🤖 Claude Haiku 3.5'!$A$127</f>
        <v>0</v>
      </c>
      <c r="B127" s="3" t="str">
        <f aca="false">"Claude Sonnet 3.5"</f>
        <v>Claude Sonnet 3.5</v>
      </c>
      <c r="C127" s="5" t="str">
        <f aca="false">'🤖 Claude Haiku 3.5'!C127</f>
        <v>Base</v>
      </c>
      <c r="D127" s="143" t="n">
        <f aca="false">'🤖 Claude Haiku 3.5'!E127</f>
        <v>0.002427184466</v>
      </c>
      <c r="E127" s="118" t="n">
        <f aca="false">'🤖 Claude Haiku 3.5'!F127</f>
        <v>0</v>
      </c>
      <c r="F127" s="118" t="n">
        <f aca="false">'🤖 Claude Haiku 3.5'!G127</f>
        <v>0</v>
      </c>
      <c r="G127" s="118" t="n">
        <f aca="false">'🤖 Claude Haiku 3.5'!H127</f>
        <v>0</v>
      </c>
      <c r="H127" s="118" t="n">
        <f aca="false">'🤖 Claude Haiku 3.5'!I127</f>
        <v>0</v>
      </c>
      <c r="I127" s="118" t="n">
        <f aca="false">'🤖 Claude Haiku 3.5'!J127</f>
        <v>0</v>
      </c>
    </row>
    <row r="128" customFormat="false" ht="15.75" hidden="false" customHeight="false" outlineLevel="0" collapsed="false">
      <c r="A128" s="116" t="n">
        <f aca="false">'🤖 Claude Haiku 3.5'!$A$127</f>
        <v>0</v>
      </c>
      <c r="B128" s="3" t="str">
        <f aca="false">"Claude Sonnet 3.5"</f>
        <v>Claude Sonnet 3.5</v>
      </c>
      <c r="C128" s="5" t="str">
        <f aca="false">'🤖 Claude Haiku 3.5'!C128</f>
        <v>CoT</v>
      </c>
      <c r="D128" s="143" t="n">
        <f aca="false">'🤖 Claude Haiku 3.5'!E128</f>
        <v>0.002427184466</v>
      </c>
      <c r="E128" s="118" t="n">
        <f aca="false">'🤖 Claude Haiku 3.5'!F128</f>
        <v>0</v>
      </c>
      <c r="F128" s="118" t="n">
        <f aca="false">'🤖 Claude Haiku 3.5'!G128</f>
        <v>0</v>
      </c>
      <c r="G128" s="118" t="n">
        <f aca="false">'🤖 Claude Haiku 3.5'!H128</f>
        <v>0</v>
      </c>
      <c r="H128" s="118" t="n">
        <f aca="false">'🤖 Claude Haiku 3.5'!I128</f>
        <v>0</v>
      </c>
      <c r="I128" s="118" t="n">
        <f aca="false">'🤖 Claude Haiku 3.5'!J128</f>
        <v>0</v>
      </c>
    </row>
    <row r="129" customFormat="false" ht="15.75" hidden="false" customHeight="false" outlineLevel="0" collapsed="false">
      <c r="A129" s="116" t="n">
        <f aca="false">'🤖 Claude Haiku 3.5'!$A$127</f>
        <v>0</v>
      </c>
      <c r="B129" s="3" t="str">
        <f aca="false">"Claude Sonnet 3.5"</f>
        <v>Claude Sonnet 3.5</v>
      </c>
      <c r="C129" s="5" t="str">
        <f aca="false">'🤖 Claude Haiku 3.5'!C129</f>
        <v>5W1H</v>
      </c>
      <c r="D129" s="143" t="n">
        <f aca="false">'🤖 Claude Haiku 3.5'!E129</f>
        <v>0.002427184466</v>
      </c>
      <c r="E129" s="118" t="n">
        <f aca="false">'🤖 Claude Haiku 3.5'!F129</f>
        <v>0</v>
      </c>
      <c r="F129" s="118" t="n">
        <f aca="false">'🤖 Claude Haiku 3.5'!G129</f>
        <v>0</v>
      </c>
      <c r="G129" s="118" t="n">
        <f aca="false">'🤖 Claude Haiku 3.5'!H129</f>
        <v>0</v>
      </c>
      <c r="H129" s="118" t="n">
        <f aca="false">'🤖 Claude Haiku 3.5'!I129</f>
        <v>0</v>
      </c>
      <c r="I129" s="118" t="n">
        <f aca="false">'🤖 Claude Haiku 3.5'!J129</f>
        <v>0</v>
      </c>
    </row>
    <row r="130" customFormat="false" ht="15.75" hidden="false" customHeight="false" outlineLevel="0" collapsed="false">
      <c r="A130" s="116" t="n">
        <f aca="false">'🤖 Claude Haiku 3.5'!$A$127</f>
        <v>0</v>
      </c>
      <c r="B130" s="3" t="str">
        <f aca="false">"Claude Sonnet 3.5"</f>
        <v>Claude Sonnet 3.5</v>
      </c>
      <c r="C130" s="5" t="str">
        <f aca="false">'🤖 Claude Haiku 3.5'!C130</f>
        <v>tldr</v>
      </c>
      <c r="D130" s="143" t="n">
        <f aca="false">'🤖 Claude Haiku 3.5'!E130</f>
        <v>0.002427184466</v>
      </c>
      <c r="E130" s="118" t="n">
        <f aca="false">'🤖 Claude Haiku 3.5'!F130</f>
        <v>0</v>
      </c>
      <c r="F130" s="118" t="n">
        <f aca="false">'🤖 Claude Haiku 3.5'!G130</f>
        <v>0</v>
      </c>
      <c r="G130" s="118" t="n">
        <f aca="false">'🤖 Claude Haiku 3.5'!H130</f>
        <v>0</v>
      </c>
      <c r="H130" s="118" t="n">
        <f aca="false">'🤖 Claude Haiku 3.5'!I130</f>
        <v>0</v>
      </c>
      <c r="I130" s="118" t="n">
        <f aca="false">'🤖 Claude Haiku 3.5'!J130</f>
        <v>0</v>
      </c>
    </row>
    <row r="131" customFormat="false" ht="15.75" hidden="false" customHeight="false" outlineLevel="0" collapsed="false">
      <c r="A131" s="116"/>
      <c r="B131" s="3"/>
      <c r="C131" s="5"/>
      <c r="D131" s="143"/>
      <c r="E131" s="5"/>
      <c r="F131" s="5"/>
      <c r="G131" s="5"/>
      <c r="H131" s="5"/>
      <c r="I131" s="5"/>
    </row>
    <row r="132" customFormat="false" ht="15.75" hidden="false" customHeight="false" outlineLevel="0" collapsed="false">
      <c r="A132" s="116" t="n">
        <f aca="false">'🤖 Claude Haiku 3.5'!$A$132</f>
        <v>0</v>
      </c>
      <c r="B132" s="3" t="str">
        <f aca="false">"Claude Sonnet 3.5"</f>
        <v>Claude Sonnet 3.5</v>
      </c>
      <c r="C132" s="5" t="str">
        <f aca="false">'🤖 Claude Haiku 3.5'!C132</f>
        <v>Base</v>
      </c>
      <c r="D132" s="143" t="n">
        <f aca="false">'🤖 Claude Haiku 3.5'!E132</f>
        <v>0.002427184466</v>
      </c>
      <c r="E132" s="118" t="n">
        <f aca="false">'🤖 Claude Haiku 3.5'!F132</f>
        <v>0</v>
      </c>
      <c r="F132" s="118" t="n">
        <f aca="false">'🤖 Claude Haiku 3.5'!G132</f>
        <v>0</v>
      </c>
      <c r="G132" s="118" t="n">
        <f aca="false">'🤖 Claude Haiku 3.5'!H132</f>
        <v>0</v>
      </c>
      <c r="H132" s="118" t="n">
        <f aca="false">'🤖 Claude Haiku 3.5'!I132</f>
        <v>0</v>
      </c>
      <c r="I132" s="118" t="n">
        <f aca="false">'🤖 Claude Haiku 3.5'!J132</f>
        <v>0</v>
      </c>
    </row>
    <row r="133" customFormat="false" ht="15.75" hidden="false" customHeight="false" outlineLevel="0" collapsed="false">
      <c r="A133" s="116" t="n">
        <f aca="false">'🤖 Claude Haiku 3.5'!$A$132</f>
        <v>0</v>
      </c>
      <c r="B133" s="3" t="str">
        <f aca="false">"Claude Sonnet 3.5"</f>
        <v>Claude Sonnet 3.5</v>
      </c>
      <c r="C133" s="5" t="str">
        <f aca="false">'🤖 Claude Haiku 3.5'!C133</f>
        <v>CoT</v>
      </c>
      <c r="D133" s="143" t="n">
        <f aca="false">'🤖 Claude Haiku 3.5'!E133</f>
        <v>0.002427184466</v>
      </c>
      <c r="E133" s="118" t="n">
        <f aca="false">'🤖 Claude Haiku 3.5'!F133</f>
        <v>0</v>
      </c>
      <c r="F133" s="118" t="n">
        <f aca="false">'🤖 Claude Haiku 3.5'!G133</f>
        <v>0</v>
      </c>
      <c r="G133" s="118" t="n">
        <f aca="false">'🤖 Claude Haiku 3.5'!H133</f>
        <v>0</v>
      </c>
      <c r="H133" s="118" t="n">
        <f aca="false">'🤖 Claude Haiku 3.5'!I133</f>
        <v>0</v>
      </c>
      <c r="I133" s="118" t="n">
        <f aca="false">'🤖 Claude Haiku 3.5'!J133</f>
        <v>0</v>
      </c>
    </row>
    <row r="134" customFormat="false" ht="15.75" hidden="false" customHeight="false" outlineLevel="0" collapsed="false">
      <c r="A134" s="116" t="n">
        <f aca="false">'🤖 Claude Haiku 3.5'!$A$132</f>
        <v>0</v>
      </c>
      <c r="B134" s="3" t="str">
        <f aca="false">"Claude Sonnet 3.5"</f>
        <v>Claude Sonnet 3.5</v>
      </c>
      <c r="C134" s="5" t="str">
        <f aca="false">'🤖 Claude Haiku 3.5'!C134</f>
        <v>5W1H</v>
      </c>
      <c r="D134" s="143" t="n">
        <f aca="false">'🤖 Claude Haiku 3.5'!E134</f>
        <v>0.002427184466</v>
      </c>
      <c r="E134" s="118" t="n">
        <f aca="false">'🤖 Claude Haiku 3.5'!F134</f>
        <v>0</v>
      </c>
      <c r="F134" s="118" t="n">
        <f aca="false">'🤖 Claude Haiku 3.5'!G134</f>
        <v>0</v>
      </c>
      <c r="G134" s="118" t="n">
        <f aca="false">'🤖 Claude Haiku 3.5'!H134</f>
        <v>0</v>
      </c>
      <c r="H134" s="118" t="n">
        <f aca="false">'🤖 Claude Haiku 3.5'!I134</f>
        <v>0</v>
      </c>
      <c r="I134" s="118" t="n">
        <f aca="false">'🤖 Claude Haiku 3.5'!J134</f>
        <v>0</v>
      </c>
    </row>
    <row r="135" customFormat="false" ht="15.75" hidden="false" customHeight="false" outlineLevel="0" collapsed="false">
      <c r="A135" s="116" t="n">
        <f aca="false">'🤖 Claude Haiku 3.5'!$A$132</f>
        <v>0</v>
      </c>
      <c r="B135" s="3" t="str">
        <f aca="false">"Claude Sonnet 3.5"</f>
        <v>Claude Sonnet 3.5</v>
      </c>
      <c r="C135" s="5" t="str">
        <f aca="false">'🤖 Claude Haiku 3.5'!C135</f>
        <v>tldr</v>
      </c>
      <c r="D135" s="143" t="n">
        <f aca="false">'🤖 Claude Haiku 3.5'!E135</f>
        <v>0.002427184466</v>
      </c>
      <c r="E135" s="118" t="n">
        <f aca="false">'🤖 Claude Haiku 3.5'!F135</f>
        <v>0</v>
      </c>
      <c r="F135" s="118" t="n">
        <f aca="false">'🤖 Claude Haiku 3.5'!G135</f>
        <v>0</v>
      </c>
      <c r="G135" s="118" t="n">
        <f aca="false">'🤖 Claude Haiku 3.5'!H135</f>
        <v>0</v>
      </c>
      <c r="H135" s="118" t="n">
        <f aca="false">'🤖 Claude Haiku 3.5'!I135</f>
        <v>0</v>
      </c>
      <c r="I135" s="118" t="n">
        <f aca="false">'🤖 Claude Haiku 3.5'!J135</f>
        <v>0</v>
      </c>
    </row>
    <row r="136" customFormat="false" ht="15.75" hidden="false" customHeight="false" outlineLevel="0" collapsed="false">
      <c r="A136" s="116"/>
      <c r="B136" s="3"/>
      <c r="C136" s="5"/>
      <c r="D136" s="143"/>
      <c r="E136" s="5"/>
      <c r="F136" s="5"/>
      <c r="G136" s="5"/>
      <c r="H136" s="5"/>
      <c r="I136" s="5"/>
    </row>
    <row r="137" customFormat="false" ht="15.75" hidden="false" customHeight="false" outlineLevel="0" collapsed="false">
      <c r="A137" s="116" t="n">
        <f aca="false">'🤖 Claude Haiku 3.5'!$A$137</f>
        <v>0</v>
      </c>
      <c r="B137" s="3" t="str">
        <f aca="false">"Claude Sonnet 3.5"</f>
        <v>Claude Sonnet 3.5</v>
      </c>
      <c r="C137" s="5" t="str">
        <f aca="false">'🤖 Claude Haiku 3.5'!C137</f>
        <v>Base</v>
      </c>
      <c r="D137" s="143" t="n">
        <f aca="false">'🤖 Claude Haiku 3.5'!E137</f>
        <v>0.002427184466</v>
      </c>
      <c r="E137" s="118" t="n">
        <f aca="false">'🤖 Claude Haiku 3.5'!F137</f>
        <v>0</v>
      </c>
      <c r="F137" s="118" t="n">
        <f aca="false">'🤖 Claude Haiku 3.5'!G137</f>
        <v>0</v>
      </c>
      <c r="G137" s="118" t="n">
        <f aca="false">'🤖 Claude Haiku 3.5'!H137</f>
        <v>0</v>
      </c>
      <c r="H137" s="118" t="n">
        <f aca="false">'🤖 Claude Haiku 3.5'!I137</f>
        <v>0</v>
      </c>
      <c r="I137" s="118" t="n">
        <f aca="false">'🤖 Claude Haiku 3.5'!J137</f>
        <v>0</v>
      </c>
    </row>
    <row r="138" customFormat="false" ht="15.75" hidden="false" customHeight="false" outlineLevel="0" collapsed="false">
      <c r="A138" s="116" t="n">
        <f aca="false">'🤖 Claude Haiku 3.5'!$A$137</f>
        <v>0</v>
      </c>
      <c r="B138" s="3" t="str">
        <f aca="false">"Claude Sonnet 3.5"</f>
        <v>Claude Sonnet 3.5</v>
      </c>
      <c r="C138" s="5" t="str">
        <f aca="false">'🤖 Claude Haiku 3.5'!C138</f>
        <v>CoT</v>
      </c>
      <c r="D138" s="143" t="n">
        <f aca="false">'🤖 Claude Haiku 3.5'!E138</f>
        <v>0.002427184466</v>
      </c>
      <c r="E138" s="118" t="n">
        <f aca="false">'🤖 Claude Haiku 3.5'!F138</f>
        <v>0</v>
      </c>
      <c r="F138" s="118" t="n">
        <f aca="false">'🤖 Claude Haiku 3.5'!G138</f>
        <v>0</v>
      </c>
      <c r="G138" s="118" t="n">
        <f aca="false">'🤖 Claude Haiku 3.5'!H138</f>
        <v>0</v>
      </c>
      <c r="H138" s="118" t="n">
        <f aca="false">'🤖 Claude Haiku 3.5'!I138</f>
        <v>0</v>
      </c>
      <c r="I138" s="118" t="n">
        <f aca="false">'🤖 Claude Haiku 3.5'!J138</f>
        <v>0</v>
      </c>
    </row>
    <row r="139" customFormat="false" ht="15.75" hidden="false" customHeight="false" outlineLevel="0" collapsed="false">
      <c r="A139" s="116" t="n">
        <f aca="false">'🤖 Claude Haiku 3.5'!$A$137</f>
        <v>0</v>
      </c>
      <c r="B139" s="3" t="str">
        <f aca="false">"Claude Sonnet 3.5"</f>
        <v>Claude Sonnet 3.5</v>
      </c>
      <c r="C139" s="5" t="str">
        <f aca="false">'🤖 Claude Haiku 3.5'!C139</f>
        <v>5W1H</v>
      </c>
      <c r="D139" s="143" t="n">
        <f aca="false">'🤖 Claude Haiku 3.5'!E139</f>
        <v>0.002427184466</v>
      </c>
      <c r="E139" s="118" t="n">
        <f aca="false">'🤖 Claude Haiku 3.5'!F139</f>
        <v>0</v>
      </c>
      <c r="F139" s="118" t="n">
        <f aca="false">'🤖 Claude Haiku 3.5'!G139</f>
        <v>0</v>
      </c>
      <c r="G139" s="118" t="n">
        <f aca="false">'🤖 Claude Haiku 3.5'!H139</f>
        <v>0</v>
      </c>
      <c r="H139" s="118" t="n">
        <f aca="false">'🤖 Claude Haiku 3.5'!I139</f>
        <v>0</v>
      </c>
      <c r="I139" s="118" t="n">
        <f aca="false">'🤖 Claude Haiku 3.5'!J139</f>
        <v>0</v>
      </c>
    </row>
    <row r="140" customFormat="false" ht="15.75" hidden="false" customHeight="false" outlineLevel="0" collapsed="false">
      <c r="A140" s="116" t="n">
        <f aca="false">'🤖 Claude Haiku 3.5'!$A$137</f>
        <v>0</v>
      </c>
      <c r="B140" s="3" t="str">
        <f aca="false">"Claude Sonnet 3.5"</f>
        <v>Claude Sonnet 3.5</v>
      </c>
      <c r="C140" s="5" t="str">
        <f aca="false">'🤖 Claude Haiku 3.5'!C140</f>
        <v>tldr</v>
      </c>
      <c r="D140" s="143" t="n">
        <f aca="false">'🤖 Claude Haiku 3.5'!E140</f>
        <v>0.002427184466</v>
      </c>
      <c r="E140" s="118" t="n">
        <f aca="false">'🤖 Claude Haiku 3.5'!F140</f>
        <v>0</v>
      </c>
      <c r="F140" s="118" t="n">
        <f aca="false">'🤖 Claude Haiku 3.5'!G140</f>
        <v>0</v>
      </c>
      <c r="G140" s="118" t="n">
        <f aca="false">'🤖 Claude Haiku 3.5'!H140</f>
        <v>0</v>
      </c>
      <c r="H140" s="118" t="n">
        <f aca="false">'🤖 Claude Haiku 3.5'!I140</f>
        <v>0</v>
      </c>
      <c r="I140" s="118" t="n">
        <f aca="false">'🤖 Claude Haiku 3.5'!J140</f>
        <v>0</v>
      </c>
    </row>
    <row r="141" customFormat="false" ht="15.75" hidden="false" customHeight="false" outlineLevel="0" collapsed="false">
      <c r="A141" s="116"/>
      <c r="B141" s="3"/>
      <c r="C141" s="5"/>
      <c r="D141" s="143"/>
      <c r="E141" s="5"/>
      <c r="F141" s="5"/>
      <c r="G141" s="5"/>
      <c r="H141" s="5"/>
      <c r="I141" s="5"/>
    </row>
    <row r="142" customFormat="false" ht="15.75" hidden="false" customHeight="false" outlineLevel="0" collapsed="false">
      <c r="A142" s="116" t="n">
        <f aca="false">'🤖 Claude Haiku 3.5'!$A$142</f>
        <v>0</v>
      </c>
      <c r="B142" s="3" t="str">
        <f aca="false">"Claude Sonnet 3.5"</f>
        <v>Claude Sonnet 3.5</v>
      </c>
      <c r="C142" s="5" t="str">
        <f aca="false">'🤖 Claude Haiku 3.5'!C142</f>
        <v>Base</v>
      </c>
      <c r="D142" s="143" t="n">
        <f aca="false">'🤖 Claude Haiku 3.5'!E142</f>
        <v>0.002427184466</v>
      </c>
      <c r="E142" s="118" t="n">
        <f aca="false">'🤖 Claude Haiku 3.5'!F142</f>
        <v>0</v>
      </c>
      <c r="F142" s="118" t="n">
        <f aca="false">'🤖 Claude Haiku 3.5'!G142</f>
        <v>0</v>
      </c>
      <c r="G142" s="118" t="n">
        <f aca="false">'🤖 Claude Haiku 3.5'!H142</f>
        <v>0</v>
      </c>
      <c r="H142" s="118" t="n">
        <f aca="false">'🤖 Claude Haiku 3.5'!I142</f>
        <v>0</v>
      </c>
      <c r="I142" s="118" t="n">
        <f aca="false">'🤖 Claude Haiku 3.5'!J142</f>
        <v>0</v>
      </c>
    </row>
    <row r="143" customFormat="false" ht="15.75" hidden="false" customHeight="false" outlineLevel="0" collapsed="false">
      <c r="A143" s="116" t="n">
        <f aca="false">'🤖 Claude Haiku 3.5'!$A$142</f>
        <v>0</v>
      </c>
      <c r="B143" s="3" t="str">
        <f aca="false">"Claude Sonnet 3.5"</f>
        <v>Claude Sonnet 3.5</v>
      </c>
      <c r="C143" s="5" t="str">
        <f aca="false">'🤖 Claude Haiku 3.5'!C143</f>
        <v>CoT</v>
      </c>
      <c r="D143" s="143" t="n">
        <f aca="false">'🤖 Claude Haiku 3.5'!E143</f>
        <v>0.002427184466</v>
      </c>
      <c r="E143" s="118" t="n">
        <f aca="false">'🤖 Claude Haiku 3.5'!F143</f>
        <v>0</v>
      </c>
      <c r="F143" s="118" t="n">
        <f aca="false">'🤖 Claude Haiku 3.5'!G143</f>
        <v>0</v>
      </c>
      <c r="G143" s="118" t="n">
        <f aca="false">'🤖 Claude Haiku 3.5'!H143</f>
        <v>0</v>
      </c>
      <c r="H143" s="118" t="n">
        <f aca="false">'🤖 Claude Haiku 3.5'!I143</f>
        <v>0</v>
      </c>
      <c r="I143" s="118" t="n">
        <f aca="false">'🤖 Claude Haiku 3.5'!J143</f>
        <v>0</v>
      </c>
    </row>
    <row r="144" customFormat="false" ht="15.75" hidden="false" customHeight="false" outlineLevel="0" collapsed="false">
      <c r="A144" s="116" t="n">
        <f aca="false">'🤖 Claude Haiku 3.5'!$A$142</f>
        <v>0</v>
      </c>
      <c r="B144" s="3" t="str">
        <f aca="false">"Claude Sonnet 3.5"</f>
        <v>Claude Sonnet 3.5</v>
      </c>
      <c r="C144" s="5" t="str">
        <f aca="false">'🤖 Claude Haiku 3.5'!C144</f>
        <v>5W1H</v>
      </c>
      <c r="D144" s="143" t="n">
        <f aca="false">'🤖 Claude Haiku 3.5'!E144</f>
        <v>0.002427184466</v>
      </c>
      <c r="E144" s="118" t="n">
        <f aca="false">'🤖 Claude Haiku 3.5'!F144</f>
        <v>0</v>
      </c>
      <c r="F144" s="118" t="n">
        <f aca="false">'🤖 Claude Haiku 3.5'!G144</f>
        <v>0</v>
      </c>
      <c r="G144" s="118" t="n">
        <f aca="false">'🤖 Claude Haiku 3.5'!H144</f>
        <v>0</v>
      </c>
      <c r="H144" s="118" t="n">
        <f aca="false">'🤖 Claude Haiku 3.5'!I144</f>
        <v>0</v>
      </c>
      <c r="I144" s="118" t="n">
        <f aca="false">'🤖 Claude Haiku 3.5'!J144</f>
        <v>0</v>
      </c>
    </row>
    <row r="145" customFormat="false" ht="15.75" hidden="false" customHeight="false" outlineLevel="0" collapsed="false">
      <c r="A145" s="116" t="n">
        <f aca="false">'🤖 Claude Haiku 3.5'!$A$142</f>
        <v>0</v>
      </c>
      <c r="B145" s="3" t="str">
        <f aca="false">"Claude Sonnet 3.5"</f>
        <v>Claude Sonnet 3.5</v>
      </c>
      <c r="C145" s="5" t="str">
        <f aca="false">'🤖 Claude Haiku 3.5'!C145</f>
        <v>tldr</v>
      </c>
      <c r="D145" s="143" t="n">
        <f aca="false">'🤖 Claude Haiku 3.5'!E145</f>
        <v>0.002427184466</v>
      </c>
      <c r="E145" s="118" t="n">
        <f aca="false">'🤖 Claude Haiku 3.5'!F145</f>
        <v>0</v>
      </c>
      <c r="F145" s="118" t="n">
        <f aca="false">'🤖 Claude Haiku 3.5'!G145</f>
        <v>0</v>
      </c>
      <c r="G145" s="118" t="n">
        <f aca="false">'🤖 Claude Haiku 3.5'!H145</f>
        <v>0</v>
      </c>
      <c r="H145" s="118" t="n">
        <f aca="false">'🤖 Claude Haiku 3.5'!I145</f>
        <v>0</v>
      </c>
      <c r="I145" s="118" t="n">
        <f aca="false">'🤖 Claude Haiku 3.5'!J145</f>
        <v>0</v>
      </c>
    </row>
    <row r="146" customFormat="false" ht="15.75" hidden="false" customHeight="false" outlineLevel="0" collapsed="false">
      <c r="A146" s="116"/>
      <c r="B146" s="3"/>
      <c r="C146" s="5"/>
      <c r="D146" s="143"/>
      <c r="E146" s="5"/>
      <c r="F146" s="5"/>
      <c r="G146" s="5"/>
      <c r="H146" s="5"/>
      <c r="I146" s="5"/>
    </row>
    <row r="147" customFormat="false" ht="15.75" hidden="false" customHeight="false" outlineLevel="0" collapsed="false">
      <c r="A147" s="116" t="n">
        <f aca="false">'🤖 Claude Haiku 3.5'!$A$147</f>
        <v>0</v>
      </c>
      <c r="B147" s="3" t="str">
        <f aca="false">"Claude Sonnet 3.5"</f>
        <v>Claude Sonnet 3.5</v>
      </c>
      <c r="C147" s="5" t="str">
        <f aca="false">'🤖 Claude Haiku 3.5'!C147</f>
        <v>Base</v>
      </c>
      <c r="D147" s="143" t="n">
        <f aca="false">'🤖 Claude Haiku 3.5'!E147</f>
        <v>0.002427184466</v>
      </c>
      <c r="E147" s="118" t="n">
        <f aca="false">'🤖 Claude Haiku 3.5'!F147</f>
        <v>0</v>
      </c>
      <c r="F147" s="118" t="n">
        <f aca="false">'🤖 Claude Haiku 3.5'!G147</f>
        <v>0</v>
      </c>
      <c r="G147" s="118" t="n">
        <f aca="false">'🤖 Claude Haiku 3.5'!H147</f>
        <v>0</v>
      </c>
      <c r="H147" s="118" t="n">
        <f aca="false">'🤖 Claude Haiku 3.5'!I147</f>
        <v>0</v>
      </c>
      <c r="I147" s="118" t="n">
        <f aca="false">'🤖 Claude Haiku 3.5'!J147</f>
        <v>0</v>
      </c>
    </row>
    <row r="148" customFormat="false" ht="15.75" hidden="false" customHeight="false" outlineLevel="0" collapsed="false">
      <c r="A148" s="116" t="n">
        <f aca="false">'🤖 Claude Haiku 3.5'!$A$147</f>
        <v>0</v>
      </c>
      <c r="B148" s="3" t="str">
        <f aca="false">"Claude Sonnet 3.5"</f>
        <v>Claude Sonnet 3.5</v>
      </c>
      <c r="C148" s="5" t="str">
        <f aca="false">'🤖 Claude Haiku 3.5'!C148</f>
        <v>CoT</v>
      </c>
      <c r="D148" s="143" t="n">
        <f aca="false">'🤖 Claude Haiku 3.5'!E148</f>
        <v>0.002427184466</v>
      </c>
      <c r="E148" s="118" t="n">
        <f aca="false">'🤖 Claude Haiku 3.5'!F148</f>
        <v>0</v>
      </c>
      <c r="F148" s="118" t="n">
        <f aca="false">'🤖 Claude Haiku 3.5'!G148</f>
        <v>0</v>
      </c>
      <c r="G148" s="118" t="n">
        <f aca="false">'🤖 Claude Haiku 3.5'!H148</f>
        <v>0</v>
      </c>
      <c r="H148" s="118" t="n">
        <f aca="false">'🤖 Claude Haiku 3.5'!I148</f>
        <v>0</v>
      </c>
      <c r="I148" s="118" t="n">
        <f aca="false">'🤖 Claude Haiku 3.5'!J148</f>
        <v>0</v>
      </c>
    </row>
    <row r="149" customFormat="false" ht="15.75" hidden="false" customHeight="false" outlineLevel="0" collapsed="false">
      <c r="A149" s="116" t="n">
        <f aca="false">'🤖 Claude Haiku 3.5'!$A$147</f>
        <v>0</v>
      </c>
      <c r="B149" s="3" t="str">
        <f aca="false">"Claude Sonnet 3.5"</f>
        <v>Claude Sonnet 3.5</v>
      </c>
      <c r="C149" s="5" t="str">
        <f aca="false">'🤖 Claude Haiku 3.5'!C149</f>
        <v>5W1H</v>
      </c>
      <c r="D149" s="143" t="n">
        <f aca="false">'🤖 Claude Haiku 3.5'!E149</f>
        <v>0.002427184466</v>
      </c>
      <c r="E149" s="118" t="n">
        <f aca="false">'🤖 Claude Haiku 3.5'!F149</f>
        <v>0</v>
      </c>
      <c r="F149" s="118" t="n">
        <f aca="false">'🤖 Claude Haiku 3.5'!G149</f>
        <v>0</v>
      </c>
      <c r="G149" s="118" t="n">
        <f aca="false">'🤖 Claude Haiku 3.5'!H149</f>
        <v>0</v>
      </c>
      <c r="H149" s="118" t="n">
        <f aca="false">'🤖 Claude Haiku 3.5'!I149</f>
        <v>0</v>
      </c>
      <c r="I149" s="118" t="n">
        <f aca="false">'🤖 Claude Haiku 3.5'!J149</f>
        <v>0</v>
      </c>
    </row>
    <row r="150" customFormat="false" ht="15.75" hidden="false" customHeight="false" outlineLevel="0" collapsed="false">
      <c r="A150" s="116" t="n">
        <f aca="false">'🤖 Claude Haiku 3.5'!$A$147</f>
        <v>0</v>
      </c>
      <c r="B150" s="3" t="str">
        <f aca="false">"Claude Sonnet 3.5"</f>
        <v>Claude Sonnet 3.5</v>
      </c>
      <c r="C150" s="5" t="str">
        <f aca="false">'🤖 Claude Haiku 3.5'!C150</f>
        <v>tldr</v>
      </c>
      <c r="D150" s="143" t="n">
        <f aca="false">'🤖 Claude Haiku 3.5'!E150</f>
        <v>0.002427184466</v>
      </c>
      <c r="E150" s="118" t="n">
        <f aca="false">'🤖 Claude Haiku 3.5'!F150</f>
        <v>0</v>
      </c>
      <c r="F150" s="118" t="n">
        <f aca="false">'🤖 Claude Haiku 3.5'!G150</f>
        <v>0</v>
      </c>
      <c r="G150" s="118" t="n">
        <f aca="false">'🤖 Claude Haiku 3.5'!H150</f>
        <v>0</v>
      </c>
      <c r="H150" s="118" t="n">
        <f aca="false">'🤖 Claude Haiku 3.5'!I150</f>
        <v>0</v>
      </c>
      <c r="I150" s="118" t="n">
        <f aca="false">'🤖 Claude Haiku 3.5'!J150</f>
        <v>0</v>
      </c>
    </row>
    <row r="151" customFormat="false" ht="15.75" hidden="false" customHeight="false" outlineLevel="0" collapsed="false">
      <c r="A151" s="116"/>
      <c r="B151" s="3"/>
      <c r="C151" s="5"/>
      <c r="D151" s="143"/>
      <c r="E151" s="5"/>
      <c r="F151" s="5"/>
      <c r="G151" s="5"/>
      <c r="H151" s="5"/>
      <c r="I151" s="5"/>
    </row>
    <row r="152" customFormat="false" ht="15.75" hidden="false" customHeight="false" outlineLevel="0" collapsed="false">
      <c r="A152" s="116" t="n">
        <f aca="false">'🤖 Claude Haiku 3.5'!$A$152</f>
        <v>0</v>
      </c>
      <c r="B152" s="3" t="str">
        <f aca="false">"Claude Sonnet 3.5"</f>
        <v>Claude Sonnet 3.5</v>
      </c>
      <c r="C152" s="5" t="str">
        <f aca="false">'🤖 Claude Haiku 3.5'!C152</f>
        <v>Base</v>
      </c>
      <c r="D152" s="143" t="n">
        <f aca="false">'🤖 Claude Haiku 3.5'!E152</f>
        <v>0.002427184466</v>
      </c>
      <c r="E152" s="118" t="n">
        <f aca="false">'🤖 Claude Haiku 3.5'!F152</f>
        <v>0</v>
      </c>
      <c r="F152" s="118" t="n">
        <f aca="false">'🤖 Claude Haiku 3.5'!G152</f>
        <v>0</v>
      </c>
      <c r="G152" s="118" t="n">
        <f aca="false">'🤖 Claude Haiku 3.5'!H152</f>
        <v>0</v>
      </c>
      <c r="H152" s="118" t="n">
        <f aca="false">'🤖 Claude Haiku 3.5'!I152</f>
        <v>0</v>
      </c>
      <c r="I152" s="118" t="n">
        <f aca="false">'🤖 Claude Haiku 3.5'!J152</f>
        <v>0</v>
      </c>
    </row>
    <row r="153" customFormat="false" ht="15.75" hidden="false" customHeight="false" outlineLevel="0" collapsed="false">
      <c r="A153" s="116" t="n">
        <f aca="false">'🤖 Claude Haiku 3.5'!$A$152</f>
        <v>0</v>
      </c>
      <c r="B153" s="3" t="str">
        <f aca="false">"Claude Sonnet 3.5"</f>
        <v>Claude Sonnet 3.5</v>
      </c>
      <c r="C153" s="5" t="str">
        <f aca="false">'🤖 Claude Haiku 3.5'!C153</f>
        <v>CoT</v>
      </c>
      <c r="D153" s="143" t="n">
        <f aca="false">'🤖 Claude Haiku 3.5'!E153</f>
        <v>0.002427184466</v>
      </c>
      <c r="E153" s="118" t="n">
        <f aca="false">'🤖 Claude Haiku 3.5'!F153</f>
        <v>0</v>
      </c>
      <c r="F153" s="118" t="n">
        <f aca="false">'🤖 Claude Haiku 3.5'!G153</f>
        <v>0</v>
      </c>
      <c r="G153" s="118" t="n">
        <f aca="false">'🤖 Claude Haiku 3.5'!H153</f>
        <v>0</v>
      </c>
      <c r="H153" s="118" t="n">
        <f aca="false">'🤖 Claude Haiku 3.5'!I153</f>
        <v>0</v>
      </c>
      <c r="I153" s="118" t="n">
        <f aca="false">'🤖 Claude Haiku 3.5'!J153</f>
        <v>0</v>
      </c>
    </row>
    <row r="154" customFormat="false" ht="15.75" hidden="false" customHeight="false" outlineLevel="0" collapsed="false">
      <c r="A154" s="116" t="n">
        <f aca="false">'🤖 Claude Haiku 3.5'!$A$152</f>
        <v>0</v>
      </c>
      <c r="B154" s="3" t="str">
        <f aca="false">"Claude Sonnet 3.5"</f>
        <v>Claude Sonnet 3.5</v>
      </c>
      <c r="C154" s="5" t="str">
        <f aca="false">'🤖 Claude Haiku 3.5'!C154</f>
        <v>5W1H</v>
      </c>
      <c r="D154" s="143" t="n">
        <f aca="false">'🤖 Claude Haiku 3.5'!E154</f>
        <v>0.002427184466</v>
      </c>
      <c r="E154" s="118" t="n">
        <f aca="false">'🤖 Claude Haiku 3.5'!F154</f>
        <v>0</v>
      </c>
      <c r="F154" s="118" t="n">
        <f aca="false">'🤖 Claude Haiku 3.5'!G154</f>
        <v>0</v>
      </c>
      <c r="G154" s="118" t="n">
        <f aca="false">'🤖 Claude Haiku 3.5'!H154</f>
        <v>0</v>
      </c>
      <c r="H154" s="118" t="n">
        <f aca="false">'🤖 Claude Haiku 3.5'!I154</f>
        <v>0</v>
      </c>
      <c r="I154" s="118" t="n">
        <f aca="false">'🤖 Claude Haiku 3.5'!J154</f>
        <v>0</v>
      </c>
    </row>
    <row r="155" customFormat="false" ht="15.75" hidden="false" customHeight="false" outlineLevel="0" collapsed="false">
      <c r="A155" s="116" t="n">
        <f aca="false">'🤖 Claude Haiku 3.5'!$A$152</f>
        <v>0</v>
      </c>
      <c r="B155" s="3" t="str">
        <f aca="false">"Claude Sonnet 3.5"</f>
        <v>Claude Sonnet 3.5</v>
      </c>
      <c r="C155" s="5" t="str">
        <f aca="false">'🤖 Claude Haiku 3.5'!C155</f>
        <v>tldr</v>
      </c>
      <c r="D155" s="143" t="n">
        <f aca="false">'🤖 Claude Haiku 3.5'!E155</f>
        <v>0.002427184466</v>
      </c>
      <c r="E155" s="118" t="n">
        <f aca="false">'🤖 Claude Haiku 3.5'!F155</f>
        <v>0</v>
      </c>
      <c r="F155" s="118" t="n">
        <f aca="false">'🤖 Claude Haiku 3.5'!G155</f>
        <v>0</v>
      </c>
      <c r="G155" s="118" t="n">
        <f aca="false">'🤖 Claude Haiku 3.5'!H155</f>
        <v>0</v>
      </c>
      <c r="H155" s="118" t="n">
        <f aca="false">'🤖 Claude Haiku 3.5'!I155</f>
        <v>0</v>
      </c>
      <c r="I155" s="118" t="n">
        <f aca="false">'🤖 Claude Haiku 3.5'!J155</f>
        <v>0</v>
      </c>
    </row>
    <row r="156" customFormat="false" ht="15.75" hidden="false" customHeight="false" outlineLevel="0" collapsed="false">
      <c r="A156" s="116"/>
      <c r="B156" s="3"/>
      <c r="C156" s="5"/>
      <c r="D156" s="143"/>
      <c r="E156" s="5"/>
      <c r="F156" s="5"/>
      <c r="G156" s="5"/>
      <c r="H156" s="5"/>
      <c r="I156" s="5"/>
    </row>
    <row r="157" customFormat="false" ht="15.75" hidden="false" customHeight="false" outlineLevel="0" collapsed="false">
      <c r="A157" s="116" t="n">
        <f aca="false">'🤖 Claude Haiku 3.5'!$A$157</f>
        <v>0</v>
      </c>
      <c r="B157" s="3" t="str">
        <f aca="false">"Claude Sonnet 3.5"</f>
        <v>Claude Sonnet 3.5</v>
      </c>
      <c r="C157" s="5" t="str">
        <f aca="false">'🤖 Claude Haiku 3.5'!C157</f>
        <v>Base</v>
      </c>
      <c r="D157" s="143" t="n">
        <f aca="false">'🤖 Claude Haiku 3.5'!E157</f>
        <v>0.002427184466</v>
      </c>
      <c r="E157" s="118" t="n">
        <f aca="false">'🤖 Claude Haiku 3.5'!F157</f>
        <v>0</v>
      </c>
      <c r="F157" s="118" t="n">
        <f aca="false">'🤖 Claude Haiku 3.5'!G157</f>
        <v>0</v>
      </c>
      <c r="G157" s="118" t="n">
        <f aca="false">'🤖 Claude Haiku 3.5'!H157</f>
        <v>0</v>
      </c>
      <c r="H157" s="118" t="n">
        <f aca="false">'🤖 Claude Haiku 3.5'!I157</f>
        <v>0</v>
      </c>
      <c r="I157" s="118" t="n">
        <f aca="false">'🤖 Claude Haiku 3.5'!J157</f>
        <v>0</v>
      </c>
    </row>
    <row r="158" customFormat="false" ht="15.75" hidden="false" customHeight="false" outlineLevel="0" collapsed="false">
      <c r="A158" s="116" t="n">
        <f aca="false">'🤖 Claude Haiku 3.5'!$A$157</f>
        <v>0</v>
      </c>
      <c r="B158" s="3" t="str">
        <f aca="false">"Claude Sonnet 3.5"</f>
        <v>Claude Sonnet 3.5</v>
      </c>
      <c r="C158" s="5" t="str">
        <f aca="false">'🤖 Claude Haiku 3.5'!C158</f>
        <v>CoT</v>
      </c>
      <c r="D158" s="143" t="n">
        <f aca="false">'🤖 Claude Haiku 3.5'!E158</f>
        <v>0.002427184466</v>
      </c>
      <c r="E158" s="118" t="n">
        <f aca="false">'🤖 Claude Haiku 3.5'!F158</f>
        <v>0</v>
      </c>
      <c r="F158" s="118" t="n">
        <f aca="false">'🤖 Claude Haiku 3.5'!G158</f>
        <v>0</v>
      </c>
      <c r="G158" s="118" t="n">
        <f aca="false">'🤖 Claude Haiku 3.5'!H158</f>
        <v>0</v>
      </c>
      <c r="H158" s="118" t="n">
        <f aca="false">'🤖 Claude Haiku 3.5'!I158</f>
        <v>0</v>
      </c>
      <c r="I158" s="118" t="n">
        <f aca="false">'🤖 Claude Haiku 3.5'!J158</f>
        <v>0</v>
      </c>
    </row>
    <row r="159" customFormat="false" ht="15.75" hidden="false" customHeight="false" outlineLevel="0" collapsed="false">
      <c r="A159" s="116" t="n">
        <f aca="false">'🤖 Claude Haiku 3.5'!$A$157</f>
        <v>0</v>
      </c>
      <c r="B159" s="3" t="str">
        <f aca="false">"Claude Sonnet 3.5"</f>
        <v>Claude Sonnet 3.5</v>
      </c>
      <c r="C159" s="5" t="str">
        <f aca="false">'🤖 Claude Haiku 3.5'!C159</f>
        <v>5W1H</v>
      </c>
      <c r="D159" s="143" t="n">
        <f aca="false">'🤖 Claude Haiku 3.5'!E159</f>
        <v>0.002427184466</v>
      </c>
      <c r="E159" s="118" t="n">
        <f aca="false">'🤖 Claude Haiku 3.5'!F159</f>
        <v>0</v>
      </c>
      <c r="F159" s="118" t="n">
        <f aca="false">'🤖 Claude Haiku 3.5'!G159</f>
        <v>0</v>
      </c>
      <c r="G159" s="118" t="n">
        <f aca="false">'🤖 Claude Haiku 3.5'!H159</f>
        <v>0</v>
      </c>
      <c r="H159" s="118" t="n">
        <f aca="false">'🤖 Claude Haiku 3.5'!I159</f>
        <v>0</v>
      </c>
      <c r="I159" s="118" t="n">
        <f aca="false">'🤖 Claude Haiku 3.5'!J159</f>
        <v>0</v>
      </c>
    </row>
    <row r="160" customFormat="false" ht="15.75" hidden="false" customHeight="false" outlineLevel="0" collapsed="false">
      <c r="A160" s="116" t="n">
        <f aca="false">'🤖 Claude Haiku 3.5'!$A$157</f>
        <v>0</v>
      </c>
      <c r="B160" s="3" t="str">
        <f aca="false">"Claude Sonnet 3.5"</f>
        <v>Claude Sonnet 3.5</v>
      </c>
      <c r="C160" s="5" t="str">
        <f aca="false">'🤖 Claude Haiku 3.5'!C160</f>
        <v>tldr</v>
      </c>
      <c r="D160" s="143" t="n">
        <f aca="false">'🤖 Claude Haiku 3.5'!E160</f>
        <v>0.002427184466</v>
      </c>
      <c r="E160" s="118" t="n">
        <f aca="false">'🤖 Claude Haiku 3.5'!F160</f>
        <v>0</v>
      </c>
      <c r="F160" s="118" t="n">
        <f aca="false">'🤖 Claude Haiku 3.5'!G160</f>
        <v>0</v>
      </c>
      <c r="G160" s="118" t="n">
        <f aca="false">'🤖 Claude Haiku 3.5'!H160</f>
        <v>0</v>
      </c>
      <c r="H160" s="118" t="n">
        <f aca="false">'🤖 Claude Haiku 3.5'!I160</f>
        <v>0</v>
      </c>
      <c r="I160" s="118" t="n">
        <f aca="false">'🤖 Claude Haiku 3.5'!J160</f>
        <v>0</v>
      </c>
    </row>
    <row r="161" customFormat="false" ht="15.75" hidden="false" customHeight="false" outlineLevel="0" collapsed="false">
      <c r="A161" s="116"/>
      <c r="B161" s="3"/>
      <c r="C161" s="5"/>
      <c r="D161" s="143"/>
      <c r="E161" s="5"/>
      <c r="F161" s="5"/>
      <c r="G161" s="5"/>
      <c r="H161" s="5"/>
      <c r="I161" s="5"/>
    </row>
    <row r="162" customFormat="false" ht="15.75" hidden="false" customHeight="false" outlineLevel="0" collapsed="false">
      <c r="A162" s="116" t="n">
        <f aca="false">'🤖 Claude Haiku 3.5'!$A$162</f>
        <v>0</v>
      </c>
      <c r="B162" s="3" t="str">
        <f aca="false">"Claude Sonnet 3.5"</f>
        <v>Claude Sonnet 3.5</v>
      </c>
      <c r="C162" s="5" t="str">
        <f aca="false">'🤖 Claude Haiku 3.5'!C162</f>
        <v>Base</v>
      </c>
      <c r="D162" s="143" t="n">
        <f aca="false">'🤖 Claude Haiku 3.5'!E162</f>
        <v>0.002427184466</v>
      </c>
      <c r="E162" s="118" t="n">
        <f aca="false">'🤖 Claude Haiku 3.5'!F162</f>
        <v>0</v>
      </c>
      <c r="F162" s="118" t="n">
        <f aca="false">'🤖 Claude Haiku 3.5'!G162</f>
        <v>0</v>
      </c>
      <c r="G162" s="118" t="n">
        <f aca="false">'🤖 Claude Haiku 3.5'!H162</f>
        <v>0</v>
      </c>
      <c r="H162" s="118" t="n">
        <f aca="false">'🤖 Claude Haiku 3.5'!I162</f>
        <v>0</v>
      </c>
      <c r="I162" s="118" t="n">
        <f aca="false">'🤖 Claude Haiku 3.5'!J162</f>
        <v>0</v>
      </c>
    </row>
    <row r="163" customFormat="false" ht="15.75" hidden="false" customHeight="false" outlineLevel="0" collapsed="false">
      <c r="A163" s="116" t="n">
        <f aca="false">'🤖 Claude Haiku 3.5'!$A$162</f>
        <v>0</v>
      </c>
      <c r="B163" s="3" t="str">
        <f aca="false">"Claude Sonnet 3.5"</f>
        <v>Claude Sonnet 3.5</v>
      </c>
      <c r="C163" s="5" t="str">
        <f aca="false">'🤖 Claude Haiku 3.5'!C163</f>
        <v>CoT</v>
      </c>
      <c r="D163" s="143" t="n">
        <f aca="false">'🤖 Claude Haiku 3.5'!E163</f>
        <v>0.002427184466</v>
      </c>
      <c r="E163" s="118" t="n">
        <f aca="false">'🤖 Claude Haiku 3.5'!F163</f>
        <v>0</v>
      </c>
      <c r="F163" s="118" t="n">
        <f aca="false">'🤖 Claude Haiku 3.5'!G163</f>
        <v>0</v>
      </c>
      <c r="G163" s="118" t="n">
        <f aca="false">'🤖 Claude Haiku 3.5'!H163</f>
        <v>0</v>
      </c>
      <c r="H163" s="118" t="n">
        <f aca="false">'🤖 Claude Haiku 3.5'!I163</f>
        <v>0</v>
      </c>
      <c r="I163" s="118" t="n">
        <f aca="false">'🤖 Claude Haiku 3.5'!J163</f>
        <v>0</v>
      </c>
    </row>
    <row r="164" customFormat="false" ht="15.75" hidden="false" customHeight="false" outlineLevel="0" collapsed="false">
      <c r="A164" s="116" t="n">
        <f aca="false">'🤖 Claude Haiku 3.5'!$A$162</f>
        <v>0</v>
      </c>
      <c r="B164" s="3" t="str">
        <f aca="false">"Claude Sonnet 3.5"</f>
        <v>Claude Sonnet 3.5</v>
      </c>
      <c r="C164" s="5" t="str">
        <f aca="false">'🤖 Claude Haiku 3.5'!C164</f>
        <v>5W1H</v>
      </c>
      <c r="D164" s="143" t="n">
        <f aca="false">'🤖 Claude Haiku 3.5'!E164</f>
        <v>0.002427184466</v>
      </c>
      <c r="E164" s="118" t="n">
        <f aca="false">'🤖 Claude Haiku 3.5'!F164</f>
        <v>0</v>
      </c>
      <c r="F164" s="118" t="n">
        <f aca="false">'🤖 Claude Haiku 3.5'!G164</f>
        <v>0</v>
      </c>
      <c r="G164" s="118" t="n">
        <f aca="false">'🤖 Claude Haiku 3.5'!H164</f>
        <v>0</v>
      </c>
      <c r="H164" s="118" t="n">
        <f aca="false">'🤖 Claude Haiku 3.5'!I164</f>
        <v>0</v>
      </c>
      <c r="I164" s="118" t="n">
        <f aca="false">'🤖 Claude Haiku 3.5'!J164</f>
        <v>0</v>
      </c>
    </row>
    <row r="165" customFormat="false" ht="15.75" hidden="false" customHeight="false" outlineLevel="0" collapsed="false">
      <c r="A165" s="116" t="n">
        <f aca="false">'🤖 Claude Haiku 3.5'!$A$162</f>
        <v>0</v>
      </c>
      <c r="B165" s="3" t="str">
        <f aca="false">"Claude Sonnet 3.5"</f>
        <v>Claude Sonnet 3.5</v>
      </c>
      <c r="C165" s="5" t="str">
        <f aca="false">'🤖 Claude Haiku 3.5'!C165</f>
        <v>tldr</v>
      </c>
      <c r="D165" s="143" t="n">
        <f aca="false">'🤖 Claude Haiku 3.5'!E165</f>
        <v>0.002427184466</v>
      </c>
      <c r="E165" s="118" t="n">
        <f aca="false">'🤖 Claude Haiku 3.5'!F165</f>
        <v>0</v>
      </c>
      <c r="F165" s="118" t="n">
        <f aca="false">'🤖 Claude Haiku 3.5'!G165</f>
        <v>0</v>
      </c>
      <c r="G165" s="118" t="n">
        <f aca="false">'🤖 Claude Haiku 3.5'!H165</f>
        <v>0</v>
      </c>
      <c r="H165" s="118" t="n">
        <f aca="false">'🤖 Claude Haiku 3.5'!I165</f>
        <v>0</v>
      </c>
      <c r="I165" s="118" t="n">
        <f aca="false">'🤖 Claude Haiku 3.5'!J165</f>
        <v>0</v>
      </c>
    </row>
    <row r="166" customFormat="false" ht="15.75" hidden="false" customHeight="false" outlineLevel="0" collapsed="false">
      <c r="A166" s="8"/>
      <c r="B166" s="8"/>
      <c r="C166" s="50"/>
      <c r="D166" s="8"/>
      <c r="E166" s="50"/>
      <c r="F166" s="50"/>
      <c r="G166" s="50"/>
      <c r="H166" s="50"/>
      <c r="I166" s="50"/>
    </row>
    <row r="167" customFormat="false" ht="15.75" hidden="false" customHeight="false" outlineLevel="0" collapsed="false">
      <c r="A167" s="116" t="str">
        <f aca="false">'🤖 Command R+'!$A$2</f>
        <v>https://www.berria.eus/mundua/aragonesek-lehen-lerro-politikoa-utziko-du_2125045_102.html</v>
      </c>
      <c r="B167" s="3" t="s">
        <v>21</v>
      </c>
      <c r="C167" s="5" t="str">
        <f aca="false">'🤖 Command R+'!C2</f>
        <v>Base</v>
      </c>
      <c r="D167" s="125" t="n">
        <f aca="false">'🤖 Command R+'!E2</f>
        <v>0.02078239609</v>
      </c>
      <c r="E167" s="118" t="n">
        <f aca="false">'🤖 Command R+'!F2</f>
        <v>2</v>
      </c>
      <c r="F167" s="118" t="n">
        <f aca="false">'🤖 Command R+'!G2</f>
        <v>4</v>
      </c>
      <c r="G167" s="118" t="n">
        <f aca="false">'🤖 Command R+'!H2</f>
        <v>3</v>
      </c>
      <c r="H167" s="118" t="n">
        <f aca="false">'🤖 Command R+'!I2</f>
        <v>1</v>
      </c>
      <c r="I167" s="118" t="n">
        <f aca="false">'🤖 Command R+'!J2</f>
        <v>1</v>
      </c>
    </row>
    <row r="168" customFormat="false" ht="15.75" hidden="false" customHeight="false" outlineLevel="0" collapsed="false">
      <c r="A168" s="116" t="str">
        <f aca="false">'🤖 Command R+'!$A$2</f>
        <v>https://www.berria.eus/mundua/aragonesek-lehen-lerro-politikoa-utziko-du_2125045_102.html</v>
      </c>
      <c r="B168" s="3" t="s">
        <v>21</v>
      </c>
      <c r="C168" s="5" t="str">
        <f aca="false">'🤖 Command R+'!C3</f>
        <v>CoT</v>
      </c>
      <c r="D168" s="125" t="n">
        <f aca="false">'🤖 Command R+'!E3</f>
        <v>0.09902200489</v>
      </c>
      <c r="E168" s="118" t="n">
        <f aca="false">'🤖 Command R+'!F3</f>
        <v>3</v>
      </c>
      <c r="F168" s="118" t="n">
        <f aca="false">'🤖 Command R+'!G3</f>
        <v>3</v>
      </c>
      <c r="G168" s="118" t="n">
        <f aca="false">'🤖 Command R+'!H3</f>
        <v>2</v>
      </c>
      <c r="H168" s="118" t="n">
        <f aca="false">'🤖 Command R+'!I3</f>
        <v>1</v>
      </c>
      <c r="I168" s="118" t="n">
        <f aca="false">'🤖 Command R+'!J3</f>
        <v>1</v>
      </c>
    </row>
    <row r="169" customFormat="false" ht="15.75" hidden="false" customHeight="false" outlineLevel="0" collapsed="false">
      <c r="A169" s="116" t="str">
        <f aca="false">'🤖 Command R+'!$A$2</f>
        <v>https://www.berria.eus/mundua/aragonesek-lehen-lerro-politikoa-utziko-du_2125045_102.html</v>
      </c>
      <c r="B169" s="3" t="s">
        <v>21</v>
      </c>
      <c r="C169" s="5" t="str">
        <f aca="false">'🤖 Command R+'!C4</f>
        <v>5W1H</v>
      </c>
      <c r="D169" s="117" t="n">
        <f aca="false">'🤖 Command R+'!E4</f>
        <v>0.09168704156</v>
      </c>
      <c r="E169" s="118" t="n">
        <f aca="false">'🤖 Command R+'!F4</f>
        <v>2</v>
      </c>
      <c r="F169" s="118" t="n">
        <f aca="false">'🤖 Command R+'!G4</f>
        <v>4</v>
      </c>
      <c r="G169" s="118" t="n">
        <f aca="false">'🤖 Command R+'!H4</f>
        <v>2</v>
      </c>
      <c r="H169" s="118" t="n">
        <f aca="false">'🤖 Command R+'!I4</f>
        <v>3</v>
      </c>
      <c r="I169" s="118" t="n">
        <f aca="false">'🤖 Command R+'!J4</f>
        <v>2</v>
      </c>
    </row>
    <row r="170" customFormat="false" ht="15.75" hidden="false" customHeight="false" outlineLevel="0" collapsed="false">
      <c r="A170" s="116" t="str">
        <f aca="false">'🤖 Command R+'!$A$2</f>
        <v>https://www.berria.eus/mundua/aragonesek-lehen-lerro-politikoa-utziko-du_2125045_102.html</v>
      </c>
      <c r="B170" s="3" t="s">
        <v>21</v>
      </c>
      <c r="C170" s="5" t="str">
        <f aca="false">'🤖 Command R+'!C5</f>
        <v>tldr</v>
      </c>
      <c r="D170" s="131" t="n">
        <f aca="false">'🤖 Command R+'!E5</f>
        <v>1.224938875</v>
      </c>
      <c r="E170" s="118" t="n">
        <f aca="false">'🤖 Command R+'!F5</f>
        <v>5</v>
      </c>
      <c r="F170" s="118" t="n">
        <f aca="false">'🤖 Command R+'!G5</f>
        <v>3</v>
      </c>
      <c r="G170" s="118" t="n">
        <f aca="false">'🤖 Command R+'!H5</f>
        <v>1</v>
      </c>
      <c r="H170" s="118" t="n">
        <f aca="false">'🤖 Command R+'!I5</f>
        <v>1</v>
      </c>
      <c r="I170" s="118" t="n">
        <f aca="false">'🤖 Command R+'!J5</f>
        <v>5</v>
      </c>
    </row>
    <row r="171" customFormat="false" ht="15.75" hidden="false" customHeight="false" outlineLevel="0" collapsed="false">
      <c r="A171" s="8"/>
      <c r="B171" s="8"/>
      <c r="C171" s="50"/>
      <c r="D171" s="8"/>
      <c r="E171" s="50"/>
      <c r="F171" s="50"/>
      <c r="G171" s="50"/>
      <c r="H171" s="50"/>
      <c r="I171" s="50"/>
    </row>
    <row r="172" customFormat="false" ht="15.75" hidden="false" customHeight="false" outlineLevel="0" collapsed="false">
      <c r="A172" s="116" t="str">
        <f aca="false">'🤖 Command R+'!$A$7</f>
        <v>https://www.berria.eus/kirola/derbi-bikoitza_2118881_102.html</v>
      </c>
      <c r="B172" s="3" t="s">
        <v>21</v>
      </c>
      <c r="C172" s="5" t="str">
        <f aca="false">'🤖 Command R+'!C7</f>
        <v>Base</v>
      </c>
      <c r="D172" s="144" t="n">
        <f aca="false">'🤖 Command R+'!E7</f>
        <v>0.7791666667</v>
      </c>
      <c r="E172" s="118" t="n">
        <f aca="false">'🤖 Command R+'!F7</f>
        <v>4</v>
      </c>
      <c r="F172" s="118" t="n">
        <f aca="false">'🤖 Command R+'!G7</f>
        <v>3</v>
      </c>
      <c r="G172" s="118" t="n">
        <f aca="false">'🤖 Command R+'!H7</f>
        <v>3</v>
      </c>
      <c r="H172" s="118" t="n">
        <f aca="false">'🤖 Command R+'!I7</f>
        <v>3</v>
      </c>
      <c r="I172" s="118" t="n">
        <f aca="false">'🤖 Command R+'!J7</f>
        <v>3</v>
      </c>
    </row>
    <row r="173" customFormat="false" ht="15.75" hidden="false" customHeight="false" outlineLevel="0" collapsed="false">
      <c r="A173" s="116" t="str">
        <f aca="false">'🤖 Command R+'!$A$7</f>
        <v>https://www.berria.eus/kirola/derbi-bikoitza_2118881_102.html</v>
      </c>
      <c r="B173" s="3" t="s">
        <v>21</v>
      </c>
      <c r="C173" s="5" t="str">
        <f aca="false">'🤖 Command R+'!C8</f>
        <v>CoT</v>
      </c>
      <c r="D173" s="140" t="n">
        <f aca="false">'🤖 Command R+'!E8</f>
        <v>0.3541666667</v>
      </c>
      <c r="E173" s="118" t="n">
        <f aca="false">'🤖 Command R+'!F8</f>
        <v>4</v>
      </c>
      <c r="F173" s="118" t="n">
        <f aca="false">'🤖 Command R+'!G8</f>
        <v>4</v>
      </c>
      <c r="G173" s="118" t="n">
        <f aca="false">'🤖 Command R+'!H8</f>
        <v>5</v>
      </c>
      <c r="H173" s="118" t="n">
        <f aca="false">'🤖 Command R+'!I8</f>
        <v>3</v>
      </c>
      <c r="I173" s="118" t="n">
        <f aca="false">'🤖 Command R+'!J8</f>
        <v>4</v>
      </c>
    </row>
    <row r="174" customFormat="false" ht="15.75" hidden="false" customHeight="false" outlineLevel="0" collapsed="false">
      <c r="A174" s="116" t="str">
        <f aca="false">'🤖 Command R+'!$A$7</f>
        <v>https://www.berria.eus/kirola/derbi-bikoitza_2118881_102.html</v>
      </c>
      <c r="B174" s="3" t="s">
        <v>21</v>
      </c>
      <c r="C174" s="5" t="str">
        <f aca="false">'🤖 Command R+'!C9</f>
        <v>5W1H</v>
      </c>
      <c r="D174" s="129" t="n">
        <f aca="false">'🤖 Command R+'!E9</f>
        <v>0.375</v>
      </c>
      <c r="E174" s="118" t="n">
        <f aca="false">'🤖 Command R+'!F9</f>
        <v>2</v>
      </c>
      <c r="F174" s="118" t="n">
        <f aca="false">'🤖 Command R+'!G9</f>
        <v>4</v>
      </c>
      <c r="G174" s="118" t="n">
        <f aca="false">'🤖 Command R+'!H9</f>
        <v>4</v>
      </c>
      <c r="H174" s="118" t="n">
        <f aca="false">'🤖 Command R+'!I9</f>
        <v>4</v>
      </c>
      <c r="I174" s="118" t="n">
        <f aca="false">'🤖 Command R+'!J9</f>
        <v>4</v>
      </c>
    </row>
    <row r="175" customFormat="false" ht="15.75" hidden="false" customHeight="false" outlineLevel="0" collapsed="false">
      <c r="A175" s="116" t="str">
        <f aca="false">'🤖 Command R+'!$A$7</f>
        <v>https://www.berria.eus/kirola/derbi-bikoitza_2118881_102.html</v>
      </c>
      <c r="B175" s="3" t="s">
        <v>21</v>
      </c>
      <c r="C175" s="5" t="str">
        <f aca="false">'🤖 Command R+'!C10</f>
        <v>tldr</v>
      </c>
      <c r="D175" s="125" t="n">
        <f aca="false">'🤖 Command R+'!E10</f>
        <v>0.5833333333</v>
      </c>
      <c r="E175" s="118" t="n">
        <f aca="false">'🤖 Command R+'!F10</f>
        <v>2</v>
      </c>
      <c r="F175" s="118" t="n">
        <f aca="false">'🤖 Command R+'!G10</f>
        <v>3</v>
      </c>
      <c r="G175" s="118" t="n">
        <f aca="false">'🤖 Command R+'!H10</f>
        <v>3</v>
      </c>
      <c r="H175" s="118" t="n">
        <f aca="false">'🤖 Command R+'!I10</f>
        <v>3</v>
      </c>
      <c r="I175" s="118" t="n">
        <f aca="false">'🤖 Command R+'!J10</f>
        <v>4</v>
      </c>
    </row>
    <row r="176" customFormat="false" ht="15.75" hidden="false" customHeight="false" outlineLevel="0" collapsed="false">
      <c r="A176" s="8"/>
      <c r="B176" s="8"/>
      <c r="C176" s="50"/>
      <c r="D176" s="8"/>
      <c r="E176" s="50"/>
      <c r="F176" s="50"/>
      <c r="G176" s="50"/>
      <c r="H176" s="50"/>
      <c r="I176" s="50"/>
    </row>
    <row r="177" customFormat="false" ht="15.75" hidden="false" customHeight="false" outlineLevel="0" collapsed="false">
      <c r="A177" s="116" t="str">
        <f aca="false">'🤖 Command R+'!$A$12</f>
        <v>https://www.berria.eus/kirola/berriro-etxean-sentitzeko_2117830_102.html</v>
      </c>
      <c r="B177" s="3" t="s">
        <v>21</v>
      </c>
      <c r="C177" s="5" t="str">
        <f aca="false">'🤖 Command R+'!C12</f>
        <v>Base</v>
      </c>
      <c r="D177" s="130" t="n">
        <f aca="false">'🤖 Command R+'!E12</f>
        <v>0.6109090909</v>
      </c>
      <c r="E177" s="118" t="n">
        <f aca="false">'🤖 Command R+'!F12</f>
        <v>5</v>
      </c>
      <c r="F177" s="118" t="n">
        <f aca="false">'🤖 Command R+'!G12</f>
        <v>2</v>
      </c>
      <c r="G177" s="118" t="n">
        <f aca="false">'🤖 Command R+'!H12</f>
        <v>1</v>
      </c>
      <c r="H177" s="118" t="n">
        <f aca="false">'🤖 Command R+'!I12</f>
        <v>2</v>
      </c>
      <c r="I177" s="118" t="n">
        <f aca="false">'🤖 Command R+'!J12</f>
        <v>4</v>
      </c>
    </row>
    <row r="178" customFormat="false" ht="15.75" hidden="false" customHeight="false" outlineLevel="0" collapsed="false">
      <c r="A178" s="116" t="str">
        <f aca="false">'🤖 Command R+'!$A$12</f>
        <v>https://www.berria.eus/kirola/berriro-etxean-sentitzeko_2117830_102.html</v>
      </c>
      <c r="B178" s="3" t="s">
        <v>21</v>
      </c>
      <c r="C178" s="5" t="str">
        <f aca="false">'🤖 Command R+'!C13</f>
        <v>CoT</v>
      </c>
      <c r="D178" s="130" t="n">
        <f aca="false">'🤖 Command R+'!E13</f>
        <v>0.2163636364</v>
      </c>
      <c r="E178" s="118" t="n">
        <f aca="false">'🤖 Command R+'!F13</f>
        <v>3</v>
      </c>
      <c r="F178" s="118" t="n">
        <f aca="false">'🤖 Command R+'!G13</f>
        <v>3</v>
      </c>
      <c r="G178" s="118" t="n">
        <f aca="false">'🤖 Command R+'!H13</f>
        <v>3</v>
      </c>
      <c r="H178" s="118" t="n">
        <f aca="false">'🤖 Command R+'!I13</f>
        <v>3</v>
      </c>
      <c r="I178" s="118" t="n">
        <f aca="false">'🤖 Command R+'!J13</f>
        <v>3</v>
      </c>
    </row>
    <row r="179" customFormat="false" ht="15.75" hidden="false" customHeight="false" outlineLevel="0" collapsed="false">
      <c r="A179" s="116" t="str">
        <f aca="false">'🤖 Command R+'!$A$12</f>
        <v>https://www.berria.eus/kirola/berriro-etxean-sentitzeko_2117830_102.html</v>
      </c>
      <c r="B179" s="3" t="s">
        <v>21</v>
      </c>
      <c r="C179" s="5" t="str">
        <f aca="false">'🤖 Command R+'!C14</f>
        <v>5W1H</v>
      </c>
      <c r="D179" s="126" t="n">
        <f aca="false">'🤖 Command R+'!E14</f>
        <v>0.2145454545</v>
      </c>
      <c r="E179" s="118" t="n">
        <f aca="false">'🤖 Command R+'!F14</f>
        <v>2</v>
      </c>
      <c r="F179" s="118" t="n">
        <f aca="false">'🤖 Command R+'!G14</f>
        <v>3</v>
      </c>
      <c r="G179" s="118" t="n">
        <f aca="false">'🤖 Command R+'!H14</f>
        <v>3</v>
      </c>
      <c r="H179" s="118" t="n">
        <f aca="false">'🤖 Command R+'!I14</f>
        <v>3</v>
      </c>
      <c r="I179" s="118" t="n">
        <f aca="false">'🤖 Command R+'!J14</f>
        <v>5</v>
      </c>
    </row>
    <row r="180" customFormat="false" ht="15.75" hidden="false" customHeight="false" outlineLevel="0" collapsed="false">
      <c r="A180" s="116" t="str">
        <f aca="false">'🤖 Command R+'!$A$12</f>
        <v>https://www.berria.eus/kirola/berriro-etxean-sentitzeko_2117830_102.html</v>
      </c>
      <c r="B180" s="3" t="s">
        <v>21</v>
      </c>
      <c r="C180" s="5" t="str">
        <f aca="false">'🤖 Command R+'!C15</f>
        <v>tldr</v>
      </c>
      <c r="D180" s="145" t="n">
        <f aca="false">'🤖 Command R+'!E15</f>
        <v>0.7490909091</v>
      </c>
      <c r="E180" s="118" t="n">
        <f aca="false">'🤖 Command R+'!F15</f>
        <v>5</v>
      </c>
      <c r="F180" s="118" t="n">
        <f aca="false">'🤖 Command R+'!G15</f>
        <v>3</v>
      </c>
      <c r="G180" s="118" t="n">
        <f aca="false">'🤖 Command R+'!H15</f>
        <v>1</v>
      </c>
      <c r="H180" s="118" t="n">
        <f aca="false">'🤖 Command R+'!I15</f>
        <v>3</v>
      </c>
      <c r="I180" s="118" t="n">
        <f aca="false">'🤖 Command R+'!J15</f>
        <v>4</v>
      </c>
    </row>
    <row r="181" customFormat="false" ht="15.75" hidden="false" customHeight="false" outlineLevel="0" collapsed="false">
      <c r="A181" s="8"/>
      <c r="B181" s="8"/>
      <c r="C181" s="50"/>
      <c r="D181" s="8"/>
      <c r="E181" s="50"/>
      <c r="F181" s="50"/>
      <c r="G181" s="50"/>
      <c r="H181" s="50"/>
      <c r="I181" s="50"/>
    </row>
    <row r="182" customFormat="false" ht="15.75" hidden="false" customHeight="false" outlineLevel="0" collapsed="false">
      <c r="A182" s="116" t="str">
        <f aca="false">'🤖 Command R+'!$A$17</f>
        <v>https://www.berria.eus/komunikazioa/generacion-porno-dokumental-saioa-egin-dute-etbk-eta-tv3ek_1341518_102.html</v>
      </c>
      <c r="B182" s="3" t="s">
        <v>21</v>
      </c>
      <c r="C182" s="5" t="str">
        <f aca="false">'🤖 Command R+'!C17</f>
        <v>Base</v>
      </c>
      <c r="D182" s="146" t="n">
        <f aca="false">'🤖 Command R+'!E17</f>
        <v>0.6451612903</v>
      </c>
      <c r="E182" s="118" t="n">
        <f aca="false">'🤖 Command R+'!F17</f>
        <v>4</v>
      </c>
      <c r="F182" s="118" t="n">
        <f aca="false">'🤖 Command R+'!G17</f>
        <v>4</v>
      </c>
      <c r="G182" s="118" t="n">
        <f aca="false">'🤖 Command R+'!H17</f>
        <v>4</v>
      </c>
      <c r="H182" s="118" t="n">
        <f aca="false">'🤖 Command R+'!I17</f>
        <v>4</v>
      </c>
      <c r="I182" s="118" t="n">
        <f aca="false">'🤖 Command R+'!J17</f>
        <v>5</v>
      </c>
    </row>
    <row r="183" customFormat="false" ht="15.75" hidden="false" customHeight="false" outlineLevel="0" collapsed="false">
      <c r="A183" s="116" t="str">
        <f aca="false">'🤖 Command R+'!$A$17</f>
        <v>https://www.berria.eus/komunikazioa/generacion-porno-dokumental-saioa-egin-dute-etbk-eta-tv3ek_1341518_102.html</v>
      </c>
      <c r="B183" s="3" t="s">
        <v>21</v>
      </c>
      <c r="C183" s="5" t="str">
        <f aca="false">'🤖 Command R+'!C18</f>
        <v>CoT</v>
      </c>
      <c r="D183" s="147" t="n">
        <f aca="false">'🤖 Command R+'!E18</f>
        <v>0.3313782991</v>
      </c>
      <c r="E183" s="118" t="n">
        <f aca="false">'🤖 Command R+'!F18</f>
        <v>2</v>
      </c>
      <c r="F183" s="118" t="n">
        <f aca="false">'🤖 Command R+'!G18</f>
        <v>4</v>
      </c>
      <c r="G183" s="118" t="n">
        <f aca="false">'🤖 Command R+'!H18</f>
        <v>4</v>
      </c>
      <c r="H183" s="118" t="n">
        <f aca="false">'🤖 Command R+'!I18</f>
        <v>2</v>
      </c>
      <c r="I183" s="118" t="n">
        <f aca="false">'🤖 Command R+'!J18</f>
        <v>2</v>
      </c>
    </row>
    <row r="184" customFormat="false" ht="15.75" hidden="false" customHeight="false" outlineLevel="0" collapsed="false">
      <c r="A184" s="116" t="str">
        <f aca="false">'🤖 Command R+'!$A$17</f>
        <v>https://www.berria.eus/komunikazioa/generacion-porno-dokumental-saioa-egin-dute-etbk-eta-tv3ek_1341518_102.html</v>
      </c>
      <c r="B184" s="3" t="s">
        <v>21</v>
      </c>
      <c r="C184" s="5" t="str">
        <f aca="false">'🤖 Command R+'!C19</f>
        <v>5W1H</v>
      </c>
      <c r="D184" s="133" t="n">
        <f aca="false">'🤖 Command R+'!E19</f>
        <v>0.5659824047</v>
      </c>
      <c r="E184" s="118" t="n">
        <f aca="false">'🤖 Command R+'!F19</f>
        <v>1</v>
      </c>
      <c r="F184" s="118" t="n">
        <f aca="false">'🤖 Command R+'!G19</f>
        <v>4</v>
      </c>
      <c r="G184" s="118" t="n">
        <f aca="false">'🤖 Command R+'!H19</f>
        <v>3</v>
      </c>
      <c r="H184" s="118" t="n">
        <f aca="false">'🤖 Command R+'!I19</f>
        <v>4</v>
      </c>
      <c r="I184" s="118" t="n">
        <f aca="false">'🤖 Command R+'!J19</f>
        <v>5</v>
      </c>
    </row>
    <row r="185" customFormat="false" ht="15.75" hidden="false" customHeight="false" outlineLevel="0" collapsed="false">
      <c r="A185" s="116" t="str">
        <f aca="false">'🤖 Command R+'!$A$17</f>
        <v>https://www.berria.eus/komunikazioa/generacion-porno-dokumental-saioa-egin-dute-etbk-eta-tv3ek_1341518_102.html</v>
      </c>
      <c r="B185" s="3" t="s">
        <v>21</v>
      </c>
      <c r="C185" s="5" t="str">
        <f aca="false">'🤖 Command R+'!C20</f>
        <v>tldr</v>
      </c>
      <c r="D185" s="148" t="n">
        <f aca="false">'🤖 Command R+'!E20</f>
        <v>1.052785924</v>
      </c>
      <c r="E185" s="118" t="n">
        <f aca="false">'🤖 Command R+'!F20</f>
        <v>5</v>
      </c>
      <c r="F185" s="118" t="n">
        <f aca="false">'🤖 Command R+'!G20</f>
        <v>4</v>
      </c>
      <c r="G185" s="118" t="n">
        <f aca="false">'🤖 Command R+'!H20</f>
        <v>1</v>
      </c>
      <c r="H185" s="118" t="n">
        <f aca="false">'🤖 Command R+'!I20</f>
        <v>1</v>
      </c>
      <c r="I185" s="118" t="n">
        <f aca="false">'🤖 Command R+'!J20</f>
        <v>5</v>
      </c>
    </row>
    <row r="186" customFormat="false" ht="15.75" hidden="false" customHeight="false" outlineLevel="0" collapsed="false">
      <c r="A186" s="8"/>
      <c r="B186" s="8"/>
      <c r="C186" s="50"/>
      <c r="D186" s="8"/>
      <c r="E186" s="50"/>
      <c r="F186" s="50"/>
      <c r="G186" s="50"/>
      <c r="H186" s="50"/>
      <c r="I186" s="50"/>
    </row>
    <row r="187" customFormat="false" ht="15.75" hidden="false" customHeight="false" outlineLevel="0" collapsed="false">
      <c r="A187" s="116" t="str">
        <f aca="false">'🤖 Command R+'!$A$22</f>
        <v>https://www.berria.eus/kirola/artolak-nagusitasunez-irabazi-dio-zabaleri_2124679_102.html</v>
      </c>
      <c r="B187" s="3" t="s">
        <v>21</v>
      </c>
      <c r="C187" s="5" t="str">
        <f aca="false">'🤖 Command R+'!C22</f>
        <v>Base</v>
      </c>
      <c r="D187" s="131" t="n">
        <f aca="false">'🤖 Command R+'!E22</f>
        <v>0.5050251256</v>
      </c>
      <c r="E187" s="118" t="n">
        <f aca="false">'🤖 Command R+'!F22</f>
        <v>4</v>
      </c>
      <c r="F187" s="118" t="n">
        <f aca="false">'🤖 Command R+'!G22</f>
        <v>4</v>
      </c>
      <c r="G187" s="118" t="n">
        <f aca="false">'🤖 Command R+'!H22</f>
        <v>3</v>
      </c>
      <c r="H187" s="118" t="n">
        <f aca="false">'🤖 Command R+'!I22</f>
        <v>4</v>
      </c>
      <c r="I187" s="118" t="n">
        <f aca="false">'🤖 Command R+'!J22</f>
        <v>5</v>
      </c>
    </row>
    <row r="188" customFormat="false" ht="15.75" hidden="false" customHeight="false" outlineLevel="0" collapsed="false">
      <c r="A188" s="116" t="str">
        <f aca="false">'🤖 Command R+'!$A$22</f>
        <v>https://www.berria.eus/kirola/artolak-nagusitasunez-irabazi-dio-zabaleri_2124679_102.html</v>
      </c>
      <c r="B188" s="3" t="s">
        <v>21</v>
      </c>
      <c r="C188" s="5" t="str">
        <f aca="false">'🤖 Command R+'!C23</f>
        <v>CoT</v>
      </c>
      <c r="D188" s="137" t="n">
        <f aca="false">'🤖 Command R+'!E23</f>
        <v>0.472361809</v>
      </c>
      <c r="E188" s="118" t="n">
        <f aca="false">'🤖 Command R+'!F23</f>
        <v>2</v>
      </c>
      <c r="F188" s="118" t="n">
        <f aca="false">'🤖 Command R+'!G23</f>
        <v>4</v>
      </c>
      <c r="G188" s="118" t="n">
        <f aca="false">'🤖 Command R+'!H23</f>
        <v>2</v>
      </c>
      <c r="H188" s="118" t="n">
        <f aca="false">'🤖 Command R+'!I23</f>
        <v>3</v>
      </c>
      <c r="I188" s="118" t="n">
        <f aca="false">'🤖 Command R+'!J23</f>
        <v>3</v>
      </c>
    </row>
    <row r="189" customFormat="false" ht="15.75" hidden="false" customHeight="false" outlineLevel="0" collapsed="false">
      <c r="A189" s="116" t="str">
        <f aca="false">'🤖 Command R+'!$A$22</f>
        <v>https://www.berria.eus/kirola/artolak-nagusitasunez-irabazi-dio-zabaleri_2124679_102.html</v>
      </c>
      <c r="B189" s="3" t="s">
        <v>21</v>
      </c>
      <c r="C189" s="5" t="str">
        <f aca="false">'🤖 Command R+'!C24</f>
        <v>5W1H</v>
      </c>
      <c r="D189" s="149" t="n">
        <f aca="false">'🤖 Command R+'!E24</f>
        <v>0.2412060302</v>
      </c>
      <c r="E189" s="118" t="n">
        <f aca="false">'🤖 Command R+'!F24</f>
        <v>2</v>
      </c>
      <c r="F189" s="118" t="n">
        <f aca="false">'🤖 Command R+'!G24</f>
        <v>4</v>
      </c>
      <c r="G189" s="118" t="n">
        <f aca="false">'🤖 Command R+'!H24</f>
        <v>3</v>
      </c>
      <c r="H189" s="118" t="n">
        <f aca="false">'🤖 Command R+'!I24</f>
        <v>4</v>
      </c>
      <c r="I189" s="118" t="n">
        <f aca="false">'🤖 Command R+'!J24</f>
        <v>4</v>
      </c>
    </row>
    <row r="190" customFormat="false" ht="15.75" hidden="false" customHeight="false" outlineLevel="0" collapsed="false">
      <c r="A190" s="116" t="str">
        <f aca="false">'🤖 Command R+'!$A$22</f>
        <v>https://www.berria.eus/kirola/artolak-nagusitasunez-irabazi-dio-zabaleri_2124679_102.html</v>
      </c>
      <c r="B190" s="3" t="s">
        <v>21</v>
      </c>
      <c r="C190" s="5" t="str">
        <f aca="false">'🤖 Command R+'!C25</f>
        <v>tldr</v>
      </c>
      <c r="D190" s="124" t="n">
        <f aca="false">'🤖 Command R+'!E25</f>
        <v>0.09547738693</v>
      </c>
      <c r="E190" s="118" t="n">
        <f aca="false">'🤖 Command R+'!F25</f>
        <v>3</v>
      </c>
      <c r="F190" s="118" t="n">
        <f aca="false">'🤖 Command R+'!G25</f>
        <v>3</v>
      </c>
      <c r="G190" s="118" t="n">
        <f aca="false">'🤖 Command R+'!H25</f>
        <v>3</v>
      </c>
      <c r="H190" s="118" t="n">
        <f aca="false">'🤖 Command R+'!I25</f>
        <v>5</v>
      </c>
      <c r="I190" s="118" t="n">
        <f aca="false">'🤖 Command R+'!J25</f>
        <v>3</v>
      </c>
    </row>
    <row r="191" customFormat="false" ht="15.75" hidden="false" customHeight="false" outlineLevel="0" collapsed="false">
      <c r="A191" s="8"/>
      <c r="B191" s="8"/>
      <c r="C191" s="50"/>
      <c r="D191" s="8"/>
      <c r="E191" s="50"/>
      <c r="F191" s="50"/>
      <c r="G191" s="50"/>
      <c r="H191" s="50"/>
      <c r="I191" s="50"/>
    </row>
    <row r="192" customFormat="false" ht="15.75" hidden="false" customHeight="false" outlineLevel="0" collapsed="false">
      <c r="A192" s="116" t="str">
        <f aca="false">'🤖 Command R+'!$A$27</f>
        <v>https://www.berria.eus/mundua/gutxienez-40-hildako-eta-dozenaka-zauritu-moskun-gertatutako-tiroketa-batean_2122731_102.html</v>
      </c>
      <c r="B192" s="3" t="s">
        <v>21</v>
      </c>
      <c r="C192" s="5" t="str">
        <f aca="false">'🤖 Command R+'!C27</f>
        <v>Base</v>
      </c>
      <c r="D192" s="146" t="n">
        <f aca="false">'🤖 Command R+'!E27</f>
        <v>0.3343108504</v>
      </c>
      <c r="E192" s="118" t="n">
        <f aca="false">'🤖 Command R+'!F27</f>
        <v>3</v>
      </c>
      <c r="F192" s="118" t="n">
        <f aca="false">'🤖 Command R+'!G27</f>
        <v>4</v>
      </c>
      <c r="G192" s="118" t="n">
        <f aca="false">'🤖 Command R+'!H27</f>
        <v>3</v>
      </c>
      <c r="H192" s="118" t="n">
        <f aca="false">'🤖 Command R+'!I27</f>
        <v>4</v>
      </c>
      <c r="I192" s="118" t="n">
        <f aca="false">'🤖 Command R+'!J27</f>
        <v>4</v>
      </c>
      <c r="J192" s="10" t="n">
        <f aca="false">VLOOKUP(B192,__lookup__!A:B,2,FALSE())</f>
        <v>2</v>
      </c>
      <c r="K192" s="10" t="n">
        <f aca="false">VLOOKUP(C192,__lookup__!A:B,2,FALSE())</f>
        <v>10</v>
      </c>
    </row>
    <row r="193" customFormat="false" ht="15.75" hidden="false" customHeight="false" outlineLevel="0" collapsed="false">
      <c r="A193" s="116" t="str">
        <f aca="false">'🤖 Command R+'!$A$27</f>
        <v>https://www.berria.eus/mundua/gutxienez-40-hildako-eta-dozenaka-zauritu-moskun-gertatutako-tiroketa-batean_2122731_102.html</v>
      </c>
      <c r="B193" s="3" t="s">
        <v>21</v>
      </c>
      <c r="C193" s="5" t="str">
        <f aca="false">'🤖 Command R+'!C28</f>
        <v>CoT</v>
      </c>
      <c r="D193" s="150" t="n">
        <f aca="false">'🤖 Command R+'!E28</f>
        <v>0.1055718475</v>
      </c>
      <c r="E193" s="118" t="n">
        <f aca="false">'🤖 Command R+'!F28</f>
        <v>2</v>
      </c>
      <c r="F193" s="118" t="n">
        <f aca="false">'🤖 Command R+'!G28</f>
        <v>5</v>
      </c>
      <c r="G193" s="118" t="n">
        <f aca="false">'🤖 Command R+'!H28</f>
        <v>4</v>
      </c>
      <c r="H193" s="118" t="n">
        <f aca="false">'🤖 Command R+'!I28</f>
        <v>4</v>
      </c>
      <c r="I193" s="118" t="n">
        <f aca="false">'🤖 Command R+'!J28</f>
        <v>4</v>
      </c>
    </row>
    <row r="194" customFormat="false" ht="15.75" hidden="false" customHeight="false" outlineLevel="0" collapsed="false">
      <c r="A194" s="116" t="str">
        <f aca="false">'🤖 Command R+'!$A$27</f>
        <v>https://www.berria.eus/mundua/gutxienez-40-hildako-eta-dozenaka-zauritu-moskun-gertatutako-tiroketa-batean_2122731_102.html</v>
      </c>
      <c r="B194" s="3" t="s">
        <v>21</v>
      </c>
      <c r="C194" s="5" t="str">
        <f aca="false">'🤖 Command R+'!C29</f>
        <v>5W1H</v>
      </c>
      <c r="D194" s="133" t="n">
        <f aca="false">'🤖 Command R+'!E29</f>
        <v>0.5073313783</v>
      </c>
      <c r="E194" s="118" t="n">
        <f aca="false">'🤖 Command R+'!F29</f>
        <v>2</v>
      </c>
      <c r="F194" s="118" t="n">
        <f aca="false">'🤖 Command R+'!G29</f>
        <v>3</v>
      </c>
      <c r="G194" s="118" t="n">
        <f aca="false">'🤖 Command R+'!H29</f>
        <v>3</v>
      </c>
      <c r="H194" s="118" t="n">
        <f aca="false">'🤖 Command R+'!I29</f>
        <v>4</v>
      </c>
      <c r="I194" s="118" t="n">
        <f aca="false">'🤖 Command R+'!J29</f>
        <v>5</v>
      </c>
    </row>
    <row r="195" customFormat="false" ht="15.75" hidden="false" customHeight="false" outlineLevel="0" collapsed="false">
      <c r="A195" s="116" t="str">
        <f aca="false">'🤖 Command R+'!$A$27</f>
        <v>https://www.berria.eus/mundua/gutxienez-40-hildako-eta-dozenaka-zauritu-moskun-gertatutako-tiroketa-batean_2122731_102.html</v>
      </c>
      <c r="B195" s="3" t="s">
        <v>21</v>
      </c>
      <c r="C195" s="5" t="str">
        <f aca="false">'🤖 Command R+'!C30</f>
        <v>tldr</v>
      </c>
      <c r="D195" s="151" t="n">
        <f aca="false">'🤖 Command R+'!E30</f>
        <v>0.6363636364</v>
      </c>
      <c r="E195" s="118" t="n">
        <f aca="false">'🤖 Command R+'!F30</f>
        <v>3</v>
      </c>
      <c r="F195" s="118" t="n">
        <f aca="false">'🤖 Command R+'!G30</f>
        <v>4</v>
      </c>
      <c r="G195" s="118" t="n">
        <f aca="false">'🤖 Command R+'!H30</f>
        <v>4</v>
      </c>
      <c r="H195" s="118" t="n">
        <f aca="false">'🤖 Command R+'!I30</f>
        <v>3</v>
      </c>
      <c r="I195" s="118" t="n">
        <f aca="false">'🤖 Command R+'!J30</f>
        <v>5</v>
      </c>
    </row>
    <row r="196" customFormat="false" ht="15.75" hidden="false" customHeight="false" outlineLevel="0" collapsed="false">
      <c r="A196" s="8"/>
      <c r="B196" s="8"/>
      <c r="C196" s="50"/>
      <c r="D196" s="8"/>
      <c r="E196" s="50"/>
      <c r="F196" s="50"/>
      <c r="G196" s="50"/>
      <c r="H196" s="50"/>
      <c r="I196" s="50"/>
    </row>
    <row r="197" customFormat="false" ht="15.75" hidden="false" customHeight="false" outlineLevel="0" collapsed="false">
      <c r="A197" s="116" t="str">
        <f aca="false">'🤖 Command R+'!$A$32</f>
        <v>https://www.berria.eus/bizigiro/ohartu-behar-dugu-bizi-garen-jendartea-dominazioaren-kultura-batean-oinarritzen-dela_2121952_102.html</v>
      </c>
      <c r="B197" s="3" t="s">
        <v>21</v>
      </c>
      <c r="C197" s="5" t="str">
        <f aca="false">'🤖 Command R+'!C32</f>
        <v>Base</v>
      </c>
      <c r="D197" s="152" t="n">
        <f aca="false">'🤖 Command R+'!E32</f>
        <v>0.3771331058</v>
      </c>
      <c r="E197" s="118" t="n">
        <f aca="false">'🤖 Command R+'!F32</f>
        <v>2</v>
      </c>
      <c r="F197" s="118" t="n">
        <f aca="false">'🤖 Command R+'!G32</f>
        <v>3</v>
      </c>
      <c r="G197" s="118" t="n">
        <f aca="false">'🤖 Command R+'!H32</f>
        <v>3</v>
      </c>
      <c r="H197" s="118" t="n">
        <f aca="false">'🤖 Command R+'!I32</f>
        <v>3</v>
      </c>
      <c r="I197" s="118" t="n">
        <f aca="false">'🤖 Command R+'!J32</f>
        <v>3</v>
      </c>
    </row>
    <row r="198" customFormat="false" ht="15.75" hidden="false" customHeight="false" outlineLevel="0" collapsed="false">
      <c r="A198" s="116" t="str">
        <f aca="false">'🤖 Command R+'!$A$32</f>
        <v>https://www.berria.eus/bizigiro/ohartu-behar-dugu-bizi-garen-jendartea-dominazioaren-kultura-batean-oinarritzen-dela_2121952_102.html</v>
      </c>
      <c r="B198" s="3" t="s">
        <v>21</v>
      </c>
      <c r="C198" s="5" t="str">
        <f aca="false">'🤖 Command R+'!C33</f>
        <v>CoT</v>
      </c>
      <c r="D198" s="153" t="n">
        <f aca="false">'🤖 Command R+'!E33</f>
        <v>0.09726962457</v>
      </c>
      <c r="E198" s="118" t="n">
        <f aca="false">'🤖 Command R+'!F33</f>
        <v>3</v>
      </c>
      <c r="F198" s="118" t="n">
        <f aca="false">'🤖 Command R+'!G33</f>
        <v>5</v>
      </c>
      <c r="G198" s="118" t="n">
        <f aca="false">'🤖 Command R+'!H33</f>
        <v>5</v>
      </c>
      <c r="H198" s="118" t="n">
        <f aca="false">'🤖 Command R+'!I33</f>
        <v>3</v>
      </c>
      <c r="I198" s="118" t="n">
        <f aca="false">'🤖 Command R+'!J33</f>
        <v>2</v>
      </c>
    </row>
    <row r="199" customFormat="false" ht="15.75" hidden="false" customHeight="false" outlineLevel="0" collapsed="false">
      <c r="A199" s="116" t="str">
        <f aca="false">'🤖 Command R+'!$A$32</f>
        <v>https://www.berria.eus/bizigiro/ohartu-behar-dugu-bizi-garen-jendartea-dominazioaren-kultura-batean-oinarritzen-dela_2121952_102.html</v>
      </c>
      <c r="B199" s="3" t="s">
        <v>21</v>
      </c>
      <c r="C199" s="5" t="str">
        <f aca="false">'🤖 Command R+'!C34</f>
        <v>5W1H</v>
      </c>
      <c r="D199" s="154" t="n">
        <f aca="false">'🤖 Command R+'!E34</f>
        <v>0.4027303754</v>
      </c>
      <c r="E199" s="118" t="n">
        <f aca="false">'🤖 Command R+'!F34</f>
        <v>2</v>
      </c>
      <c r="F199" s="118" t="n">
        <f aca="false">'🤖 Command R+'!G34</f>
        <v>3</v>
      </c>
      <c r="G199" s="118" t="n">
        <f aca="false">'🤖 Command R+'!H34</f>
        <v>3</v>
      </c>
      <c r="H199" s="118" t="n">
        <f aca="false">'🤖 Command R+'!I34</f>
        <v>3</v>
      </c>
      <c r="I199" s="118" t="n">
        <f aca="false">'🤖 Command R+'!J34</f>
        <v>5</v>
      </c>
    </row>
    <row r="200" customFormat="false" ht="15.75" hidden="false" customHeight="false" outlineLevel="0" collapsed="false">
      <c r="A200" s="116" t="str">
        <f aca="false">'🤖 Command R+'!$A$32</f>
        <v>https://www.berria.eus/bizigiro/ohartu-behar-dugu-bizi-garen-jendartea-dominazioaren-kultura-batean-oinarritzen-dela_2121952_102.html</v>
      </c>
      <c r="B200" s="3" t="s">
        <v>21</v>
      </c>
      <c r="C200" s="5" t="str">
        <f aca="false">'🤖 Command R+'!C35</f>
        <v>tldr</v>
      </c>
      <c r="D200" s="155" t="n">
        <f aca="false">'🤖 Command R+'!E35</f>
        <v>0.2883959044</v>
      </c>
      <c r="E200" s="118" t="n">
        <f aca="false">'🤖 Command R+'!F35</f>
        <v>3</v>
      </c>
      <c r="F200" s="118" t="n">
        <f aca="false">'🤖 Command R+'!G35</f>
        <v>3</v>
      </c>
      <c r="G200" s="118" t="n">
        <f aca="false">'🤖 Command R+'!H35</f>
        <v>3</v>
      </c>
      <c r="H200" s="118" t="n">
        <f aca="false">'🤖 Command R+'!I35</f>
        <v>4</v>
      </c>
      <c r="I200" s="118" t="n">
        <f aca="false">'🤖 Command R+'!J35</f>
        <v>4</v>
      </c>
    </row>
    <row r="201" customFormat="false" ht="15.75" hidden="false" customHeight="false" outlineLevel="0" collapsed="false">
      <c r="A201" s="8"/>
      <c r="B201" s="8"/>
      <c r="C201" s="50"/>
      <c r="D201" s="8"/>
      <c r="E201" s="50"/>
      <c r="F201" s="50"/>
      <c r="G201" s="50"/>
      <c r="H201" s="50"/>
      <c r="I201" s="50"/>
    </row>
    <row r="202" customFormat="false" ht="15.75" hidden="false" customHeight="false" outlineLevel="0" collapsed="false">
      <c r="A202" s="116" t="str">
        <f aca="false">'🤖 Command R+'!$A$37</f>
        <v>https://www.berria.eus/ekonomia/energiaren-euskal-erakundea-energia-konpainien-zergaren-aurka_234607_102.html</v>
      </c>
      <c r="B202" s="3" t="s">
        <v>21</v>
      </c>
      <c r="C202" s="5" t="str">
        <f aca="false">'🤖 Command R+'!C37</f>
        <v>Base</v>
      </c>
      <c r="D202" s="121" t="n">
        <f aca="false">'🤖 Command R+'!E37</f>
        <v>0.691689008</v>
      </c>
      <c r="E202" s="118" t="n">
        <f aca="false">'🤖 Command R+'!F37</f>
        <v>2</v>
      </c>
      <c r="F202" s="118" t="n">
        <f aca="false">'🤖 Command R+'!G37</f>
        <v>3</v>
      </c>
      <c r="G202" s="118" t="n">
        <f aca="false">'🤖 Command R+'!H37</f>
        <v>3</v>
      </c>
      <c r="H202" s="118" t="n">
        <f aca="false">'🤖 Command R+'!I37</f>
        <v>4</v>
      </c>
      <c r="I202" s="118" t="n">
        <f aca="false">'🤖 Command R+'!J37</f>
        <v>5</v>
      </c>
    </row>
    <row r="203" customFormat="false" ht="15.75" hidden="false" customHeight="false" outlineLevel="0" collapsed="false">
      <c r="A203" s="116" t="str">
        <f aca="false">'🤖 Command R+'!$A$37</f>
        <v>https://www.berria.eus/ekonomia/energiaren-euskal-erakundea-energia-konpainien-zergaren-aurka_234607_102.html</v>
      </c>
      <c r="B203" s="3" t="s">
        <v>21</v>
      </c>
      <c r="C203" s="5" t="str">
        <f aca="false">'🤖 Command R+'!C38</f>
        <v>CoT</v>
      </c>
      <c r="D203" s="123" t="n">
        <f aca="false">'🤖 Command R+'!E38</f>
        <v>0.1983914209</v>
      </c>
      <c r="E203" s="118" t="n">
        <f aca="false">'🤖 Command R+'!F38</f>
        <v>2</v>
      </c>
      <c r="F203" s="118" t="n">
        <f aca="false">'🤖 Command R+'!G38</f>
        <v>5</v>
      </c>
      <c r="G203" s="118" t="n">
        <f aca="false">'🤖 Command R+'!H38</f>
        <v>4</v>
      </c>
      <c r="H203" s="118" t="n">
        <f aca="false">'🤖 Command R+'!I38</f>
        <v>3</v>
      </c>
      <c r="I203" s="118" t="n">
        <f aca="false">'🤖 Command R+'!J38</f>
        <v>2</v>
      </c>
    </row>
    <row r="204" customFormat="false" ht="15.75" hidden="false" customHeight="false" outlineLevel="0" collapsed="false">
      <c r="A204" s="116" t="str">
        <f aca="false">'🤖 Command R+'!$A$37</f>
        <v>https://www.berria.eus/ekonomia/energiaren-euskal-erakundea-energia-konpainien-zergaren-aurka_234607_102.html</v>
      </c>
      <c r="B204" s="3" t="s">
        <v>21</v>
      </c>
      <c r="C204" s="5" t="str">
        <f aca="false">'🤖 Command R+'!C39</f>
        <v>5W1H</v>
      </c>
      <c r="D204" s="121" t="n">
        <f aca="false">'🤖 Command R+'!E39</f>
        <v>0.581769437</v>
      </c>
      <c r="E204" s="118" t="n">
        <f aca="false">'🤖 Command R+'!F39</f>
        <v>2</v>
      </c>
      <c r="F204" s="118" t="n">
        <f aca="false">'🤖 Command R+'!G39</f>
        <v>4</v>
      </c>
      <c r="G204" s="118" t="n">
        <f aca="false">'🤖 Command R+'!H39</f>
        <v>3</v>
      </c>
      <c r="H204" s="118" t="n">
        <f aca="false">'🤖 Command R+'!I39</f>
        <v>4</v>
      </c>
      <c r="I204" s="118" t="n">
        <f aca="false">'🤖 Command R+'!J39</f>
        <v>5</v>
      </c>
    </row>
    <row r="205" customFormat="false" ht="15.75" hidden="false" customHeight="false" outlineLevel="0" collapsed="false">
      <c r="A205" s="116" t="str">
        <f aca="false">'🤖 Command R+'!$A$37</f>
        <v>https://www.berria.eus/ekonomia/energiaren-euskal-erakundea-energia-konpainien-zergaren-aurka_234607_102.html</v>
      </c>
      <c r="B205" s="3" t="s">
        <v>21</v>
      </c>
      <c r="C205" s="5" t="str">
        <f aca="false">'🤖 Command R+'!C40</f>
        <v>tldr</v>
      </c>
      <c r="D205" s="156" t="n">
        <f aca="false">'🤖 Command R+'!E40</f>
        <v>1.297587131</v>
      </c>
      <c r="E205" s="118" t="n">
        <f aca="false">'🤖 Command R+'!F40</f>
        <v>5</v>
      </c>
      <c r="F205" s="118" t="n">
        <f aca="false">'🤖 Command R+'!G40</f>
        <v>4</v>
      </c>
      <c r="G205" s="118" t="n">
        <f aca="false">'🤖 Command R+'!H40</f>
        <v>1</v>
      </c>
      <c r="H205" s="118" t="n">
        <f aca="false">'🤖 Command R+'!I40</f>
        <v>1</v>
      </c>
      <c r="I205" s="118" t="n">
        <f aca="false">'🤖 Command R+'!J40</f>
        <v>5</v>
      </c>
    </row>
    <row r="206" customFormat="false" ht="15.75" hidden="false" customHeight="false" outlineLevel="0" collapsed="false">
      <c r="A206" s="8"/>
      <c r="B206" s="8"/>
      <c r="C206" s="50"/>
      <c r="D206" s="8"/>
      <c r="E206" s="50"/>
      <c r="F206" s="50"/>
      <c r="G206" s="50"/>
      <c r="H206" s="50"/>
      <c r="I206" s="50"/>
    </row>
    <row r="207" customFormat="false" ht="15.75" hidden="false" customHeight="false" outlineLevel="0" collapsed="false">
      <c r="A207" s="116" t="str">
        <f aca="false">'🤖 Command R+'!$A$42</f>
        <v>https://www.berria.eus/kultura/benat-arrutik-irabazi-du-donostia-kultura-vii-poesia-lehiaketa_2122642_102.html</v>
      </c>
      <c r="B207" s="3" t="s">
        <v>21</v>
      </c>
      <c r="C207" s="5" t="str">
        <f aca="false">'🤖 Command R+'!C42</f>
        <v>Base</v>
      </c>
      <c r="D207" s="157" t="n">
        <f aca="false">'🤖 Command R+'!E42</f>
        <v>0.9433962264</v>
      </c>
      <c r="E207" s="118" t="n">
        <f aca="false">'🤖 Command R+'!F42</f>
        <v>4</v>
      </c>
      <c r="F207" s="118" t="n">
        <f aca="false">'🤖 Command R+'!G42</f>
        <v>4</v>
      </c>
      <c r="G207" s="118" t="n">
        <f aca="false">'🤖 Command R+'!H42</f>
        <v>3</v>
      </c>
      <c r="H207" s="118" t="n">
        <f aca="false">'🤖 Command R+'!I42</f>
        <v>3</v>
      </c>
      <c r="I207" s="118" t="n">
        <f aca="false">'🤖 Command R+'!J42</f>
        <v>5</v>
      </c>
    </row>
    <row r="208" customFormat="false" ht="15.75" hidden="false" customHeight="false" outlineLevel="0" collapsed="false">
      <c r="A208" s="116" t="str">
        <f aca="false">'🤖 Command R+'!$A$42</f>
        <v>https://www.berria.eus/kultura/benat-arrutik-irabazi-du-donostia-kultura-vii-poesia-lehiaketa_2122642_102.html</v>
      </c>
      <c r="B208" s="3" t="s">
        <v>21</v>
      </c>
      <c r="C208" s="5" t="str">
        <f aca="false">'🤖 Command R+'!C43</f>
        <v>CoT</v>
      </c>
      <c r="D208" s="158" t="n">
        <f aca="false">'🤖 Command R+'!E43</f>
        <v>0.5377358491</v>
      </c>
      <c r="E208" s="118" t="n">
        <f aca="false">'🤖 Command R+'!F43</f>
        <v>2</v>
      </c>
      <c r="F208" s="118" t="n">
        <f aca="false">'🤖 Command R+'!G43</f>
        <v>3</v>
      </c>
      <c r="G208" s="118" t="n">
        <f aca="false">'🤖 Command R+'!H43</f>
        <v>3</v>
      </c>
      <c r="H208" s="118" t="n">
        <f aca="false">'🤖 Command R+'!I43</f>
        <v>2</v>
      </c>
      <c r="I208" s="118" t="n">
        <f aca="false">'🤖 Command R+'!J43</f>
        <v>2</v>
      </c>
    </row>
    <row r="209" customFormat="false" ht="15.75" hidden="false" customHeight="false" outlineLevel="0" collapsed="false">
      <c r="A209" s="116" t="str">
        <f aca="false">'🤖 Command R+'!$A$42</f>
        <v>https://www.berria.eus/kultura/benat-arrutik-irabazi-du-donostia-kultura-vii-poesia-lehiaketa_2122642_102.html</v>
      </c>
      <c r="B209" s="3" t="s">
        <v>21</v>
      </c>
      <c r="C209" s="5" t="str">
        <f aca="false">'🤖 Command R+'!C44</f>
        <v>5W1H</v>
      </c>
      <c r="D209" s="159" t="n">
        <f aca="false">'🤖 Command R+'!E44</f>
        <v>0.679245283</v>
      </c>
      <c r="E209" s="118" t="n">
        <f aca="false">'🤖 Command R+'!F44</f>
        <v>3</v>
      </c>
      <c r="F209" s="118" t="n">
        <f aca="false">'🤖 Command R+'!G44</f>
        <v>3</v>
      </c>
      <c r="G209" s="118" t="n">
        <f aca="false">'🤖 Command R+'!H44</f>
        <v>3</v>
      </c>
      <c r="H209" s="118" t="n">
        <f aca="false">'🤖 Command R+'!I44</f>
        <v>3</v>
      </c>
      <c r="I209" s="118" t="n">
        <f aca="false">'🤖 Command R+'!J44</f>
        <v>4</v>
      </c>
    </row>
    <row r="210" customFormat="false" ht="15.75" hidden="false" customHeight="false" outlineLevel="0" collapsed="false">
      <c r="A210" s="116" t="str">
        <f aca="false">'🤖 Command R+'!$A$42</f>
        <v>https://www.berria.eus/kultura/benat-arrutik-irabazi-du-donostia-kultura-vii-poesia-lehiaketa_2122642_102.html</v>
      </c>
      <c r="B210" s="3" t="s">
        <v>21</v>
      </c>
      <c r="C210" s="5" t="str">
        <f aca="false">'🤖 Command R+'!C45</f>
        <v>tldr</v>
      </c>
      <c r="D210" s="121" t="n">
        <f aca="false">'🤖 Command R+'!E45</f>
        <v>0.7830188679</v>
      </c>
      <c r="E210" s="118" t="n">
        <f aca="false">'🤖 Command R+'!F45</f>
        <v>4</v>
      </c>
      <c r="F210" s="118" t="n">
        <f aca="false">'🤖 Command R+'!G45</f>
        <v>5</v>
      </c>
      <c r="G210" s="118" t="n">
        <f aca="false">'🤖 Command R+'!H45</f>
        <v>3</v>
      </c>
      <c r="H210" s="118" t="n">
        <f aca="false">'🤖 Command R+'!I45</f>
        <v>3</v>
      </c>
      <c r="I210" s="118" t="n">
        <f aca="false">'🤖 Command R+'!J45</f>
        <v>5</v>
      </c>
    </row>
    <row r="211" customFormat="false" ht="15.75" hidden="false" customHeight="false" outlineLevel="0" collapsed="false">
      <c r="A211" s="8"/>
      <c r="B211" s="8"/>
      <c r="C211" s="50"/>
      <c r="D211" s="8"/>
      <c r="E211" s="50"/>
      <c r="F211" s="50"/>
      <c r="G211" s="50"/>
      <c r="H211" s="50"/>
      <c r="I211" s="50"/>
    </row>
    <row r="212" customFormat="false" ht="15.75" hidden="false" customHeight="false" outlineLevel="0" collapsed="false">
      <c r="A212" s="116" t="str">
        <f aca="false">'🤖 Command R+'!$A$47</f>
        <v>https://www.berria.eus/mundua/aleksei-navalni-hil-da_2120844_102.html</v>
      </c>
      <c r="B212" s="3" t="s">
        <v>21</v>
      </c>
      <c r="C212" s="5" t="str">
        <f aca="false">'🤖 Command R+'!C47</f>
        <v>Base</v>
      </c>
      <c r="D212" s="131" t="n">
        <f aca="false">'🤖 Command R+'!E47</f>
        <v>0.03883495146</v>
      </c>
      <c r="E212" s="118" t="n">
        <f aca="false">'🤖 Command R+'!F47</f>
        <v>2</v>
      </c>
      <c r="F212" s="118" t="n">
        <f aca="false">'🤖 Command R+'!G47</f>
        <v>3</v>
      </c>
      <c r="G212" s="118" t="n">
        <f aca="false">'🤖 Command R+'!H47</f>
        <v>3</v>
      </c>
      <c r="H212" s="118" t="n">
        <f aca="false">'🤖 Command R+'!I47</f>
        <v>2</v>
      </c>
      <c r="I212" s="118" t="n">
        <f aca="false">'🤖 Command R+'!J47</f>
        <v>1</v>
      </c>
    </row>
    <row r="213" customFormat="false" ht="15.75" hidden="false" customHeight="false" outlineLevel="0" collapsed="false">
      <c r="A213" s="116" t="str">
        <f aca="false">'🤖 Command R+'!$A$47</f>
        <v>https://www.berria.eus/mundua/aleksei-navalni-hil-da_2120844_102.html</v>
      </c>
      <c r="B213" s="3" t="s">
        <v>21</v>
      </c>
      <c r="C213" s="5" t="str">
        <f aca="false">'🤖 Command R+'!C48</f>
        <v>CoT</v>
      </c>
      <c r="D213" s="137" t="n">
        <f aca="false">'🤖 Command R+'!E48</f>
        <v>0.1723300971</v>
      </c>
      <c r="E213" s="118" t="n">
        <f aca="false">'🤖 Command R+'!F48</f>
        <v>3</v>
      </c>
      <c r="F213" s="118" t="n">
        <f aca="false">'🤖 Command R+'!G48</f>
        <v>5</v>
      </c>
      <c r="G213" s="118" t="n">
        <f aca="false">'🤖 Command R+'!H48</f>
        <v>4</v>
      </c>
      <c r="H213" s="118" t="n">
        <f aca="false">'🤖 Command R+'!I48</f>
        <v>3</v>
      </c>
      <c r="I213" s="118" t="n">
        <f aca="false">'🤖 Command R+'!J48</f>
        <v>4</v>
      </c>
    </row>
    <row r="214" customFormat="false" ht="15.75" hidden="false" customHeight="false" outlineLevel="0" collapsed="false">
      <c r="A214" s="116" t="str">
        <f aca="false">'🤖 Command R+'!$A$47</f>
        <v>https://www.berria.eus/mundua/aleksei-navalni-hil-da_2120844_102.html</v>
      </c>
      <c r="B214" s="3" t="s">
        <v>21</v>
      </c>
      <c r="C214" s="5" t="str">
        <f aca="false">'🤖 Command R+'!C49</f>
        <v>5W1H</v>
      </c>
      <c r="D214" s="149" t="n">
        <f aca="false">'🤖 Command R+'!E49</f>
        <v>0.1893203883</v>
      </c>
      <c r="E214" s="118" t="n">
        <f aca="false">'🤖 Command R+'!F49</f>
        <v>2</v>
      </c>
      <c r="F214" s="118" t="n">
        <f aca="false">'🤖 Command R+'!G49</f>
        <v>4</v>
      </c>
      <c r="G214" s="118" t="n">
        <f aca="false">'🤖 Command R+'!H49</f>
        <v>4</v>
      </c>
      <c r="H214" s="118" t="n">
        <f aca="false">'🤖 Command R+'!I49</f>
        <v>4</v>
      </c>
      <c r="I214" s="118" t="n">
        <f aca="false">'🤖 Command R+'!J49</f>
        <v>5</v>
      </c>
    </row>
    <row r="215" customFormat="false" ht="15.75" hidden="false" customHeight="false" outlineLevel="0" collapsed="false">
      <c r="A215" s="116" t="str">
        <f aca="false">'🤖 Command R+'!$A$47</f>
        <v>https://www.berria.eus/mundua/aleksei-navalni-hil-da_2120844_102.html</v>
      </c>
      <c r="B215" s="3" t="s">
        <v>21</v>
      </c>
      <c r="C215" s="5" t="str">
        <f aca="false">'🤖 Command R+'!C50</f>
        <v>tldr</v>
      </c>
      <c r="D215" s="160" t="n">
        <f aca="false">'🤖 Command R+'!E50</f>
        <v>0.6067961165</v>
      </c>
      <c r="E215" s="118" t="n">
        <f aca="false">'🤖 Command R+'!F50</f>
        <v>4</v>
      </c>
      <c r="F215" s="118" t="n">
        <f aca="false">'🤖 Command R+'!G50</f>
        <v>3</v>
      </c>
      <c r="G215" s="118" t="n">
        <f aca="false">'🤖 Command R+'!H50</f>
        <v>3</v>
      </c>
      <c r="H215" s="118" t="n">
        <f aca="false">'🤖 Command R+'!I50</f>
        <v>3</v>
      </c>
      <c r="I215" s="118" t="n">
        <f aca="false">'🤖 Command R+'!J50</f>
        <v>4</v>
      </c>
    </row>
    <row r="216" customFormat="false" ht="15.75" hidden="false" customHeight="false" outlineLevel="0" collapsed="false">
      <c r="A216" s="116"/>
      <c r="B216" s="3"/>
      <c r="C216" s="5"/>
      <c r="D216" s="160"/>
      <c r="E216" s="5"/>
      <c r="F216" s="5"/>
      <c r="G216" s="5"/>
      <c r="H216" s="5"/>
      <c r="I216" s="5"/>
    </row>
    <row r="217" customFormat="false" ht="15.75" hidden="false" customHeight="false" outlineLevel="0" collapsed="false">
      <c r="A217" s="116" t="n">
        <f aca="false">'🤖 Command R+'!$A$52</f>
        <v>0</v>
      </c>
      <c r="B217" s="3" t="s">
        <v>21</v>
      </c>
      <c r="C217" s="5" t="str">
        <f aca="false">'🤖 Command R+'!C52</f>
        <v>Base</v>
      </c>
      <c r="D217" s="160" t="n">
        <f aca="false">'🤖 Command R+'!E52</f>
        <v>0.002427184466</v>
      </c>
      <c r="E217" s="118" t="n">
        <f aca="false">'🤖 Command R+'!F52</f>
        <v>0</v>
      </c>
      <c r="F217" s="118" t="n">
        <f aca="false">'🤖 Command R+'!G52</f>
        <v>0</v>
      </c>
      <c r="G217" s="118" t="n">
        <f aca="false">'🤖 Command R+'!H52</f>
        <v>0</v>
      </c>
      <c r="H217" s="118" t="n">
        <f aca="false">'🤖 Command R+'!I52</f>
        <v>0</v>
      </c>
      <c r="I217" s="118" t="n">
        <f aca="false">'🤖 Command R+'!J52</f>
        <v>0</v>
      </c>
    </row>
    <row r="218" customFormat="false" ht="15.75" hidden="false" customHeight="false" outlineLevel="0" collapsed="false">
      <c r="A218" s="116" t="n">
        <f aca="false">'🤖 Command R+'!$A$52</f>
        <v>0</v>
      </c>
      <c r="B218" s="3" t="s">
        <v>21</v>
      </c>
      <c r="C218" s="5" t="str">
        <f aca="false">'🤖 Command R+'!C53</f>
        <v>CoT</v>
      </c>
      <c r="D218" s="160" t="n">
        <f aca="false">'🤖 Command R+'!E53</f>
        <v>0.002427184466</v>
      </c>
      <c r="E218" s="118" t="n">
        <f aca="false">'🤖 Command R+'!F53</f>
        <v>0</v>
      </c>
      <c r="F218" s="118" t="n">
        <f aca="false">'🤖 Command R+'!G53</f>
        <v>0</v>
      </c>
      <c r="G218" s="118" t="n">
        <f aca="false">'🤖 Command R+'!H53</f>
        <v>0</v>
      </c>
      <c r="H218" s="118" t="n">
        <f aca="false">'🤖 Command R+'!I53</f>
        <v>0</v>
      </c>
      <c r="I218" s="118" t="n">
        <f aca="false">'🤖 Command R+'!J53</f>
        <v>0</v>
      </c>
    </row>
    <row r="219" customFormat="false" ht="15.75" hidden="false" customHeight="false" outlineLevel="0" collapsed="false">
      <c r="A219" s="116" t="n">
        <f aca="false">'🤖 Command R+'!$A$52</f>
        <v>0</v>
      </c>
      <c r="B219" s="3" t="s">
        <v>21</v>
      </c>
      <c r="C219" s="5" t="str">
        <f aca="false">'🤖 Command R+'!C54</f>
        <v>5W1H</v>
      </c>
      <c r="D219" s="160" t="n">
        <f aca="false">'🤖 Command R+'!E54</f>
        <v>0.002427184466</v>
      </c>
      <c r="E219" s="118" t="n">
        <f aca="false">'🤖 Command R+'!F54</f>
        <v>0</v>
      </c>
      <c r="F219" s="118" t="n">
        <f aca="false">'🤖 Command R+'!G54</f>
        <v>0</v>
      </c>
      <c r="G219" s="118" t="n">
        <f aca="false">'🤖 Command R+'!H54</f>
        <v>0</v>
      </c>
      <c r="H219" s="118" t="n">
        <f aca="false">'🤖 Command R+'!I54</f>
        <v>0</v>
      </c>
      <c r="I219" s="118" t="n">
        <f aca="false">'🤖 Command R+'!J54</f>
        <v>0</v>
      </c>
    </row>
    <row r="220" customFormat="false" ht="15.75" hidden="false" customHeight="false" outlineLevel="0" collapsed="false">
      <c r="A220" s="116" t="n">
        <f aca="false">'🤖 Command R+'!$A$52</f>
        <v>0</v>
      </c>
      <c r="B220" s="3" t="s">
        <v>21</v>
      </c>
      <c r="C220" s="5" t="str">
        <f aca="false">'🤖 Command R+'!C55</f>
        <v>tldr</v>
      </c>
      <c r="D220" s="160" t="n">
        <f aca="false">'🤖 Command R+'!E55</f>
        <v>0.002427184466</v>
      </c>
      <c r="E220" s="118" t="n">
        <f aca="false">'🤖 Command R+'!F55</f>
        <v>0</v>
      </c>
      <c r="F220" s="118" t="n">
        <f aca="false">'🤖 Command R+'!G55</f>
        <v>0</v>
      </c>
      <c r="G220" s="118" t="n">
        <f aca="false">'🤖 Command R+'!H55</f>
        <v>0</v>
      </c>
      <c r="H220" s="118" t="n">
        <f aca="false">'🤖 Command R+'!I55</f>
        <v>0</v>
      </c>
      <c r="I220" s="118" t="n">
        <f aca="false">'🤖 Command R+'!J55</f>
        <v>0</v>
      </c>
    </row>
    <row r="221" customFormat="false" ht="15.75" hidden="false" customHeight="false" outlineLevel="0" collapsed="false">
      <c r="A221" s="116"/>
      <c r="B221" s="3"/>
      <c r="C221" s="5"/>
      <c r="D221" s="160"/>
      <c r="E221" s="5"/>
      <c r="F221" s="5"/>
      <c r="G221" s="5"/>
      <c r="H221" s="5"/>
      <c r="I221" s="5"/>
    </row>
    <row r="222" customFormat="false" ht="15.75" hidden="false" customHeight="false" outlineLevel="0" collapsed="false">
      <c r="A222" s="116" t="n">
        <f aca="false">'🤖 Command R+'!$A$57</f>
        <v>0</v>
      </c>
      <c r="B222" s="3" t="s">
        <v>21</v>
      </c>
      <c r="C222" s="5" t="str">
        <f aca="false">'🤖 Command R+'!C57</f>
        <v>Base</v>
      </c>
      <c r="D222" s="160" t="n">
        <f aca="false">'🤖 Command R+'!E57</f>
        <v>0.002427184466</v>
      </c>
      <c r="E222" s="118" t="n">
        <f aca="false">'🤖 Command R+'!F57</f>
        <v>0</v>
      </c>
      <c r="F222" s="118" t="n">
        <f aca="false">'🤖 Command R+'!G57</f>
        <v>0</v>
      </c>
      <c r="G222" s="118" t="n">
        <f aca="false">'🤖 Command R+'!H57</f>
        <v>0</v>
      </c>
      <c r="H222" s="118" t="n">
        <f aca="false">'🤖 Command R+'!I57</f>
        <v>0</v>
      </c>
      <c r="I222" s="118" t="n">
        <f aca="false">'🤖 Command R+'!J57</f>
        <v>0</v>
      </c>
    </row>
    <row r="223" customFormat="false" ht="15.75" hidden="false" customHeight="false" outlineLevel="0" collapsed="false">
      <c r="A223" s="116" t="n">
        <f aca="false">'🤖 Command R+'!$A$57</f>
        <v>0</v>
      </c>
      <c r="B223" s="3" t="s">
        <v>21</v>
      </c>
      <c r="C223" s="5" t="str">
        <f aca="false">'🤖 Command R+'!C58</f>
        <v>CoT</v>
      </c>
      <c r="D223" s="160" t="n">
        <f aca="false">'🤖 Command R+'!E58</f>
        <v>0.002427184466</v>
      </c>
      <c r="E223" s="118" t="n">
        <f aca="false">'🤖 Command R+'!F58</f>
        <v>0</v>
      </c>
      <c r="F223" s="118" t="n">
        <f aca="false">'🤖 Command R+'!G58</f>
        <v>0</v>
      </c>
      <c r="G223" s="118" t="n">
        <f aca="false">'🤖 Command R+'!H58</f>
        <v>0</v>
      </c>
      <c r="H223" s="118" t="n">
        <f aca="false">'🤖 Command R+'!I58</f>
        <v>0</v>
      </c>
      <c r="I223" s="118" t="n">
        <f aca="false">'🤖 Command R+'!J58</f>
        <v>0</v>
      </c>
    </row>
    <row r="224" customFormat="false" ht="15.75" hidden="false" customHeight="false" outlineLevel="0" collapsed="false">
      <c r="A224" s="116" t="n">
        <f aca="false">'🤖 Command R+'!$A$57</f>
        <v>0</v>
      </c>
      <c r="B224" s="3" t="s">
        <v>21</v>
      </c>
      <c r="C224" s="5" t="str">
        <f aca="false">'🤖 Command R+'!C59</f>
        <v>5W1H</v>
      </c>
      <c r="D224" s="160" t="n">
        <f aca="false">'🤖 Command R+'!E59</f>
        <v>0.002427184466</v>
      </c>
      <c r="E224" s="118" t="n">
        <f aca="false">'🤖 Command R+'!F59</f>
        <v>0</v>
      </c>
      <c r="F224" s="118" t="n">
        <f aca="false">'🤖 Command R+'!G59</f>
        <v>0</v>
      </c>
      <c r="G224" s="118" t="n">
        <f aca="false">'🤖 Command R+'!H59</f>
        <v>0</v>
      </c>
      <c r="H224" s="118" t="n">
        <f aca="false">'🤖 Command R+'!I59</f>
        <v>0</v>
      </c>
      <c r="I224" s="118" t="n">
        <f aca="false">'🤖 Command R+'!J59</f>
        <v>0</v>
      </c>
    </row>
    <row r="225" customFormat="false" ht="15.75" hidden="false" customHeight="false" outlineLevel="0" collapsed="false">
      <c r="A225" s="116" t="n">
        <f aca="false">'🤖 Command R+'!$A$57</f>
        <v>0</v>
      </c>
      <c r="B225" s="3" t="s">
        <v>21</v>
      </c>
      <c r="C225" s="5" t="str">
        <f aca="false">'🤖 Command R+'!C60</f>
        <v>tldr</v>
      </c>
      <c r="D225" s="160" t="n">
        <f aca="false">'🤖 Command R+'!E60</f>
        <v>0.002427184466</v>
      </c>
      <c r="E225" s="118" t="n">
        <f aca="false">'🤖 Command R+'!F60</f>
        <v>0</v>
      </c>
      <c r="F225" s="118" t="n">
        <f aca="false">'🤖 Command R+'!G60</f>
        <v>0</v>
      </c>
      <c r="G225" s="118" t="n">
        <f aca="false">'🤖 Command R+'!H60</f>
        <v>0</v>
      </c>
      <c r="H225" s="118" t="n">
        <f aca="false">'🤖 Command R+'!I60</f>
        <v>0</v>
      </c>
      <c r="I225" s="118" t="n">
        <f aca="false">'🤖 Command R+'!J60</f>
        <v>0</v>
      </c>
    </row>
    <row r="226" customFormat="false" ht="15.75" hidden="false" customHeight="false" outlineLevel="0" collapsed="false">
      <c r="A226" s="116"/>
      <c r="B226" s="3"/>
      <c r="C226" s="5"/>
      <c r="D226" s="160"/>
      <c r="E226" s="5"/>
      <c r="F226" s="5"/>
      <c r="G226" s="5"/>
      <c r="H226" s="5"/>
      <c r="I226" s="5"/>
    </row>
    <row r="227" customFormat="false" ht="15.75" hidden="false" customHeight="false" outlineLevel="0" collapsed="false">
      <c r="A227" s="116" t="n">
        <f aca="false">'🤖 Command R+'!$A$62</f>
        <v>0</v>
      </c>
      <c r="B227" s="3" t="s">
        <v>21</v>
      </c>
      <c r="C227" s="5" t="str">
        <f aca="false">'🤖 Command R+'!C62</f>
        <v>Base</v>
      </c>
      <c r="D227" s="160" t="n">
        <f aca="false">'🤖 Command R+'!E62</f>
        <v>0.002427184466</v>
      </c>
      <c r="E227" s="118" t="n">
        <f aca="false">'🤖 Command R+'!F62</f>
        <v>0</v>
      </c>
      <c r="F227" s="118" t="n">
        <f aca="false">'🤖 Command R+'!G62</f>
        <v>0</v>
      </c>
      <c r="G227" s="118" t="n">
        <f aca="false">'🤖 Command R+'!H62</f>
        <v>0</v>
      </c>
      <c r="H227" s="118" t="n">
        <f aca="false">'🤖 Command R+'!I62</f>
        <v>0</v>
      </c>
      <c r="I227" s="118" t="n">
        <f aca="false">'🤖 Command R+'!J62</f>
        <v>0</v>
      </c>
    </row>
    <row r="228" customFormat="false" ht="15.75" hidden="false" customHeight="false" outlineLevel="0" collapsed="false">
      <c r="A228" s="116" t="n">
        <f aca="false">'🤖 Command R+'!$A$62</f>
        <v>0</v>
      </c>
      <c r="B228" s="3" t="s">
        <v>21</v>
      </c>
      <c r="C228" s="5" t="str">
        <f aca="false">'🤖 Command R+'!C63</f>
        <v>CoT</v>
      </c>
      <c r="D228" s="160" t="n">
        <f aca="false">'🤖 Command R+'!E63</f>
        <v>0.002427184466</v>
      </c>
      <c r="E228" s="118" t="n">
        <f aca="false">'🤖 Command R+'!F63</f>
        <v>0</v>
      </c>
      <c r="F228" s="118" t="n">
        <f aca="false">'🤖 Command R+'!G63</f>
        <v>0</v>
      </c>
      <c r="G228" s="118" t="n">
        <f aca="false">'🤖 Command R+'!H63</f>
        <v>0</v>
      </c>
      <c r="H228" s="118" t="n">
        <f aca="false">'🤖 Command R+'!I63</f>
        <v>0</v>
      </c>
      <c r="I228" s="118" t="n">
        <f aca="false">'🤖 Command R+'!J63</f>
        <v>0</v>
      </c>
    </row>
    <row r="229" customFormat="false" ht="15.75" hidden="false" customHeight="false" outlineLevel="0" collapsed="false">
      <c r="A229" s="116" t="n">
        <f aca="false">'🤖 Command R+'!$A$62</f>
        <v>0</v>
      </c>
      <c r="B229" s="3" t="s">
        <v>21</v>
      </c>
      <c r="C229" s="5" t="str">
        <f aca="false">'🤖 Command R+'!C64</f>
        <v>5W1H</v>
      </c>
      <c r="D229" s="160" t="n">
        <f aca="false">'🤖 Command R+'!E64</f>
        <v>0.002427184466</v>
      </c>
      <c r="E229" s="118" t="n">
        <f aca="false">'🤖 Command R+'!F64</f>
        <v>0</v>
      </c>
      <c r="F229" s="118" t="n">
        <f aca="false">'🤖 Command R+'!G64</f>
        <v>0</v>
      </c>
      <c r="G229" s="118" t="n">
        <f aca="false">'🤖 Command R+'!H64</f>
        <v>0</v>
      </c>
      <c r="H229" s="118" t="n">
        <f aca="false">'🤖 Command R+'!I64</f>
        <v>0</v>
      </c>
      <c r="I229" s="118" t="n">
        <f aca="false">'🤖 Command R+'!J64</f>
        <v>0</v>
      </c>
    </row>
    <row r="230" customFormat="false" ht="15.75" hidden="false" customHeight="false" outlineLevel="0" collapsed="false">
      <c r="A230" s="116" t="n">
        <f aca="false">'🤖 Command R+'!$A$62</f>
        <v>0</v>
      </c>
      <c r="B230" s="3" t="s">
        <v>21</v>
      </c>
      <c r="C230" s="5" t="str">
        <f aca="false">'🤖 Command R+'!C65</f>
        <v>tldr</v>
      </c>
      <c r="D230" s="160" t="n">
        <f aca="false">'🤖 Command R+'!E65</f>
        <v>0.002427184466</v>
      </c>
      <c r="E230" s="118" t="n">
        <f aca="false">'🤖 Command R+'!F65</f>
        <v>0</v>
      </c>
      <c r="F230" s="118" t="n">
        <f aca="false">'🤖 Command R+'!G65</f>
        <v>0</v>
      </c>
      <c r="G230" s="118" t="n">
        <f aca="false">'🤖 Command R+'!H65</f>
        <v>0</v>
      </c>
      <c r="H230" s="118" t="n">
        <f aca="false">'🤖 Command R+'!I65</f>
        <v>0</v>
      </c>
      <c r="I230" s="118" t="n">
        <f aca="false">'🤖 Command R+'!J65</f>
        <v>0</v>
      </c>
    </row>
    <row r="231" customFormat="false" ht="15.75" hidden="false" customHeight="false" outlineLevel="0" collapsed="false">
      <c r="A231" s="116"/>
      <c r="B231" s="3"/>
      <c r="C231" s="5"/>
      <c r="D231" s="160"/>
      <c r="E231" s="5"/>
      <c r="F231" s="5"/>
      <c r="G231" s="5"/>
      <c r="H231" s="5"/>
      <c r="I231" s="5"/>
    </row>
    <row r="232" customFormat="false" ht="15.75" hidden="false" customHeight="false" outlineLevel="0" collapsed="false">
      <c r="A232" s="116" t="n">
        <f aca="false">'🤖 Command R+'!$A$67</f>
        <v>0</v>
      </c>
      <c r="B232" s="3" t="s">
        <v>21</v>
      </c>
      <c r="C232" s="5" t="str">
        <f aca="false">'🤖 Command R+'!C67</f>
        <v>Base</v>
      </c>
      <c r="D232" s="160" t="n">
        <f aca="false">'🤖 Command R+'!E67</f>
        <v>0.002427184466</v>
      </c>
      <c r="E232" s="118" t="n">
        <f aca="false">'🤖 Command R+'!F67</f>
        <v>0</v>
      </c>
      <c r="F232" s="118" t="n">
        <f aca="false">'🤖 Command R+'!G67</f>
        <v>0</v>
      </c>
      <c r="G232" s="118" t="n">
        <f aca="false">'🤖 Command R+'!H67</f>
        <v>0</v>
      </c>
      <c r="H232" s="118" t="n">
        <f aca="false">'🤖 Command R+'!I67</f>
        <v>0</v>
      </c>
      <c r="I232" s="118" t="n">
        <f aca="false">'🤖 Command R+'!J67</f>
        <v>0</v>
      </c>
    </row>
    <row r="233" customFormat="false" ht="15.75" hidden="false" customHeight="false" outlineLevel="0" collapsed="false">
      <c r="A233" s="116" t="n">
        <f aca="false">'🤖 Command R+'!$A$67</f>
        <v>0</v>
      </c>
      <c r="B233" s="3" t="s">
        <v>21</v>
      </c>
      <c r="C233" s="5" t="str">
        <f aca="false">'🤖 Command R+'!C68</f>
        <v>CoT</v>
      </c>
      <c r="D233" s="160" t="n">
        <f aca="false">'🤖 Command R+'!E68</f>
        <v>0.002427184466</v>
      </c>
      <c r="E233" s="118" t="n">
        <f aca="false">'🤖 Command R+'!F68</f>
        <v>0</v>
      </c>
      <c r="F233" s="118" t="n">
        <f aca="false">'🤖 Command R+'!G68</f>
        <v>0</v>
      </c>
      <c r="G233" s="118" t="n">
        <f aca="false">'🤖 Command R+'!H68</f>
        <v>0</v>
      </c>
      <c r="H233" s="118" t="n">
        <f aca="false">'🤖 Command R+'!I68</f>
        <v>0</v>
      </c>
      <c r="I233" s="118" t="n">
        <f aca="false">'🤖 Command R+'!J68</f>
        <v>0</v>
      </c>
    </row>
    <row r="234" customFormat="false" ht="15.75" hidden="false" customHeight="false" outlineLevel="0" collapsed="false">
      <c r="A234" s="116" t="n">
        <f aca="false">'🤖 Command R+'!$A$67</f>
        <v>0</v>
      </c>
      <c r="B234" s="3" t="s">
        <v>21</v>
      </c>
      <c r="C234" s="5" t="str">
        <f aca="false">'🤖 Command R+'!C69</f>
        <v>5W1H</v>
      </c>
      <c r="D234" s="160" t="n">
        <f aca="false">'🤖 Command R+'!E69</f>
        <v>0.002427184466</v>
      </c>
      <c r="E234" s="118" t="n">
        <f aca="false">'🤖 Command R+'!F69</f>
        <v>0</v>
      </c>
      <c r="F234" s="118" t="n">
        <f aca="false">'🤖 Command R+'!G69</f>
        <v>0</v>
      </c>
      <c r="G234" s="118" t="n">
        <f aca="false">'🤖 Command R+'!H69</f>
        <v>0</v>
      </c>
      <c r="H234" s="118" t="n">
        <f aca="false">'🤖 Command R+'!I69</f>
        <v>0</v>
      </c>
      <c r="I234" s="118" t="n">
        <f aca="false">'🤖 Command R+'!J69</f>
        <v>0</v>
      </c>
    </row>
    <row r="235" customFormat="false" ht="15.75" hidden="false" customHeight="false" outlineLevel="0" collapsed="false">
      <c r="A235" s="116" t="n">
        <f aca="false">'🤖 Command R+'!$A$67</f>
        <v>0</v>
      </c>
      <c r="B235" s="3" t="s">
        <v>21</v>
      </c>
      <c r="C235" s="5" t="str">
        <f aca="false">'🤖 Command R+'!C70</f>
        <v>tldr</v>
      </c>
      <c r="D235" s="160" t="n">
        <f aca="false">'🤖 Command R+'!E70</f>
        <v>0.002427184466</v>
      </c>
      <c r="E235" s="118" t="n">
        <f aca="false">'🤖 Command R+'!F70</f>
        <v>0</v>
      </c>
      <c r="F235" s="118" t="n">
        <f aca="false">'🤖 Command R+'!G70</f>
        <v>0</v>
      </c>
      <c r="G235" s="118" t="n">
        <f aca="false">'🤖 Command R+'!H70</f>
        <v>0</v>
      </c>
      <c r="H235" s="118" t="n">
        <f aca="false">'🤖 Command R+'!I70</f>
        <v>0</v>
      </c>
      <c r="I235" s="118" t="n">
        <f aca="false">'🤖 Command R+'!J70</f>
        <v>0</v>
      </c>
    </row>
    <row r="236" customFormat="false" ht="15.75" hidden="false" customHeight="false" outlineLevel="0" collapsed="false">
      <c r="A236" s="116"/>
      <c r="B236" s="3"/>
      <c r="C236" s="5"/>
      <c r="D236" s="160"/>
      <c r="E236" s="5"/>
      <c r="F236" s="5"/>
      <c r="G236" s="5"/>
      <c r="H236" s="5"/>
      <c r="I236" s="5"/>
    </row>
    <row r="237" customFormat="false" ht="15.75" hidden="false" customHeight="false" outlineLevel="0" collapsed="false">
      <c r="A237" s="116" t="n">
        <f aca="false">'🤖 Command R+'!$A$72</f>
        <v>0</v>
      </c>
      <c r="B237" s="3" t="s">
        <v>21</v>
      </c>
      <c r="C237" s="5" t="str">
        <f aca="false">'🤖 Command R+'!C72</f>
        <v>Base</v>
      </c>
      <c r="D237" s="160" t="n">
        <f aca="false">'🤖 Command R+'!E72</f>
        <v>0.002427184466</v>
      </c>
      <c r="E237" s="118" t="n">
        <f aca="false">'🤖 Command R+'!F72</f>
        <v>0</v>
      </c>
      <c r="F237" s="118" t="n">
        <f aca="false">'🤖 Command R+'!G72</f>
        <v>0</v>
      </c>
      <c r="G237" s="118" t="n">
        <f aca="false">'🤖 Command R+'!H72</f>
        <v>0</v>
      </c>
      <c r="H237" s="118" t="n">
        <f aca="false">'🤖 Command R+'!I72</f>
        <v>0</v>
      </c>
      <c r="I237" s="118" t="n">
        <f aca="false">'🤖 Command R+'!J72</f>
        <v>0</v>
      </c>
    </row>
    <row r="238" customFormat="false" ht="15.75" hidden="false" customHeight="false" outlineLevel="0" collapsed="false">
      <c r="A238" s="116" t="n">
        <f aca="false">'🤖 Command R+'!$A$72</f>
        <v>0</v>
      </c>
      <c r="B238" s="3" t="s">
        <v>21</v>
      </c>
      <c r="C238" s="5" t="str">
        <f aca="false">'🤖 Command R+'!C73</f>
        <v>CoT</v>
      </c>
      <c r="D238" s="160" t="n">
        <f aca="false">'🤖 Command R+'!E73</f>
        <v>0.002427184466</v>
      </c>
      <c r="E238" s="118" t="n">
        <f aca="false">'🤖 Command R+'!F73</f>
        <v>0</v>
      </c>
      <c r="F238" s="118" t="n">
        <f aca="false">'🤖 Command R+'!G73</f>
        <v>0</v>
      </c>
      <c r="G238" s="118" t="n">
        <f aca="false">'🤖 Command R+'!H73</f>
        <v>0</v>
      </c>
      <c r="H238" s="118" t="n">
        <f aca="false">'🤖 Command R+'!I73</f>
        <v>0</v>
      </c>
      <c r="I238" s="118" t="n">
        <f aca="false">'🤖 Command R+'!J73</f>
        <v>0</v>
      </c>
    </row>
    <row r="239" customFormat="false" ht="15.75" hidden="false" customHeight="false" outlineLevel="0" collapsed="false">
      <c r="A239" s="116" t="n">
        <f aca="false">'🤖 Command R+'!$A$72</f>
        <v>0</v>
      </c>
      <c r="B239" s="3" t="s">
        <v>21</v>
      </c>
      <c r="C239" s="5" t="str">
        <f aca="false">'🤖 Command R+'!C74</f>
        <v>5W1H</v>
      </c>
      <c r="D239" s="160" t="n">
        <f aca="false">'🤖 Command R+'!E74</f>
        <v>0.002427184466</v>
      </c>
      <c r="E239" s="118" t="n">
        <f aca="false">'🤖 Command R+'!F74</f>
        <v>0</v>
      </c>
      <c r="F239" s="118" t="n">
        <f aca="false">'🤖 Command R+'!G74</f>
        <v>0</v>
      </c>
      <c r="G239" s="118" t="n">
        <f aca="false">'🤖 Command R+'!H74</f>
        <v>0</v>
      </c>
      <c r="H239" s="118" t="n">
        <f aca="false">'🤖 Command R+'!I74</f>
        <v>0</v>
      </c>
      <c r="I239" s="118" t="n">
        <f aca="false">'🤖 Command R+'!J74</f>
        <v>0</v>
      </c>
    </row>
    <row r="240" customFormat="false" ht="15.75" hidden="false" customHeight="false" outlineLevel="0" collapsed="false">
      <c r="A240" s="116" t="n">
        <f aca="false">'🤖 Command R+'!$A$72</f>
        <v>0</v>
      </c>
      <c r="B240" s="3" t="s">
        <v>21</v>
      </c>
      <c r="C240" s="5" t="str">
        <f aca="false">'🤖 Command R+'!C75</f>
        <v>tldr</v>
      </c>
      <c r="D240" s="160" t="n">
        <f aca="false">'🤖 Command R+'!E75</f>
        <v>0.002427184466</v>
      </c>
      <c r="E240" s="118" t="n">
        <f aca="false">'🤖 Command R+'!F75</f>
        <v>0</v>
      </c>
      <c r="F240" s="118" t="n">
        <f aca="false">'🤖 Command R+'!G75</f>
        <v>0</v>
      </c>
      <c r="G240" s="118" t="n">
        <f aca="false">'🤖 Command R+'!H75</f>
        <v>0</v>
      </c>
      <c r="H240" s="118" t="n">
        <f aca="false">'🤖 Command R+'!I75</f>
        <v>0</v>
      </c>
      <c r="I240" s="118" t="n">
        <f aca="false">'🤖 Command R+'!J75</f>
        <v>0</v>
      </c>
    </row>
    <row r="241" customFormat="false" ht="15.75" hidden="false" customHeight="false" outlineLevel="0" collapsed="false">
      <c r="A241" s="116"/>
      <c r="B241" s="3"/>
      <c r="C241" s="5"/>
      <c r="D241" s="160"/>
      <c r="E241" s="5"/>
      <c r="F241" s="5"/>
      <c r="G241" s="5"/>
      <c r="H241" s="5"/>
      <c r="I241" s="5"/>
    </row>
    <row r="242" customFormat="false" ht="15.75" hidden="false" customHeight="false" outlineLevel="0" collapsed="false">
      <c r="A242" s="116" t="n">
        <f aca="false">'🤖 Command R+'!$A$77</f>
        <v>0</v>
      </c>
      <c r="B242" s="3" t="s">
        <v>21</v>
      </c>
      <c r="C242" s="5" t="str">
        <f aca="false">'🤖 Command R+'!C77</f>
        <v>Base</v>
      </c>
      <c r="D242" s="160" t="n">
        <f aca="false">'🤖 Command R+'!E77</f>
        <v>0.002427184466</v>
      </c>
      <c r="E242" s="118" t="n">
        <f aca="false">'🤖 Command R+'!F77</f>
        <v>0</v>
      </c>
      <c r="F242" s="118" t="n">
        <f aca="false">'🤖 Command R+'!G77</f>
        <v>0</v>
      </c>
      <c r="G242" s="118" t="n">
        <f aca="false">'🤖 Command R+'!H77</f>
        <v>0</v>
      </c>
      <c r="H242" s="118" t="n">
        <f aca="false">'🤖 Command R+'!I77</f>
        <v>0</v>
      </c>
      <c r="I242" s="118" t="n">
        <f aca="false">'🤖 Command R+'!J77</f>
        <v>0</v>
      </c>
    </row>
    <row r="243" customFormat="false" ht="15.75" hidden="false" customHeight="false" outlineLevel="0" collapsed="false">
      <c r="A243" s="116" t="n">
        <f aca="false">'🤖 Command R+'!$A$77</f>
        <v>0</v>
      </c>
      <c r="B243" s="3" t="s">
        <v>21</v>
      </c>
      <c r="C243" s="5" t="str">
        <f aca="false">'🤖 Command R+'!C78</f>
        <v>CoT</v>
      </c>
      <c r="D243" s="160" t="n">
        <f aca="false">'🤖 Command R+'!E78</f>
        <v>0.002427184466</v>
      </c>
      <c r="E243" s="118" t="n">
        <f aca="false">'🤖 Command R+'!F78</f>
        <v>0</v>
      </c>
      <c r="F243" s="118" t="n">
        <f aca="false">'🤖 Command R+'!G78</f>
        <v>0</v>
      </c>
      <c r="G243" s="118" t="n">
        <f aca="false">'🤖 Command R+'!H78</f>
        <v>0</v>
      </c>
      <c r="H243" s="118" t="n">
        <f aca="false">'🤖 Command R+'!I78</f>
        <v>0</v>
      </c>
      <c r="I243" s="118" t="n">
        <f aca="false">'🤖 Command R+'!J78</f>
        <v>0</v>
      </c>
    </row>
    <row r="244" customFormat="false" ht="15.75" hidden="false" customHeight="false" outlineLevel="0" collapsed="false">
      <c r="A244" s="116" t="n">
        <f aca="false">'🤖 Command R+'!$A$77</f>
        <v>0</v>
      </c>
      <c r="B244" s="3" t="s">
        <v>21</v>
      </c>
      <c r="C244" s="5" t="str">
        <f aca="false">'🤖 Command R+'!C79</f>
        <v>5W1H</v>
      </c>
      <c r="D244" s="160" t="n">
        <f aca="false">'🤖 Command R+'!E79</f>
        <v>0.002427184466</v>
      </c>
      <c r="E244" s="118" t="n">
        <f aca="false">'🤖 Command R+'!F79</f>
        <v>0</v>
      </c>
      <c r="F244" s="118" t="n">
        <f aca="false">'🤖 Command R+'!G79</f>
        <v>0</v>
      </c>
      <c r="G244" s="118" t="n">
        <f aca="false">'🤖 Command R+'!H79</f>
        <v>0</v>
      </c>
      <c r="H244" s="118" t="n">
        <f aca="false">'🤖 Command R+'!I79</f>
        <v>0</v>
      </c>
      <c r="I244" s="118" t="n">
        <f aca="false">'🤖 Command R+'!J79</f>
        <v>0</v>
      </c>
    </row>
    <row r="245" customFormat="false" ht="15.75" hidden="false" customHeight="false" outlineLevel="0" collapsed="false">
      <c r="A245" s="116" t="n">
        <f aca="false">'🤖 Command R+'!$A$77</f>
        <v>0</v>
      </c>
      <c r="B245" s="3" t="s">
        <v>21</v>
      </c>
      <c r="C245" s="5" t="str">
        <f aca="false">'🤖 Command R+'!C80</f>
        <v>tldr</v>
      </c>
      <c r="D245" s="160" t="n">
        <f aca="false">'🤖 Command R+'!E80</f>
        <v>0.002427184466</v>
      </c>
      <c r="E245" s="118" t="n">
        <f aca="false">'🤖 Command R+'!F80</f>
        <v>0</v>
      </c>
      <c r="F245" s="118" t="n">
        <f aca="false">'🤖 Command R+'!G80</f>
        <v>0</v>
      </c>
      <c r="G245" s="118" t="n">
        <f aca="false">'🤖 Command R+'!H80</f>
        <v>0</v>
      </c>
      <c r="H245" s="118" t="n">
        <f aca="false">'🤖 Command R+'!I80</f>
        <v>0</v>
      </c>
      <c r="I245" s="118" t="n">
        <f aca="false">'🤖 Command R+'!J80</f>
        <v>0</v>
      </c>
    </row>
    <row r="246" customFormat="false" ht="15.75" hidden="false" customHeight="false" outlineLevel="0" collapsed="false">
      <c r="A246" s="116"/>
      <c r="B246" s="3"/>
      <c r="C246" s="5"/>
      <c r="D246" s="160"/>
      <c r="E246" s="5"/>
      <c r="F246" s="5"/>
      <c r="G246" s="5"/>
      <c r="H246" s="5"/>
      <c r="I246" s="5"/>
    </row>
    <row r="247" customFormat="false" ht="15.75" hidden="false" customHeight="false" outlineLevel="0" collapsed="false">
      <c r="A247" s="116" t="n">
        <f aca="false">'🤖 Command R+'!$A$82</f>
        <v>0</v>
      </c>
      <c r="B247" s="3" t="s">
        <v>21</v>
      </c>
      <c r="C247" s="5" t="str">
        <f aca="false">'🤖 Command R+'!C82</f>
        <v>Base</v>
      </c>
      <c r="D247" s="160" t="n">
        <f aca="false">'🤖 Command R+'!E82</f>
        <v>0.002427184466</v>
      </c>
      <c r="E247" s="118" t="n">
        <f aca="false">'🤖 Command R+'!F82</f>
        <v>0</v>
      </c>
      <c r="F247" s="118" t="n">
        <f aca="false">'🤖 Command R+'!G82</f>
        <v>0</v>
      </c>
      <c r="G247" s="118" t="n">
        <f aca="false">'🤖 Command R+'!H82</f>
        <v>0</v>
      </c>
      <c r="H247" s="118" t="n">
        <f aca="false">'🤖 Command R+'!I82</f>
        <v>0</v>
      </c>
      <c r="I247" s="118" t="n">
        <f aca="false">'🤖 Command R+'!J82</f>
        <v>0</v>
      </c>
    </row>
    <row r="248" customFormat="false" ht="15.75" hidden="false" customHeight="false" outlineLevel="0" collapsed="false">
      <c r="A248" s="116" t="n">
        <f aca="false">'🤖 Command R+'!$A$82</f>
        <v>0</v>
      </c>
      <c r="B248" s="3" t="s">
        <v>21</v>
      </c>
      <c r="C248" s="5" t="str">
        <f aca="false">'🤖 Command R+'!C83</f>
        <v>CoT</v>
      </c>
      <c r="D248" s="160" t="n">
        <f aca="false">'🤖 Command R+'!E83</f>
        <v>0.002427184466</v>
      </c>
      <c r="E248" s="118" t="n">
        <f aca="false">'🤖 Command R+'!F83</f>
        <v>0</v>
      </c>
      <c r="F248" s="118" t="n">
        <f aca="false">'🤖 Command R+'!G83</f>
        <v>0</v>
      </c>
      <c r="G248" s="118" t="n">
        <f aca="false">'🤖 Command R+'!H83</f>
        <v>0</v>
      </c>
      <c r="H248" s="118" t="n">
        <f aca="false">'🤖 Command R+'!I83</f>
        <v>0</v>
      </c>
      <c r="I248" s="118" t="n">
        <f aca="false">'🤖 Command R+'!J83</f>
        <v>0</v>
      </c>
    </row>
    <row r="249" customFormat="false" ht="15.75" hidden="false" customHeight="false" outlineLevel="0" collapsed="false">
      <c r="A249" s="116" t="n">
        <f aca="false">'🤖 Command R+'!$A$82</f>
        <v>0</v>
      </c>
      <c r="B249" s="3" t="s">
        <v>21</v>
      </c>
      <c r="C249" s="5" t="str">
        <f aca="false">'🤖 Command R+'!C84</f>
        <v>5W1H</v>
      </c>
      <c r="D249" s="160" t="n">
        <f aca="false">'🤖 Command R+'!E84</f>
        <v>0.002427184466</v>
      </c>
      <c r="E249" s="118" t="n">
        <f aca="false">'🤖 Command R+'!F84</f>
        <v>0</v>
      </c>
      <c r="F249" s="118" t="n">
        <f aca="false">'🤖 Command R+'!G84</f>
        <v>0</v>
      </c>
      <c r="G249" s="118" t="n">
        <f aca="false">'🤖 Command R+'!H84</f>
        <v>0</v>
      </c>
      <c r="H249" s="118" t="n">
        <f aca="false">'🤖 Command R+'!I84</f>
        <v>0</v>
      </c>
      <c r="I249" s="118" t="n">
        <f aca="false">'🤖 Command R+'!J84</f>
        <v>0</v>
      </c>
    </row>
    <row r="250" customFormat="false" ht="15.75" hidden="false" customHeight="false" outlineLevel="0" collapsed="false">
      <c r="A250" s="116" t="n">
        <f aca="false">'🤖 Command R+'!$A$82</f>
        <v>0</v>
      </c>
      <c r="B250" s="3" t="s">
        <v>21</v>
      </c>
      <c r="C250" s="5" t="str">
        <f aca="false">'🤖 Command R+'!C85</f>
        <v>tldr</v>
      </c>
      <c r="D250" s="160" t="n">
        <f aca="false">'🤖 Command R+'!E85</f>
        <v>0.002427184466</v>
      </c>
      <c r="E250" s="118" t="n">
        <f aca="false">'🤖 Command R+'!F85</f>
        <v>0</v>
      </c>
      <c r="F250" s="118" t="n">
        <f aca="false">'🤖 Command R+'!G85</f>
        <v>0</v>
      </c>
      <c r="G250" s="118" t="n">
        <f aca="false">'🤖 Command R+'!H85</f>
        <v>0</v>
      </c>
      <c r="H250" s="118" t="n">
        <f aca="false">'🤖 Command R+'!I85</f>
        <v>0</v>
      </c>
      <c r="I250" s="118" t="n">
        <f aca="false">'🤖 Command R+'!J85</f>
        <v>0</v>
      </c>
    </row>
    <row r="251" customFormat="false" ht="15.75" hidden="false" customHeight="false" outlineLevel="0" collapsed="false">
      <c r="A251" s="116"/>
      <c r="B251" s="3"/>
      <c r="C251" s="5"/>
      <c r="D251" s="160"/>
      <c r="E251" s="5"/>
      <c r="F251" s="5"/>
      <c r="G251" s="5"/>
      <c r="H251" s="5"/>
      <c r="I251" s="5"/>
    </row>
    <row r="252" customFormat="false" ht="15.75" hidden="false" customHeight="false" outlineLevel="0" collapsed="false">
      <c r="A252" s="116" t="n">
        <f aca="false">'🤖 Command R+'!$A$87</f>
        <v>0</v>
      </c>
      <c r="B252" s="3" t="s">
        <v>21</v>
      </c>
      <c r="C252" s="5" t="str">
        <f aca="false">'🤖 Command R+'!C87</f>
        <v>Base</v>
      </c>
      <c r="D252" s="160" t="n">
        <f aca="false">'🤖 Command R+'!E87</f>
        <v>0.002427184466</v>
      </c>
      <c r="E252" s="118" t="n">
        <f aca="false">'🤖 Command R+'!F87</f>
        <v>0</v>
      </c>
      <c r="F252" s="118" t="n">
        <f aca="false">'🤖 Command R+'!G87</f>
        <v>0</v>
      </c>
      <c r="G252" s="118" t="n">
        <f aca="false">'🤖 Command R+'!H87</f>
        <v>0</v>
      </c>
      <c r="H252" s="118" t="n">
        <f aca="false">'🤖 Command R+'!I87</f>
        <v>0</v>
      </c>
      <c r="I252" s="118" t="n">
        <f aca="false">'🤖 Command R+'!J87</f>
        <v>0</v>
      </c>
    </row>
    <row r="253" customFormat="false" ht="15.75" hidden="false" customHeight="false" outlineLevel="0" collapsed="false">
      <c r="A253" s="116" t="n">
        <f aca="false">'🤖 Command R+'!$A$87</f>
        <v>0</v>
      </c>
      <c r="B253" s="3" t="s">
        <v>21</v>
      </c>
      <c r="C253" s="5" t="str">
        <f aca="false">'🤖 Command R+'!C88</f>
        <v>CoT</v>
      </c>
      <c r="D253" s="160" t="n">
        <f aca="false">'🤖 Command R+'!E88</f>
        <v>0.002427184466</v>
      </c>
      <c r="E253" s="118" t="n">
        <f aca="false">'🤖 Command R+'!F88</f>
        <v>0</v>
      </c>
      <c r="F253" s="118" t="n">
        <f aca="false">'🤖 Command R+'!G88</f>
        <v>0</v>
      </c>
      <c r="G253" s="118" t="n">
        <f aca="false">'🤖 Command R+'!H88</f>
        <v>0</v>
      </c>
      <c r="H253" s="118" t="n">
        <f aca="false">'🤖 Command R+'!I88</f>
        <v>0</v>
      </c>
      <c r="I253" s="118" t="n">
        <f aca="false">'🤖 Command R+'!J88</f>
        <v>0</v>
      </c>
    </row>
    <row r="254" customFormat="false" ht="15.75" hidden="false" customHeight="false" outlineLevel="0" collapsed="false">
      <c r="A254" s="116" t="n">
        <f aca="false">'🤖 Command R+'!$A$87</f>
        <v>0</v>
      </c>
      <c r="B254" s="3" t="s">
        <v>21</v>
      </c>
      <c r="C254" s="5" t="str">
        <f aca="false">'🤖 Command R+'!C89</f>
        <v>5W1H</v>
      </c>
      <c r="D254" s="160" t="n">
        <f aca="false">'🤖 Command R+'!E89</f>
        <v>0.002427184466</v>
      </c>
      <c r="E254" s="118" t="n">
        <f aca="false">'🤖 Command R+'!F89</f>
        <v>0</v>
      </c>
      <c r="F254" s="118" t="n">
        <f aca="false">'🤖 Command R+'!G89</f>
        <v>0</v>
      </c>
      <c r="G254" s="118" t="n">
        <f aca="false">'🤖 Command R+'!H89</f>
        <v>0</v>
      </c>
      <c r="H254" s="118" t="n">
        <f aca="false">'🤖 Command R+'!I89</f>
        <v>0</v>
      </c>
      <c r="I254" s="118" t="n">
        <f aca="false">'🤖 Command R+'!J89</f>
        <v>0</v>
      </c>
    </row>
    <row r="255" customFormat="false" ht="15.75" hidden="false" customHeight="false" outlineLevel="0" collapsed="false">
      <c r="A255" s="116" t="n">
        <f aca="false">'🤖 Command R+'!$A$87</f>
        <v>0</v>
      </c>
      <c r="B255" s="3" t="s">
        <v>21</v>
      </c>
      <c r="C255" s="5" t="str">
        <f aca="false">'🤖 Command R+'!C90</f>
        <v>tldr</v>
      </c>
      <c r="D255" s="160" t="n">
        <f aca="false">'🤖 Command R+'!E90</f>
        <v>0.002427184466</v>
      </c>
      <c r="E255" s="118" t="n">
        <f aca="false">'🤖 Command R+'!F90</f>
        <v>0</v>
      </c>
      <c r="F255" s="118" t="n">
        <f aca="false">'🤖 Command R+'!G90</f>
        <v>0</v>
      </c>
      <c r="G255" s="118" t="n">
        <f aca="false">'🤖 Command R+'!H90</f>
        <v>0</v>
      </c>
      <c r="H255" s="118" t="n">
        <f aca="false">'🤖 Command R+'!I90</f>
        <v>0</v>
      </c>
      <c r="I255" s="118" t="n">
        <f aca="false">'🤖 Command R+'!J90</f>
        <v>0</v>
      </c>
    </row>
    <row r="256" customFormat="false" ht="15.75" hidden="false" customHeight="false" outlineLevel="0" collapsed="false">
      <c r="A256" s="116"/>
      <c r="B256" s="3"/>
      <c r="C256" s="5"/>
      <c r="D256" s="160"/>
      <c r="E256" s="5"/>
      <c r="F256" s="5"/>
      <c r="G256" s="5"/>
      <c r="H256" s="5"/>
      <c r="I256" s="5"/>
    </row>
    <row r="257" customFormat="false" ht="15.75" hidden="false" customHeight="false" outlineLevel="0" collapsed="false">
      <c r="A257" s="116" t="n">
        <f aca="false">'🤖 Command R+'!$A$92</f>
        <v>0</v>
      </c>
      <c r="B257" s="3" t="s">
        <v>21</v>
      </c>
      <c r="C257" s="5" t="str">
        <f aca="false">'🤖 Command R+'!C92</f>
        <v>Base</v>
      </c>
      <c r="D257" s="160" t="n">
        <f aca="false">'🤖 Command R+'!E92</f>
        <v>0.002427184466</v>
      </c>
      <c r="E257" s="118" t="n">
        <f aca="false">'🤖 Command R+'!F92</f>
        <v>0</v>
      </c>
      <c r="F257" s="118" t="n">
        <f aca="false">'🤖 Command R+'!G92</f>
        <v>0</v>
      </c>
      <c r="G257" s="118" t="n">
        <f aca="false">'🤖 Command R+'!H92</f>
        <v>0</v>
      </c>
      <c r="H257" s="118" t="n">
        <f aca="false">'🤖 Command R+'!I92</f>
        <v>0</v>
      </c>
      <c r="I257" s="118" t="n">
        <f aca="false">'🤖 Command R+'!J92</f>
        <v>0</v>
      </c>
    </row>
    <row r="258" customFormat="false" ht="15.75" hidden="false" customHeight="false" outlineLevel="0" collapsed="false">
      <c r="A258" s="116" t="n">
        <f aca="false">'🤖 Command R+'!$A$92</f>
        <v>0</v>
      </c>
      <c r="B258" s="3" t="s">
        <v>21</v>
      </c>
      <c r="C258" s="5" t="str">
        <f aca="false">'🤖 Command R+'!C93</f>
        <v>CoT</v>
      </c>
      <c r="D258" s="160" t="n">
        <f aca="false">'🤖 Command R+'!E93</f>
        <v>0.002427184466</v>
      </c>
      <c r="E258" s="118" t="n">
        <f aca="false">'🤖 Command R+'!F93</f>
        <v>0</v>
      </c>
      <c r="F258" s="118" t="n">
        <f aca="false">'🤖 Command R+'!G93</f>
        <v>0</v>
      </c>
      <c r="G258" s="118" t="n">
        <f aca="false">'🤖 Command R+'!H93</f>
        <v>0</v>
      </c>
      <c r="H258" s="118" t="n">
        <f aca="false">'🤖 Command R+'!I93</f>
        <v>0</v>
      </c>
      <c r="I258" s="118" t="n">
        <f aca="false">'🤖 Command R+'!J93</f>
        <v>0</v>
      </c>
    </row>
    <row r="259" customFormat="false" ht="15.75" hidden="false" customHeight="false" outlineLevel="0" collapsed="false">
      <c r="A259" s="116" t="n">
        <f aca="false">'🤖 Command R+'!$A$92</f>
        <v>0</v>
      </c>
      <c r="B259" s="3" t="s">
        <v>21</v>
      </c>
      <c r="C259" s="5" t="str">
        <f aca="false">'🤖 Command R+'!C94</f>
        <v>5W1H</v>
      </c>
      <c r="D259" s="160" t="n">
        <f aca="false">'🤖 Command R+'!E94</f>
        <v>0.002427184466</v>
      </c>
      <c r="E259" s="118" t="n">
        <f aca="false">'🤖 Command R+'!F94</f>
        <v>0</v>
      </c>
      <c r="F259" s="118" t="n">
        <f aca="false">'🤖 Command R+'!G94</f>
        <v>0</v>
      </c>
      <c r="G259" s="118" t="n">
        <f aca="false">'🤖 Command R+'!H94</f>
        <v>0</v>
      </c>
      <c r="H259" s="118" t="n">
        <f aca="false">'🤖 Command R+'!I94</f>
        <v>0</v>
      </c>
      <c r="I259" s="118" t="n">
        <f aca="false">'🤖 Command R+'!J94</f>
        <v>0</v>
      </c>
    </row>
    <row r="260" customFormat="false" ht="15.75" hidden="false" customHeight="false" outlineLevel="0" collapsed="false">
      <c r="A260" s="116" t="n">
        <f aca="false">'🤖 Command R+'!$A$92</f>
        <v>0</v>
      </c>
      <c r="B260" s="3" t="s">
        <v>21</v>
      </c>
      <c r="C260" s="5" t="str">
        <f aca="false">'🤖 Command R+'!C95</f>
        <v>tldr</v>
      </c>
      <c r="D260" s="160" t="n">
        <f aca="false">'🤖 Command R+'!E95</f>
        <v>0.002427184466</v>
      </c>
      <c r="E260" s="118" t="n">
        <f aca="false">'🤖 Command R+'!F95</f>
        <v>0</v>
      </c>
      <c r="F260" s="118" t="n">
        <f aca="false">'🤖 Command R+'!G95</f>
        <v>0</v>
      </c>
      <c r="G260" s="118" t="n">
        <f aca="false">'🤖 Command R+'!H95</f>
        <v>0</v>
      </c>
      <c r="H260" s="118" t="n">
        <f aca="false">'🤖 Command R+'!I95</f>
        <v>0</v>
      </c>
      <c r="I260" s="118" t="n">
        <f aca="false">'🤖 Command R+'!J95</f>
        <v>0</v>
      </c>
    </row>
    <row r="261" customFormat="false" ht="15.75" hidden="false" customHeight="false" outlineLevel="0" collapsed="false">
      <c r="A261" s="116"/>
      <c r="B261" s="3"/>
      <c r="C261" s="5"/>
      <c r="D261" s="160"/>
      <c r="E261" s="5"/>
      <c r="F261" s="5"/>
      <c r="G261" s="5"/>
      <c r="H261" s="5"/>
      <c r="I261" s="5"/>
    </row>
    <row r="262" customFormat="false" ht="15.75" hidden="false" customHeight="false" outlineLevel="0" collapsed="false">
      <c r="A262" s="116" t="n">
        <f aca="false">'🤖 Command R+'!$A$97</f>
        <v>0</v>
      </c>
      <c r="B262" s="3" t="s">
        <v>21</v>
      </c>
      <c r="C262" s="5" t="str">
        <f aca="false">'🤖 Command R+'!C97</f>
        <v>Base</v>
      </c>
      <c r="D262" s="160" t="n">
        <f aca="false">'🤖 Command R+'!E97</f>
        <v>0.002427184466</v>
      </c>
      <c r="E262" s="118" t="n">
        <f aca="false">'🤖 Command R+'!F97</f>
        <v>0</v>
      </c>
      <c r="F262" s="118" t="n">
        <f aca="false">'🤖 Command R+'!G97</f>
        <v>0</v>
      </c>
      <c r="G262" s="118" t="n">
        <f aca="false">'🤖 Command R+'!H97</f>
        <v>0</v>
      </c>
      <c r="H262" s="118" t="n">
        <f aca="false">'🤖 Command R+'!I97</f>
        <v>0</v>
      </c>
      <c r="I262" s="118" t="n">
        <f aca="false">'🤖 Command R+'!J97</f>
        <v>0</v>
      </c>
    </row>
    <row r="263" customFormat="false" ht="15.75" hidden="false" customHeight="false" outlineLevel="0" collapsed="false">
      <c r="A263" s="116" t="n">
        <f aca="false">'🤖 Command R+'!$A$97</f>
        <v>0</v>
      </c>
      <c r="B263" s="3" t="s">
        <v>21</v>
      </c>
      <c r="C263" s="5" t="str">
        <f aca="false">'🤖 Command R+'!C98</f>
        <v>CoT</v>
      </c>
      <c r="D263" s="160" t="n">
        <f aca="false">'🤖 Command R+'!E98</f>
        <v>0.002427184466</v>
      </c>
      <c r="E263" s="118" t="n">
        <f aca="false">'🤖 Command R+'!F98</f>
        <v>0</v>
      </c>
      <c r="F263" s="118" t="n">
        <f aca="false">'🤖 Command R+'!G98</f>
        <v>0</v>
      </c>
      <c r="G263" s="118" t="n">
        <f aca="false">'🤖 Command R+'!H98</f>
        <v>0</v>
      </c>
      <c r="H263" s="118" t="n">
        <f aca="false">'🤖 Command R+'!I98</f>
        <v>0</v>
      </c>
      <c r="I263" s="118" t="n">
        <f aca="false">'🤖 Command R+'!J98</f>
        <v>0</v>
      </c>
    </row>
    <row r="264" customFormat="false" ht="15.75" hidden="false" customHeight="false" outlineLevel="0" collapsed="false">
      <c r="A264" s="116" t="n">
        <f aca="false">'🤖 Command R+'!$A$97</f>
        <v>0</v>
      </c>
      <c r="B264" s="3" t="s">
        <v>21</v>
      </c>
      <c r="C264" s="5" t="str">
        <f aca="false">'🤖 Command R+'!C99</f>
        <v>5W1H</v>
      </c>
      <c r="D264" s="160" t="n">
        <f aca="false">'🤖 Command R+'!E99</f>
        <v>0.002427184466</v>
      </c>
      <c r="E264" s="118" t="n">
        <f aca="false">'🤖 Command R+'!F99</f>
        <v>0</v>
      </c>
      <c r="F264" s="118" t="n">
        <f aca="false">'🤖 Command R+'!G99</f>
        <v>0</v>
      </c>
      <c r="G264" s="118" t="n">
        <f aca="false">'🤖 Command R+'!H99</f>
        <v>0</v>
      </c>
      <c r="H264" s="118" t="n">
        <f aca="false">'🤖 Command R+'!I99</f>
        <v>0</v>
      </c>
      <c r="I264" s="118" t="n">
        <f aca="false">'🤖 Command R+'!J99</f>
        <v>0</v>
      </c>
    </row>
    <row r="265" customFormat="false" ht="15.75" hidden="false" customHeight="false" outlineLevel="0" collapsed="false">
      <c r="A265" s="116" t="n">
        <f aca="false">'🤖 Command R+'!$A$97</f>
        <v>0</v>
      </c>
      <c r="B265" s="3" t="s">
        <v>21</v>
      </c>
      <c r="C265" s="5" t="str">
        <f aca="false">'🤖 Command R+'!C100</f>
        <v>tldr</v>
      </c>
      <c r="D265" s="160" t="n">
        <f aca="false">'🤖 Command R+'!E100</f>
        <v>0.002427184466</v>
      </c>
      <c r="E265" s="118" t="n">
        <f aca="false">'🤖 Command R+'!F100</f>
        <v>0</v>
      </c>
      <c r="F265" s="118" t="n">
        <f aca="false">'🤖 Command R+'!G100</f>
        <v>0</v>
      </c>
      <c r="G265" s="118" t="n">
        <f aca="false">'🤖 Command R+'!H100</f>
        <v>0</v>
      </c>
      <c r="H265" s="118" t="n">
        <f aca="false">'🤖 Command R+'!I100</f>
        <v>0</v>
      </c>
      <c r="I265" s="118" t="n">
        <f aca="false">'🤖 Command R+'!J100</f>
        <v>0</v>
      </c>
    </row>
    <row r="266" customFormat="false" ht="15.75" hidden="false" customHeight="false" outlineLevel="0" collapsed="false">
      <c r="A266" s="116"/>
      <c r="B266" s="3"/>
      <c r="C266" s="5"/>
      <c r="D266" s="160"/>
      <c r="E266" s="5"/>
      <c r="F266" s="5"/>
      <c r="G266" s="5"/>
      <c r="H266" s="5"/>
      <c r="I266" s="5"/>
    </row>
    <row r="267" customFormat="false" ht="15.75" hidden="false" customHeight="false" outlineLevel="0" collapsed="false">
      <c r="A267" s="116" t="n">
        <f aca="false">'🤖 Command R+'!$A$102</f>
        <v>0</v>
      </c>
      <c r="B267" s="3" t="s">
        <v>21</v>
      </c>
      <c r="C267" s="5" t="str">
        <f aca="false">'🤖 Command R+'!C102</f>
        <v>Base</v>
      </c>
      <c r="D267" s="160" t="n">
        <f aca="false">'🤖 Command R+'!E102</f>
        <v>0.002427184466</v>
      </c>
      <c r="E267" s="118" t="n">
        <f aca="false">'🤖 Command R+'!F102</f>
        <v>0</v>
      </c>
      <c r="F267" s="118" t="n">
        <f aca="false">'🤖 Command R+'!G102</f>
        <v>0</v>
      </c>
      <c r="G267" s="118" t="n">
        <f aca="false">'🤖 Command R+'!H102</f>
        <v>0</v>
      </c>
      <c r="H267" s="118" t="n">
        <f aca="false">'🤖 Command R+'!I102</f>
        <v>0</v>
      </c>
      <c r="I267" s="118" t="n">
        <f aca="false">'🤖 Command R+'!J102</f>
        <v>0</v>
      </c>
    </row>
    <row r="268" customFormat="false" ht="15.75" hidden="false" customHeight="false" outlineLevel="0" collapsed="false">
      <c r="A268" s="116" t="n">
        <f aca="false">'🤖 Command R+'!$A$102</f>
        <v>0</v>
      </c>
      <c r="B268" s="3" t="s">
        <v>21</v>
      </c>
      <c r="C268" s="5" t="str">
        <f aca="false">'🤖 Command R+'!C103</f>
        <v>CoT</v>
      </c>
      <c r="D268" s="160" t="n">
        <f aca="false">'🤖 Command R+'!E103</f>
        <v>0.002427184466</v>
      </c>
      <c r="E268" s="118" t="n">
        <f aca="false">'🤖 Command R+'!F103</f>
        <v>0</v>
      </c>
      <c r="F268" s="118" t="n">
        <f aca="false">'🤖 Command R+'!G103</f>
        <v>0</v>
      </c>
      <c r="G268" s="118" t="n">
        <f aca="false">'🤖 Command R+'!H103</f>
        <v>0</v>
      </c>
      <c r="H268" s="118" t="n">
        <f aca="false">'🤖 Command R+'!I103</f>
        <v>0</v>
      </c>
      <c r="I268" s="118" t="n">
        <f aca="false">'🤖 Command R+'!J103</f>
        <v>0</v>
      </c>
    </row>
    <row r="269" customFormat="false" ht="15.75" hidden="false" customHeight="false" outlineLevel="0" collapsed="false">
      <c r="A269" s="116" t="n">
        <f aca="false">'🤖 Command R+'!$A$102</f>
        <v>0</v>
      </c>
      <c r="B269" s="3" t="s">
        <v>21</v>
      </c>
      <c r="C269" s="5" t="str">
        <f aca="false">'🤖 Command R+'!C104</f>
        <v>5W1H</v>
      </c>
      <c r="D269" s="160" t="n">
        <f aca="false">'🤖 Command R+'!E104</f>
        <v>0.002427184466</v>
      </c>
      <c r="E269" s="118" t="n">
        <f aca="false">'🤖 Command R+'!F104</f>
        <v>0</v>
      </c>
      <c r="F269" s="118" t="n">
        <f aca="false">'🤖 Command R+'!G104</f>
        <v>0</v>
      </c>
      <c r="G269" s="118" t="n">
        <f aca="false">'🤖 Command R+'!H104</f>
        <v>0</v>
      </c>
      <c r="H269" s="118" t="n">
        <f aca="false">'🤖 Command R+'!I104</f>
        <v>0</v>
      </c>
      <c r="I269" s="118" t="n">
        <f aca="false">'🤖 Command R+'!J104</f>
        <v>0</v>
      </c>
    </row>
    <row r="270" customFormat="false" ht="15.75" hidden="false" customHeight="false" outlineLevel="0" collapsed="false">
      <c r="A270" s="116" t="n">
        <f aca="false">'🤖 Command R+'!$A$102</f>
        <v>0</v>
      </c>
      <c r="B270" s="3" t="s">
        <v>21</v>
      </c>
      <c r="C270" s="5" t="str">
        <f aca="false">'🤖 Command R+'!C105</f>
        <v>tldr</v>
      </c>
      <c r="D270" s="160" t="n">
        <f aca="false">'🤖 Command R+'!E105</f>
        <v>0.002427184466</v>
      </c>
      <c r="E270" s="118" t="n">
        <f aca="false">'🤖 Command R+'!F105</f>
        <v>0</v>
      </c>
      <c r="F270" s="118" t="n">
        <f aca="false">'🤖 Command R+'!G105</f>
        <v>0</v>
      </c>
      <c r="G270" s="118" t="n">
        <f aca="false">'🤖 Command R+'!H105</f>
        <v>0</v>
      </c>
      <c r="H270" s="118" t="n">
        <f aca="false">'🤖 Command R+'!I105</f>
        <v>0</v>
      </c>
      <c r="I270" s="118" t="n">
        <f aca="false">'🤖 Command R+'!J105</f>
        <v>0</v>
      </c>
    </row>
    <row r="271" customFormat="false" ht="15.75" hidden="false" customHeight="false" outlineLevel="0" collapsed="false">
      <c r="A271" s="116"/>
      <c r="B271" s="3"/>
      <c r="C271" s="5"/>
      <c r="D271" s="160"/>
      <c r="E271" s="5"/>
      <c r="F271" s="5"/>
      <c r="G271" s="5"/>
      <c r="H271" s="5"/>
      <c r="I271" s="5"/>
    </row>
    <row r="272" customFormat="false" ht="15.75" hidden="false" customHeight="false" outlineLevel="0" collapsed="false">
      <c r="A272" s="116" t="n">
        <f aca="false">'🤖 Command R+'!$A$107</f>
        <v>0</v>
      </c>
      <c r="B272" s="3" t="s">
        <v>21</v>
      </c>
      <c r="C272" s="5" t="str">
        <f aca="false">'🤖 Command R+'!C107</f>
        <v>Base</v>
      </c>
      <c r="D272" s="160" t="n">
        <f aca="false">'🤖 Command R+'!E107</f>
        <v>0.002427184466</v>
      </c>
      <c r="E272" s="118" t="n">
        <f aca="false">'🤖 Command R+'!F107</f>
        <v>0</v>
      </c>
      <c r="F272" s="118" t="n">
        <f aca="false">'🤖 Command R+'!G107</f>
        <v>0</v>
      </c>
      <c r="G272" s="118" t="n">
        <f aca="false">'🤖 Command R+'!H107</f>
        <v>0</v>
      </c>
      <c r="H272" s="118" t="n">
        <f aca="false">'🤖 Command R+'!I107</f>
        <v>0</v>
      </c>
      <c r="I272" s="118" t="n">
        <f aca="false">'🤖 Command R+'!J107</f>
        <v>0</v>
      </c>
    </row>
    <row r="273" customFormat="false" ht="15.75" hidden="false" customHeight="false" outlineLevel="0" collapsed="false">
      <c r="A273" s="116" t="n">
        <f aca="false">'🤖 Command R+'!$A$107</f>
        <v>0</v>
      </c>
      <c r="B273" s="3" t="s">
        <v>21</v>
      </c>
      <c r="C273" s="5" t="str">
        <f aca="false">'🤖 Command R+'!C108</f>
        <v>CoT</v>
      </c>
      <c r="D273" s="160" t="n">
        <f aca="false">'🤖 Command R+'!E108</f>
        <v>0.002427184466</v>
      </c>
      <c r="E273" s="118" t="n">
        <f aca="false">'🤖 Command R+'!F108</f>
        <v>0</v>
      </c>
      <c r="F273" s="118" t="n">
        <f aca="false">'🤖 Command R+'!G108</f>
        <v>0</v>
      </c>
      <c r="G273" s="118" t="n">
        <f aca="false">'🤖 Command R+'!H108</f>
        <v>0</v>
      </c>
      <c r="H273" s="118" t="n">
        <f aca="false">'🤖 Command R+'!I108</f>
        <v>0</v>
      </c>
      <c r="I273" s="118" t="n">
        <f aca="false">'🤖 Command R+'!J108</f>
        <v>0</v>
      </c>
    </row>
    <row r="274" customFormat="false" ht="15.75" hidden="false" customHeight="false" outlineLevel="0" collapsed="false">
      <c r="A274" s="116" t="n">
        <f aca="false">'🤖 Command R+'!$A$107</f>
        <v>0</v>
      </c>
      <c r="B274" s="3" t="s">
        <v>21</v>
      </c>
      <c r="C274" s="5" t="str">
        <f aca="false">'🤖 Command R+'!C109</f>
        <v>5W1H</v>
      </c>
      <c r="D274" s="160" t="n">
        <f aca="false">'🤖 Command R+'!E109</f>
        <v>0.002427184466</v>
      </c>
      <c r="E274" s="118" t="n">
        <f aca="false">'🤖 Command R+'!F109</f>
        <v>0</v>
      </c>
      <c r="F274" s="118" t="n">
        <f aca="false">'🤖 Command R+'!G109</f>
        <v>0</v>
      </c>
      <c r="G274" s="118" t="n">
        <f aca="false">'🤖 Command R+'!H109</f>
        <v>0</v>
      </c>
      <c r="H274" s="118" t="n">
        <f aca="false">'🤖 Command R+'!I109</f>
        <v>0</v>
      </c>
      <c r="I274" s="118" t="n">
        <f aca="false">'🤖 Command R+'!J109</f>
        <v>0</v>
      </c>
    </row>
    <row r="275" customFormat="false" ht="15.75" hidden="false" customHeight="false" outlineLevel="0" collapsed="false">
      <c r="A275" s="116" t="n">
        <f aca="false">'🤖 Command R+'!$A$107</f>
        <v>0</v>
      </c>
      <c r="B275" s="3" t="s">
        <v>21</v>
      </c>
      <c r="C275" s="5" t="str">
        <f aca="false">'🤖 Command R+'!C110</f>
        <v>tldr</v>
      </c>
      <c r="D275" s="160" t="n">
        <f aca="false">'🤖 Command R+'!E110</f>
        <v>0.002427184466</v>
      </c>
      <c r="E275" s="118" t="n">
        <f aca="false">'🤖 Command R+'!F110</f>
        <v>0</v>
      </c>
      <c r="F275" s="118" t="n">
        <f aca="false">'🤖 Command R+'!G110</f>
        <v>0</v>
      </c>
      <c r="G275" s="118" t="n">
        <f aca="false">'🤖 Command R+'!H110</f>
        <v>0</v>
      </c>
      <c r="H275" s="118" t="n">
        <f aca="false">'🤖 Command R+'!I110</f>
        <v>0</v>
      </c>
      <c r="I275" s="118" t="n">
        <f aca="false">'🤖 Command R+'!J110</f>
        <v>0</v>
      </c>
    </row>
    <row r="276" customFormat="false" ht="15.75" hidden="false" customHeight="false" outlineLevel="0" collapsed="false">
      <c r="A276" s="116"/>
      <c r="B276" s="3"/>
      <c r="C276" s="5"/>
      <c r="D276" s="160"/>
      <c r="E276" s="5"/>
      <c r="F276" s="5"/>
      <c r="G276" s="5"/>
      <c r="H276" s="5"/>
      <c r="I276" s="5"/>
    </row>
    <row r="277" customFormat="false" ht="15.75" hidden="false" customHeight="false" outlineLevel="0" collapsed="false">
      <c r="A277" s="116" t="n">
        <f aca="false">'🤖 Command R+'!$A$112</f>
        <v>0</v>
      </c>
      <c r="B277" s="3" t="s">
        <v>21</v>
      </c>
      <c r="C277" s="5" t="str">
        <f aca="false">'🤖 Command R+'!C112</f>
        <v>Base</v>
      </c>
      <c r="D277" s="160" t="n">
        <f aca="false">'🤖 Command R+'!E112</f>
        <v>0.002427184466</v>
      </c>
      <c r="E277" s="118" t="n">
        <f aca="false">'🤖 Command R+'!F112</f>
        <v>0</v>
      </c>
      <c r="F277" s="118" t="n">
        <f aca="false">'🤖 Command R+'!G112</f>
        <v>0</v>
      </c>
      <c r="G277" s="118" t="n">
        <f aca="false">'🤖 Command R+'!H112</f>
        <v>0</v>
      </c>
      <c r="H277" s="118" t="n">
        <f aca="false">'🤖 Command R+'!I112</f>
        <v>0</v>
      </c>
      <c r="I277" s="118" t="n">
        <f aca="false">'🤖 Command R+'!J112</f>
        <v>0</v>
      </c>
    </row>
    <row r="278" customFormat="false" ht="15.75" hidden="false" customHeight="false" outlineLevel="0" collapsed="false">
      <c r="A278" s="116" t="n">
        <f aca="false">'🤖 Command R+'!$A$112</f>
        <v>0</v>
      </c>
      <c r="B278" s="3" t="s">
        <v>21</v>
      </c>
      <c r="C278" s="5" t="str">
        <f aca="false">'🤖 Command R+'!C113</f>
        <v>CoT</v>
      </c>
      <c r="D278" s="160" t="n">
        <f aca="false">'🤖 Command R+'!E113</f>
        <v>0.002427184466</v>
      </c>
      <c r="E278" s="118" t="n">
        <f aca="false">'🤖 Command R+'!F113</f>
        <v>0</v>
      </c>
      <c r="F278" s="118" t="n">
        <f aca="false">'🤖 Command R+'!G113</f>
        <v>0</v>
      </c>
      <c r="G278" s="118" t="n">
        <f aca="false">'🤖 Command R+'!H113</f>
        <v>0</v>
      </c>
      <c r="H278" s="118" t="n">
        <f aca="false">'🤖 Command R+'!I113</f>
        <v>0</v>
      </c>
      <c r="I278" s="118" t="n">
        <f aca="false">'🤖 Command R+'!J113</f>
        <v>0</v>
      </c>
    </row>
    <row r="279" customFormat="false" ht="15.75" hidden="false" customHeight="false" outlineLevel="0" collapsed="false">
      <c r="A279" s="116" t="n">
        <f aca="false">'🤖 Command R+'!$A$112</f>
        <v>0</v>
      </c>
      <c r="B279" s="3" t="s">
        <v>21</v>
      </c>
      <c r="C279" s="5" t="str">
        <f aca="false">'🤖 Command R+'!C114</f>
        <v>5W1H</v>
      </c>
      <c r="D279" s="160" t="n">
        <f aca="false">'🤖 Command R+'!E114</f>
        <v>0.002427184466</v>
      </c>
      <c r="E279" s="118" t="n">
        <f aca="false">'🤖 Command R+'!F114</f>
        <v>0</v>
      </c>
      <c r="F279" s="118" t="n">
        <f aca="false">'🤖 Command R+'!G114</f>
        <v>0</v>
      </c>
      <c r="G279" s="118" t="n">
        <f aca="false">'🤖 Command R+'!H114</f>
        <v>0</v>
      </c>
      <c r="H279" s="118" t="n">
        <f aca="false">'🤖 Command R+'!I114</f>
        <v>0</v>
      </c>
      <c r="I279" s="118" t="n">
        <f aca="false">'🤖 Command R+'!J114</f>
        <v>0</v>
      </c>
    </row>
    <row r="280" customFormat="false" ht="15.75" hidden="false" customHeight="false" outlineLevel="0" collapsed="false">
      <c r="A280" s="116" t="n">
        <f aca="false">'🤖 Command R+'!$A$112</f>
        <v>0</v>
      </c>
      <c r="B280" s="3" t="s">
        <v>21</v>
      </c>
      <c r="C280" s="5" t="str">
        <f aca="false">'🤖 Command R+'!C115</f>
        <v>tldr</v>
      </c>
      <c r="D280" s="160" t="n">
        <f aca="false">'🤖 Command R+'!E115</f>
        <v>0.002427184466</v>
      </c>
      <c r="E280" s="118" t="n">
        <f aca="false">'🤖 Command R+'!F115</f>
        <v>0</v>
      </c>
      <c r="F280" s="118" t="n">
        <f aca="false">'🤖 Command R+'!G115</f>
        <v>0</v>
      </c>
      <c r="G280" s="118" t="n">
        <f aca="false">'🤖 Command R+'!H115</f>
        <v>0</v>
      </c>
      <c r="H280" s="118" t="n">
        <f aca="false">'🤖 Command R+'!I115</f>
        <v>0</v>
      </c>
      <c r="I280" s="118" t="n">
        <f aca="false">'🤖 Command R+'!J115</f>
        <v>0</v>
      </c>
    </row>
    <row r="281" customFormat="false" ht="15.75" hidden="false" customHeight="false" outlineLevel="0" collapsed="false">
      <c r="A281" s="116"/>
      <c r="B281" s="3"/>
      <c r="C281" s="5"/>
      <c r="D281" s="160"/>
      <c r="E281" s="5"/>
      <c r="F281" s="5"/>
      <c r="G281" s="5"/>
      <c r="H281" s="5"/>
      <c r="I281" s="5"/>
    </row>
    <row r="282" customFormat="false" ht="15.75" hidden="false" customHeight="false" outlineLevel="0" collapsed="false">
      <c r="A282" s="116" t="n">
        <f aca="false">'🤖 Command R+'!$A$117</f>
        <v>0</v>
      </c>
      <c r="B282" s="3" t="s">
        <v>21</v>
      </c>
      <c r="C282" s="5" t="str">
        <f aca="false">'🤖 Command R+'!C117</f>
        <v>Base</v>
      </c>
      <c r="D282" s="160" t="n">
        <f aca="false">'🤖 Command R+'!E117</f>
        <v>0.002427184466</v>
      </c>
      <c r="E282" s="118" t="n">
        <f aca="false">'🤖 Command R+'!F117</f>
        <v>0</v>
      </c>
      <c r="F282" s="118" t="n">
        <f aca="false">'🤖 Command R+'!G117</f>
        <v>0</v>
      </c>
      <c r="G282" s="118" t="n">
        <f aca="false">'🤖 Command R+'!H117</f>
        <v>0</v>
      </c>
      <c r="H282" s="118" t="n">
        <f aca="false">'🤖 Command R+'!I117</f>
        <v>0</v>
      </c>
      <c r="I282" s="118" t="n">
        <f aca="false">'🤖 Command R+'!J117</f>
        <v>0</v>
      </c>
    </row>
    <row r="283" customFormat="false" ht="15.75" hidden="false" customHeight="false" outlineLevel="0" collapsed="false">
      <c r="A283" s="116" t="n">
        <f aca="false">'🤖 Command R+'!$A$117</f>
        <v>0</v>
      </c>
      <c r="B283" s="3" t="s">
        <v>21</v>
      </c>
      <c r="C283" s="5" t="str">
        <f aca="false">'🤖 Command R+'!C118</f>
        <v>CoT</v>
      </c>
      <c r="D283" s="160" t="n">
        <f aca="false">'🤖 Command R+'!E118</f>
        <v>0.002427184466</v>
      </c>
      <c r="E283" s="118" t="n">
        <f aca="false">'🤖 Command R+'!F118</f>
        <v>0</v>
      </c>
      <c r="F283" s="118" t="n">
        <f aca="false">'🤖 Command R+'!G118</f>
        <v>0</v>
      </c>
      <c r="G283" s="118" t="n">
        <f aca="false">'🤖 Command R+'!H118</f>
        <v>0</v>
      </c>
      <c r="H283" s="118" t="n">
        <f aca="false">'🤖 Command R+'!I118</f>
        <v>0</v>
      </c>
      <c r="I283" s="118" t="n">
        <f aca="false">'🤖 Command R+'!J118</f>
        <v>0</v>
      </c>
    </row>
    <row r="284" customFormat="false" ht="15.75" hidden="false" customHeight="false" outlineLevel="0" collapsed="false">
      <c r="A284" s="116" t="n">
        <f aca="false">'🤖 Command R+'!$A$117</f>
        <v>0</v>
      </c>
      <c r="B284" s="3" t="s">
        <v>21</v>
      </c>
      <c r="C284" s="5" t="str">
        <f aca="false">'🤖 Command R+'!C119</f>
        <v>5W1H</v>
      </c>
      <c r="D284" s="160" t="n">
        <f aca="false">'🤖 Command R+'!E119</f>
        <v>0.002427184466</v>
      </c>
      <c r="E284" s="118" t="n">
        <f aca="false">'🤖 Command R+'!F119</f>
        <v>0</v>
      </c>
      <c r="F284" s="118" t="n">
        <f aca="false">'🤖 Command R+'!G119</f>
        <v>0</v>
      </c>
      <c r="G284" s="118" t="n">
        <f aca="false">'🤖 Command R+'!H119</f>
        <v>0</v>
      </c>
      <c r="H284" s="118" t="n">
        <f aca="false">'🤖 Command R+'!I119</f>
        <v>0</v>
      </c>
      <c r="I284" s="118" t="n">
        <f aca="false">'🤖 Command R+'!J119</f>
        <v>0</v>
      </c>
    </row>
    <row r="285" customFormat="false" ht="15.75" hidden="false" customHeight="false" outlineLevel="0" collapsed="false">
      <c r="A285" s="116" t="n">
        <f aca="false">'🤖 Command R+'!$A$117</f>
        <v>0</v>
      </c>
      <c r="B285" s="3" t="s">
        <v>21</v>
      </c>
      <c r="C285" s="5" t="str">
        <f aca="false">'🤖 Command R+'!C120</f>
        <v>tldr</v>
      </c>
      <c r="D285" s="160" t="n">
        <f aca="false">'🤖 Command R+'!E120</f>
        <v>0.002427184466</v>
      </c>
      <c r="E285" s="118" t="n">
        <f aca="false">'🤖 Command R+'!F120</f>
        <v>0</v>
      </c>
      <c r="F285" s="118" t="n">
        <f aca="false">'🤖 Command R+'!G120</f>
        <v>0</v>
      </c>
      <c r="G285" s="118" t="n">
        <f aca="false">'🤖 Command R+'!H120</f>
        <v>0</v>
      </c>
      <c r="H285" s="118" t="n">
        <f aca="false">'🤖 Command R+'!I120</f>
        <v>0</v>
      </c>
      <c r="I285" s="118" t="n">
        <f aca="false">'🤖 Command R+'!J120</f>
        <v>0</v>
      </c>
    </row>
    <row r="286" customFormat="false" ht="15.75" hidden="false" customHeight="false" outlineLevel="0" collapsed="false">
      <c r="A286" s="116"/>
      <c r="B286" s="3"/>
      <c r="C286" s="5"/>
      <c r="D286" s="160"/>
      <c r="E286" s="5"/>
      <c r="F286" s="5"/>
      <c r="G286" s="5"/>
      <c r="H286" s="5"/>
      <c r="I286" s="5"/>
    </row>
    <row r="287" customFormat="false" ht="15.75" hidden="false" customHeight="false" outlineLevel="0" collapsed="false">
      <c r="A287" s="116" t="n">
        <f aca="false">'🤖 Command R+'!$A$122</f>
        <v>0</v>
      </c>
      <c r="B287" s="3" t="s">
        <v>21</v>
      </c>
      <c r="C287" s="5" t="str">
        <f aca="false">'🤖 Command R+'!C122</f>
        <v>Base</v>
      </c>
      <c r="D287" s="160" t="n">
        <f aca="false">'🤖 Command R+'!E122</f>
        <v>0.002427184466</v>
      </c>
      <c r="E287" s="118" t="n">
        <f aca="false">'🤖 Command R+'!F122</f>
        <v>0</v>
      </c>
      <c r="F287" s="118" t="n">
        <f aca="false">'🤖 Command R+'!G122</f>
        <v>0</v>
      </c>
      <c r="G287" s="118" t="n">
        <f aca="false">'🤖 Command R+'!H122</f>
        <v>0</v>
      </c>
      <c r="H287" s="118" t="n">
        <f aca="false">'🤖 Command R+'!I122</f>
        <v>0</v>
      </c>
      <c r="I287" s="118" t="n">
        <f aca="false">'🤖 Command R+'!J122</f>
        <v>0</v>
      </c>
    </row>
    <row r="288" customFormat="false" ht="15.75" hidden="false" customHeight="false" outlineLevel="0" collapsed="false">
      <c r="A288" s="116" t="n">
        <f aca="false">'🤖 Command R+'!$A$122</f>
        <v>0</v>
      </c>
      <c r="B288" s="3" t="s">
        <v>21</v>
      </c>
      <c r="C288" s="5" t="str">
        <f aca="false">'🤖 Command R+'!C123</f>
        <v>CoT</v>
      </c>
      <c r="D288" s="160" t="n">
        <f aca="false">'🤖 Command R+'!E123</f>
        <v>0.002427184466</v>
      </c>
      <c r="E288" s="118" t="n">
        <f aca="false">'🤖 Command R+'!F123</f>
        <v>0</v>
      </c>
      <c r="F288" s="118" t="n">
        <f aca="false">'🤖 Command R+'!G123</f>
        <v>0</v>
      </c>
      <c r="G288" s="118" t="n">
        <f aca="false">'🤖 Command R+'!H123</f>
        <v>0</v>
      </c>
      <c r="H288" s="118" t="n">
        <f aca="false">'🤖 Command R+'!I123</f>
        <v>0</v>
      </c>
      <c r="I288" s="118" t="n">
        <f aca="false">'🤖 Command R+'!J123</f>
        <v>0</v>
      </c>
    </row>
    <row r="289" customFormat="false" ht="15.75" hidden="false" customHeight="false" outlineLevel="0" collapsed="false">
      <c r="A289" s="116" t="n">
        <f aca="false">'🤖 Command R+'!$A$122</f>
        <v>0</v>
      </c>
      <c r="B289" s="3" t="s">
        <v>21</v>
      </c>
      <c r="C289" s="5" t="str">
        <f aca="false">'🤖 Command R+'!C124</f>
        <v>5W1H</v>
      </c>
      <c r="D289" s="160" t="n">
        <f aca="false">'🤖 Command R+'!E124</f>
        <v>0.002427184466</v>
      </c>
      <c r="E289" s="118" t="n">
        <f aca="false">'🤖 Command R+'!F124</f>
        <v>0</v>
      </c>
      <c r="F289" s="118" t="n">
        <f aca="false">'🤖 Command R+'!G124</f>
        <v>0</v>
      </c>
      <c r="G289" s="118" t="n">
        <f aca="false">'🤖 Command R+'!H124</f>
        <v>0</v>
      </c>
      <c r="H289" s="118" t="n">
        <f aca="false">'🤖 Command R+'!I124</f>
        <v>0</v>
      </c>
      <c r="I289" s="118" t="n">
        <f aca="false">'🤖 Command R+'!J124</f>
        <v>0</v>
      </c>
    </row>
    <row r="290" customFormat="false" ht="15.75" hidden="false" customHeight="false" outlineLevel="0" collapsed="false">
      <c r="A290" s="116" t="n">
        <f aca="false">'🤖 Command R+'!$A$122</f>
        <v>0</v>
      </c>
      <c r="B290" s="3" t="s">
        <v>21</v>
      </c>
      <c r="C290" s="5" t="str">
        <f aca="false">'🤖 Command R+'!C125</f>
        <v>tldr</v>
      </c>
      <c r="D290" s="160" t="n">
        <f aca="false">'🤖 Command R+'!E125</f>
        <v>0.002427184466</v>
      </c>
      <c r="E290" s="118" t="n">
        <f aca="false">'🤖 Command R+'!F125</f>
        <v>0</v>
      </c>
      <c r="F290" s="118" t="n">
        <f aca="false">'🤖 Command R+'!G125</f>
        <v>0</v>
      </c>
      <c r="G290" s="118" t="n">
        <f aca="false">'🤖 Command R+'!H125</f>
        <v>0</v>
      </c>
      <c r="H290" s="118" t="n">
        <f aca="false">'🤖 Command R+'!I125</f>
        <v>0</v>
      </c>
      <c r="I290" s="118" t="n">
        <f aca="false">'🤖 Command R+'!J125</f>
        <v>0</v>
      </c>
    </row>
    <row r="291" customFormat="false" ht="15.75" hidden="false" customHeight="false" outlineLevel="0" collapsed="false">
      <c r="A291" s="116"/>
      <c r="B291" s="3"/>
      <c r="C291" s="5"/>
      <c r="D291" s="160"/>
      <c r="E291" s="5"/>
      <c r="F291" s="5"/>
      <c r="G291" s="5"/>
      <c r="H291" s="5"/>
      <c r="I291" s="5"/>
    </row>
    <row r="292" customFormat="false" ht="15.75" hidden="false" customHeight="false" outlineLevel="0" collapsed="false">
      <c r="A292" s="116" t="n">
        <f aca="false">'🤖 Command R+'!$A$127</f>
        <v>0</v>
      </c>
      <c r="B292" s="3" t="s">
        <v>21</v>
      </c>
      <c r="C292" s="5" t="str">
        <f aca="false">'🤖 Command R+'!C127</f>
        <v>Base</v>
      </c>
      <c r="D292" s="160" t="n">
        <f aca="false">'🤖 Command R+'!E127</f>
        <v>0.002427184466</v>
      </c>
      <c r="E292" s="118" t="n">
        <f aca="false">'🤖 Command R+'!F127</f>
        <v>0</v>
      </c>
      <c r="F292" s="118" t="n">
        <f aca="false">'🤖 Command R+'!G127</f>
        <v>0</v>
      </c>
      <c r="G292" s="118" t="n">
        <f aca="false">'🤖 Command R+'!H127</f>
        <v>0</v>
      </c>
      <c r="H292" s="118" t="n">
        <f aca="false">'🤖 Command R+'!I127</f>
        <v>0</v>
      </c>
      <c r="I292" s="118" t="n">
        <f aca="false">'🤖 Command R+'!J127</f>
        <v>0</v>
      </c>
    </row>
    <row r="293" customFormat="false" ht="15.75" hidden="false" customHeight="false" outlineLevel="0" collapsed="false">
      <c r="A293" s="116" t="n">
        <f aca="false">'🤖 Command R+'!$A$127</f>
        <v>0</v>
      </c>
      <c r="B293" s="3" t="s">
        <v>21</v>
      </c>
      <c r="C293" s="5" t="str">
        <f aca="false">'🤖 Command R+'!C128</f>
        <v>CoT</v>
      </c>
      <c r="D293" s="160" t="n">
        <f aca="false">'🤖 Command R+'!E128</f>
        <v>0.002427184466</v>
      </c>
      <c r="E293" s="118" t="n">
        <f aca="false">'🤖 Command R+'!F128</f>
        <v>0</v>
      </c>
      <c r="F293" s="118" t="n">
        <f aca="false">'🤖 Command R+'!G128</f>
        <v>0</v>
      </c>
      <c r="G293" s="118" t="n">
        <f aca="false">'🤖 Command R+'!H128</f>
        <v>0</v>
      </c>
      <c r="H293" s="118" t="n">
        <f aca="false">'🤖 Command R+'!I128</f>
        <v>0</v>
      </c>
      <c r="I293" s="118" t="n">
        <f aca="false">'🤖 Command R+'!J128</f>
        <v>0</v>
      </c>
    </row>
    <row r="294" customFormat="false" ht="15.75" hidden="false" customHeight="false" outlineLevel="0" collapsed="false">
      <c r="A294" s="116" t="n">
        <f aca="false">'🤖 Command R+'!$A$127</f>
        <v>0</v>
      </c>
      <c r="B294" s="3" t="s">
        <v>21</v>
      </c>
      <c r="C294" s="5" t="str">
        <f aca="false">'🤖 Command R+'!C129</f>
        <v>5W1H</v>
      </c>
      <c r="D294" s="160" t="n">
        <f aca="false">'🤖 Command R+'!E129</f>
        <v>0.002427184466</v>
      </c>
      <c r="E294" s="118" t="n">
        <f aca="false">'🤖 Command R+'!F129</f>
        <v>0</v>
      </c>
      <c r="F294" s="118" t="n">
        <f aca="false">'🤖 Command R+'!G129</f>
        <v>0</v>
      </c>
      <c r="G294" s="118" t="n">
        <f aca="false">'🤖 Command R+'!H129</f>
        <v>0</v>
      </c>
      <c r="H294" s="118" t="n">
        <f aca="false">'🤖 Command R+'!I129</f>
        <v>0</v>
      </c>
      <c r="I294" s="118" t="n">
        <f aca="false">'🤖 Command R+'!J129</f>
        <v>0</v>
      </c>
    </row>
    <row r="295" customFormat="false" ht="15.75" hidden="false" customHeight="false" outlineLevel="0" collapsed="false">
      <c r="A295" s="116" t="n">
        <f aca="false">'🤖 Command R+'!$A$127</f>
        <v>0</v>
      </c>
      <c r="B295" s="3" t="s">
        <v>21</v>
      </c>
      <c r="C295" s="5" t="str">
        <f aca="false">'🤖 Command R+'!C130</f>
        <v>tldr</v>
      </c>
      <c r="D295" s="160" t="n">
        <f aca="false">'🤖 Command R+'!E130</f>
        <v>0.002427184466</v>
      </c>
      <c r="E295" s="118" t="n">
        <f aca="false">'🤖 Command R+'!F130</f>
        <v>0</v>
      </c>
      <c r="F295" s="118" t="n">
        <f aca="false">'🤖 Command R+'!G130</f>
        <v>0</v>
      </c>
      <c r="G295" s="118" t="n">
        <f aca="false">'🤖 Command R+'!H130</f>
        <v>0</v>
      </c>
      <c r="H295" s="118" t="n">
        <f aca="false">'🤖 Command R+'!I130</f>
        <v>0</v>
      </c>
      <c r="I295" s="118" t="n">
        <f aca="false">'🤖 Command R+'!J130</f>
        <v>0</v>
      </c>
    </row>
    <row r="296" customFormat="false" ht="15.75" hidden="false" customHeight="false" outlineLevel="0" collapsed="false">
      <c r="A296" s="116"/>
      <c r="B296" s="3"/>
      <c r="C296" s="5"/>
      <c r="D296" s="160"/>
      <c r="E296" s="5"/>
      <c r="F296" s="5"/>
      <c r="G296" s="5"/>
      <c r="H296" s="5"/>
      <c r="I296" s="5"/>
    </row>
    <row r="297" customFormat="false" ht="15.75" hidden="false" customHeight="false" outlineLevel="0" collapsed="false">
      <c r="A297" s="116" t="n">
        <f aca="false">'🤖 Command R+'!$A$132</f>
        <v>0</v>
      </c>
      <c r="B297" s="3" t="s">
        <v>21</v>
      </c>
      <c r="C297" s="5" t="str">
        <f aca="false">'🤖 Command R+'!C132</f>
        <v>Base</v>
      </c>
      <c r="D297" s="160" t="n">
        <f aca="false">'🤖 Command R+'!E132</f>
        <v>0.002427184466</v>
      </c>
      <c r="E297" s="118" t="n">
        <f aca="false">'🤖 Command R+'!F132</f>
        <v>0</v>
      </c>
      <c r="F297" s="118" t="n">
        <f aca="false">'🤖 Command R+'!G132</f>
        <v>0</v>
      </c>
      <c r="G297" s="118" t="n">
        <f aca="false">'🤖 Command R+'!H132</f>
        <v>0</v>
      </c>
      <c r="H297" s="118" t="n">
        <f aca="false">'🤖 Command R+'!I132</f>
        <v>0</v>
      </c>
      <c r="I297" s="118" t="n">
        <f aca="false">'🤖 Command R+'!J132</f>
        <v>0</v>
      </c>
    </row>
    <row r="298" customFormat="false" ht="15.75" hidden="false" customHeight="false" outlineLevel="0" collapsed="false">
      <c r="A298" s="116" t="n">
        <f aca="false">'🤖 Command R+'!$A$132</f>
        <v>0</v>
      </c>
      <c r="B298" s="3" t="s">
        <v>21</v>
      </c>
      <c r="C298" s="5" t="str">
        <f aca="false">'🤖 Command R+'!C133</f>
        <v>CoT</v>
      </c>
      <c r="D298" s="160" t="n">
        <f aca="false">'🤖 Command R+'!E133</f>
        <v>0.002427184466</v>
      </c>
      <c r="E298" s="118" t="n">
        <f aca="false">'🤖 Command R+'!F133</f>
        <v>0</v>
      </c>
      <c r="F298" s="118" t="n">
        <f aca="false">'🤖 Command R+'!G133</f>
        <v>0</v>
      </c>
      <c r="G298" s="118" t="n">
        <f aca="false">'🤖 Command R+'!H133</f>
        <v>0</v>
      </c>
      <c r="H298" s="118" t="n">
        <f aca="false">'🤖 Command R+'!I133</f>
        <v>0</v>
      </c>
      <c r="I298" s="118" t="n">
        <f aca="false">'🤖 Command R+'!J133</f>
        <v>0</v>
      </c>
    </row>
    <row r="299" customFormat="false" ht="15.75" hidden="false" customHeight="false" outlineLevel="0" collapsed="false">
      <c r="A299" s="116" t="n">
        <f aca="false">'🤖 Command R+'!$A$132</f>
        <v>0</v>
      </c>
      <c r="B299" s="3" t="s">
        <v>21</v>
      </c>
      <c r="C299" s="5" t="str">
        <f aca="false">'🤖 Command R+'!C134</f>
        <v>5W1H</v>
      </c>
      <c r="D299" s="160" t="n">
        <f aca="false">'🤖 Command R+'!E134</f>
        <v>0.002427184466</v>
      </c>
      <c r="E299" s="118" t="n">
        <f aca="false">'🤖 Command R+'!F134</f>
        <v>0</v>
      </c>
      <c r="F299" s="118" t="n">
        <f aca="false">'🤖 Command R+'!G134</f>
        <v>0</v>
      </c>
      <c r="G299" s="118" t="n">
        <f aca="false">'🤖 Command R+'!H134</f>
        <v>0</v>
      </c>
      <c r="H299" s="118" t="n">
        <f aca="false">'🤖 Command R+'!I134</f>
        <v>0</v>
      </c>
      <c r="I299" s="118" t="n">
        <f aca="false">'🤖 Command R+'!J134</f>
        <v>0</v>
      </c>
    </row>
    <row r="300" customFormat="false" ht="15.75" hidden="false" customHeight="false" outlineLevel="0" collapsed="false">
      <c r="A300" s="116" t="n">
        <f aca="false">'🤖 Command R+'!$A$132</f>
        <v>0</v>
      </c>
      <c r="B300" s="3" t="s">
        <v>21</v>
      </c>
      <c r="C300" s="5" t="str">
        <f aca="false">'🤖 Command R+'!C135</f>
        <v>tldr</v>
      </c>
      <c r="D300" s="160" t="n">
        <f aca="false">'🤖 Command R+'!E135</f>
        <v>0.002427184466</v>
      </c>
      <c r="E300" s="118" t="n">
        <f aca="false">'🤖 Command R+'!F135</f>
        <v>0</v>
      </c>
      <c r="F300" s="118" t="n">
        <f aca="false">'🤖 Command R+'!G135</f>
        <v>0</v>
      </c>
      <c r="G300" s="118" t="n">
        <f aca="false">'🤖 Command R+'!H135</f>
        <v>0</v>
      </c>
      <c r="H300" s="118" t="n">
        <f aca="false">'🤖 Command R+'!I135</f>
        <v>0</v>
      </c>
      <c r="I300" s="118" t="n">
        <f aca="false">'🤖 Command R+'!J135</f>
        <v>0</v>
      </c>
    </row>
    <row r="301" customFormat="false" ht="15.75" hidden="false" customHeight="false" outlineLevel="0" collapsed="false">
      <c r="A301" s="116"/>
      <c r="B301" s="3"/>
      <c r="C301" s="5"/>
      <c r="D301" s="160"/>
      <c r="E301" s="5"/>
      <c r="F301" s="5"/>
      <c r="G301" s="5"/>
      <c r="H301" s="5"/>
      <c r="I301" s="5"/>
    </row>
    <row r="302" customFormat="false" ht="15.75" hidden="false" customHeight="false" outlineLevel="0" collapsed="false">
      <c r="A302" s="116" t="n">
        <f aca="false">'🤖 Command R+'!$A$137</f>
        <v>0</v>
      </c>
      <c r="B302" s="3" t="s">
        <v>21</v>
      </c>
      <c r="C302" s="5" t="str">
        <f aca="false">'🤖 Command R+'!C137</f>
        <v>Base</v>
      </c>
      <c r="D302" s="160" t="n">
        <f aca="false">'🤖 Command R+'!E137</f>
        <v>0.002427184466</v>
      </c>
      <c r="E302" s="118" t="n">
        <f aca="false">'🤖 Command R+'!F137</f>
        <v>0</v>
      </c>
      <c r="F302" s="118" t="n">
        <f aca="false">'🤖 Command R+'!G137</f>
        <v>0</v>
      </c>
      <c r="G302" s="118" t="n">
        <f aca="false">'🤖 Command R+'!H137</f>
        <v>0</v>
      </c>
      <c r="H302" s="118" t="n">
        <f aca="false">'🤖 Command R+'!I137</f>
        <v>0</v>
      </c>
      <c r="I302" s="118" t="n">
        <f aca="false">'🤖 Command R+'!J137</f>
        <v>0</v>
      </c>
    </row>
    <row r="303" customFormat="false" ht="15.75" hidden="false" customHeight="false" outlineLevel="0" collapsed="false">
      <c r="A303" s="116" t="n">
        <f aca="false">'🤖 Command R+'!$A$137</f>
        <v>0</v>
      </c>
      <c r="B303" s="3" t="s">
        <v>21</v>
      </c>
      <c r="C303" s="5" t="str">
        <f aca="false">'🤖 Command R+'!C138</f>
        <v>CoT</v>
      </c>
      <c r="D303" s="160" t="n">
        <f aca="false">'🤖 Command R+'!E138</f>
        <v>0.002427184466</v>
      </c>
      <c r="E303" s="118" t="n">
        <f aca="false">'🤖 Command R+'!F138</f>
        <v>0</v>
      </c>
      <c r="F303" s="118" t="n">
        <f aca="false">'🤖 Command R+'!G138</f>
        <v>0</v>
      </c>
      <c r="G303" s="118" t="n">
        <f aca="false">'🤖 Command R+'!H138</f>
        <v>0</v>
      </c>
      <c r="H303" s="118" t="n">
        <f aca="false">'🤖 Command R+'!I138</f>
        <v>0</v>
      </c>
      <c r="I303" s="118" t="n">
        <f aca="false">'🤖 Command R+'!J138</f>
        <v>0</v>
      </c>
    </row>
    <row r="304" customFormat="false" ht="15.75" hidden="false" customHeight="false" outlineLevel="0" collapsed="false">
      <c r="A304" s="116" t="n">
        <f aca="false">'🤖 Command R+'!$A$137</f>
        <v>0</v>
      </c>
      <c r="B304" s="3" t="s">
        <v>21</v>
      </c>
      <c r="C304" s="5" t="str">
        <f aca="false">'🤖 Command R+'!C139</f>
        <v>5W1H</v>
      </c>
      <c r="D304" s="160" t="n">
        <f aca="false">'🤖 Command R+'!E139</f>
        <v>0.002427184466</v>
      </c>
      <c r="E304" s="118" t="n">
        <f aca="false">'🤖 Command R+'!F139</f>
        <v>0</v>
      </c>
      <c r="F304" s="118" t="n">
        <f aca="false">'🤖 Command R+'!G139</f>
        <v>0</v>
      </c>
      <c r="G304" s="118" t="n">
        <f aca="false">'🤖 Command R+'!H139</f>
        <v>0</v>
      </c>
      <c r="H304" s="118" t="n">
        <f aca="false">'🤖 Command R+'!I139</f>
        <v>0</v>
      </c>
      <c r="I304" s="118" t="n">
        <f aca="false">'🤖 Command R+'!J139</f>
        <v>0</v>
      </c>
    </row>
    <row r="305" customFormat="false" ht="15.75" hidden="false" customHeight="false" outlineLevel="0" collapsed="false">
      <c r="A305" s="116" t="n">
        <f aca="false">'🤖 Command R+'!$A$137</f>
        <v>0</v>
      </c>
      <c r="B305" s="3" t="s">
        <v>21</v>
      </c>
      <c r="C305" s="5" t="str">
        <f aca="false">'🤖 Command R+'!C140</f>
        <v>tldr</v>
      </c>
      <c r="D305" s="160" t="n">
        <f aca="false">'🤖 Command R+'!E140</f>
        <v>0.002427184466</v>
      </c>
      <c r="E305" s="118" t="n">
        <f aca="false">'🤖 Command R+'!F140</f>
        <v>0</v>
      </c>
      <c r="F305" s="118" t="n">
        <f aca="false">'🤖 Command R+'!G140</f>
        <v>0</v>
      </c>
      <c r="G305" s="118" t="n">
        <f aca="false">'🤖 Command R+'!H140</f>
        <v>0</v>
      </c>
      <c r="H305" s="118" t="n">
        <f aca="false">'🤖 Command R+'!I140</f>
        <v>0</v>
      </c>
      <c r="I305" s="118" t="n">
        <f aca="false">'🤖 Command R+'!J140</f>
        <v>0</v>
      </c>
    </row>
    <row r="306" customFormat="false" ht="15.75" hidden="false" customHeight="false" outlineLevel="0" collapsed="false">
      <c r="A306" s="116"/>
      <c r="B306" s="3"/>
      <c r="C306" s="5"/>
      <c r="D306" s="160"/>
      <c r="E306" s="5"/>
      <c r="F306" s="5"/>
      <c r="G306" s="5"/>
      <c r="H306" s="5"/>
      <c r="I306" s="5"/>
    </row>
    <row r="307" customFormat="false" ht="15.75" hidden="false" customHeight="false" outlineLevel="0" collapsed="false">
      <c r="A307" s="116" t="n">
        <f aca="false">'🤖 Command R+'!$A$142</f>
        <v>0</v>
      </c>
      <c r="B307" s="3" t="s">
        <v>21</v>
      </c>
      <c r="C307" s="5" t="str">
        <f aca="false">'🤖 Command R+'!C142</f>
        <v>Base</v>
      </c>
      <c r="D307" s="160" t="n">
        <f aca="false">'🤖 Command R+'!E142</f>
        <v>0.002427184466</v>
      </c>
      <c r="E307" s="118" t="n">
        <f aca="false">'🤖 Command R+'!F142</f>
        <v>0</v>
      </c>
      <c r="F307" s="118" t="n">
        <f aca="false">'🤖 Command R+'!G142</f>
        <v>0</v>
      </c>
      <c r="G307" s="118" t="n">
        <f aca="false">'🤖 Command R+'!H142</f>
        <v>0</v>
      </c>
      <c r="H307" s="118" t="n">
        <f aca="false">'🤖 Command R+'!I142</f>
        <v>0</v>
      </c>
      <c r="I307" s="118" t="n">
        <f aca="false">'🤖 Command R+'!J142</f>
        <v>0</v>
      </c>
    </row>
    <row r="308" customFormat="false" ht="15.75" hidden="false" customHeight="false" outlineLevel="0" collapsed="false">
      <c r="A308" s="116" t="n">
        <f aca="false">'🤖 Command R+'!$A$142</f>
        <v>0</v>
      </c>
      <c r="B308" s="3" t="s">
        <v>21</v>
      </c>
      <c r="C308" s="5" t="str">
        <f aca="false">'🤖 Command R+'!C143</f>
        <v>CoT</v>
      </c>
      <c r="D308" s="160" t="n">
        <f aca="false">'🤖 Command R+'!E143</f>
        <v>0.002427184466</v>
      </c>
      <c r="E308" s="118" t="n">
        <f aca="false">'🤖 Command R+'!F143</f>
        <v>0</v>
      </c>
      <c r="F308" s="118" t="n">
        <f aca="false">'🤖 Command R+'!G143</f>
        <v>0</v>
      </c>
      <c r="G308" s="118" t="n">
        <f aca="false">'🤖 Command R+'!H143</f>
        <v>0</v>
      </c>
      <c r="H308" s="118" t="n">
        <f aca="false">'🤖 Command R+'!I143</f>
        <v>0</v>
      </c>
      <c r="I308" s="118" t="n">
        <f aca="false">'🤖 Command R+'!J143</f>
        <v>0</v>
      </c>
    </row>
    <row r="309" customFormat="false" ht="15.75" hidden="false" customHeight="false" outlineLevel="0" collapsed="false">
      <c r="A309" s="116" t="n">
        <f aca="false">'🤖 Command R+'!$A$142</f>
        <v>0</v>
      </c>
      <c r="B309" s="3" t="s">
        <v>21</v>
      </c>
      <c r="C309" s="5" t="str">
        <f aca="false">'🤖 Command R+'!C144</f>
        <v>5W1H</v>
      </c>
      <c r="D309" s="160" t="n">
        <f aca="false">'🤖 Command R+'!E144</f>
        <v>0.002427184466</v>
      </c>
      <c r="E309" s="118" t="n">
        <f aca="false">'🤖 Command R+'!F144</f>
        <v>0</v>
      </c>
      <c r="F309" s="118" t="n">
        <f aca="false">'🤖 Command R+'!G144</f>
        <v>0</v>
      </c>
      <c r="G309" s="118" t="n">
        <f aca="false">'🤖 Command R+'!H144</f>
        <v>0</v>
      </c>
      <c r="H309" s="118" t="n">
        <f aca="false">'🤖 Command R+'!I144</f>
        <v>0</v>
      </c>
      <c r="I309" s="118" t="n">
        <f aca="false">'🤖 Command R+'!J144</f>
        <v>0</v>
      </c>
    </row>
    <row r="310" customFormat="false" ht="15.75" hidden="false" customHeight="false" outlineLevel="0" collapsed="false">
      <c r="A310" s="116" t="n">
        <f aca="false">'🤖 Command R+'!$A$142</f>
        <v>0</v>
      </c>
      <c r="B310" s="3" t="s">
        <v>21</v>
      </c>
      <c r="C310" s="5" t="str">
        <f aca="false">'🤖 Command R+'!C145</f>
        <v>tldr</v>
      </c>
      <c r="D310" s="160" t="n">
        <f aca="false">'🤖 Command R+'!E145</f>
        <v>0.002427184466</v>
      </c>
      <c r="E310" s="118" t="n">
        <f aca="false">'🤖 Command R+'!F145</f>
        <v>0</v>
      </c>
      <c r="F310" s="118" t="n">
        <f aca="false">'🤖 Command R+'!G145</f>
        <v>0</v>
      </c>
      <c r="G310" s="118" t="n">
        <f aca="false">'🤖 Command R+'!H145</f>
        <v>0</v>
      </c>
      <c r="H310" s="118" t="n">
        <f aca="false">'🤖 Command R+'!I145</f>
        <v>0</v>
      </c>
      <c r="I310" s="118" t="n">
        <f aca="false">'🤖 Command R+'!J145</f>
        <v>0</v>
      </c>
    </row>
    <row r="311" customFormat="false" ht="15.75" hidden="false" customHeight="false" outlineLevel="0" collapsed="false">
      <c r="A311" s="116"/>
      <c r="B311" s="3"/>
      <c r="C311" s="5"/>
      <c r="D311" s="160"/>
      <c r="E311" s="5"/>
      <c r="F311" s="5"/>
      <c r="G311" s="5"/>
      <c r="H311" s="5"/>
      <c r="I311" s="5"/>
    </row>
    <row r="312" customFormat="false" ht="15.75" hidden="false" customHeight="false" outlineLevel="0" collapsed="false">
      <c r="A312" s="116" t="n">
        <f aca="false">'🤖 Command R+'!$A$147</f>
        <v>0</v>
      </c>
      <c r="B312" s="3" t="s">
        <v>21</v>
      </c>
      <c r="C312" s="5" t="str">
        <f aca="false">'🤖 Command R+'!C147</f>
        <v>Base</v>
      </c>
      <c r="D312" s="160" t="n">
        <f aca="false">'🤖 Command R+'!E147</f>
        <v>0.002427184466</v>
      </c>
      <c r="E312" s="118" t="n">
        <f aca="false">'🤖 Command R+'!F147</f>
        <v>0</v>
      </c>
      <c r="F312" s="118" t="n">
        <f aca="false">'🤖 Command R+'!G147</f>
        <v>0</v>
      </c>
      <c r="G312" s="118" t="n">
        <f aca="false">'🤖 Command R+'!H147</f>
        <v>0</v>
      </c>
      <c r="H312" s="118" t="n">
        <f aca="false">'🤖 Command R+'!I147</f>
        <v>0</v>
      </c>
      <c r="I312" s="118" t="n">
        <f aca="false">'🤖 Command R+'!J147</f>
        <v>0</v>
      </c>
    </row>
    <row r="313" customFormat="false" ht="15.75" hidden="false" customHeight="false" outlineLevel="0" collapsed="false">
      <c r="A313" s="116" t="n">
        <f aca="false">'🤖 Command R+'!$A$147</f>
        <v>0</v>
      </c>
      <c r="B313" s="3" t="s">
        <v>21</v>
      </c>
      <c r="C313" s="5" t="str">
        <f aca="false">'🤖 Command R+'!C148</f>
        <v>CoT</v>
      </c>
      <c r="D313" s="160" t="n">
        <f aca="false">'🤖 Command R+'!E148</f>
        <v>0.002427184466</v>
      </c>
      <c r="E313" s="118" t="n">
        <f aca="false">'🤖 Command R+'!F148</f>
        <v>0</v>
      </c>
      <c r="F313" s="118" t="n">
        <f aca="false">'🤖 Command R+'!G148</f>
        <v>0</v>
      </c>
      <c r="G313" s="118" t="n">
        <f aca="false">'🤖 Command R+'!H148</f>
        <v>0</v>
      </c>
      <c r="H313" s="118" t="n">
        <f aca="false">'🤖 Command R+'!I148</f>
        <v>0</v>
      </c>
      <c r="I313" s="118" t="n">
        <f aca="false">'🤖 Command R+'!J148</f>
        <v>0</v>
      </c>
    </row>
    <row r="314" customFormat="false" ht="15.75" hidden="false" customHeight="false" outlineLevel="0" collapsed="false">
      <c r="A314" s="116" t="n">
        <f aca="false">'🤖 Command R+'!$A$147</f>
        <v>0</v>
      </c>
      <c r="B314" s="3" t="s">
        <v>21</v>
      </c>
      <c r="C314" s="5" t="str">
        <f aca="false">'🤖 Command R+'!C149</f>
        <v>5W1H</v>
      </c>
      <c r="D314" s="160" t="n">
        <f aca="false">'🤖 Command R+'!E149</f>
        <v>0.002427184466</v>
      </c>
      <c r="E314" s="118" t="n">
        <f aca="false">'🤖 Command R+'!F149</f>
        <v>0</v>
      </c>
      <c r="F314" s="118" t="n">
        <f aca="false">'🤖 Command R+'!G149</f>
        <v>0</v>
      </c>
      <c r="G314" s="118" t="n">
        <f aca="false">'🤖 Command R+'!H149</f>
        <v>0</v>
      </c>
      <c r="H314" s="118" t="n">
        <f aca="false">'🤖 Command R+'!I149</f>
        <v>0</v>
      </c>
      <c r="I314" s="118" t="n">
        <f aca="false">'🤖 Command R+'!J149</f>
        <v>0</v>
      </c>
    </row>
    <row r="315" customFormat="false" ht="15.75" hidden="false" customHeight="false" outlineLevel="0" collapsed="false">
      <c r="A315" s="116" t="n">
        <f aca="false">'🤖 Command R+'!$A$147</f>
        <v>0</v>
      </c>
      <c r="B315" s="3" t="s">
        <v>21</v>
      </c>
      <c r="C315" s="5" t="str">
        <f aca="false">'🤖 Command R+'!C150</f>
        <v>tldr</v>
      </c>
      <c r="D315" s="160" t="n">
        <f aca="false">'🤖 Command R+'!E150</f>
        <v>0.002427184466</v>
      </c>
      <c r="E315" s="118" t="n">
        <f aca="false">'🤖 Command R+'!F150</f>
        <v>0</v>
      </c>
      <c r="F315" s="118" t="n">
        <f aca="false">'🤖 Command R+'!G150</f>
        <v>0</v>
      </c>
      <c r="G315" s="118" t="n">
        <f aca="false">'🤖 Command R+'!H150</f>
        <v>0</v>
      </c>
      <c r="H315" s="118" t="n">
        <f aca="false">'🤖 Command R+'!I150</f>
        <v>0</v>
      </c>
      <c r="I315" s="118" t="n">
        <f aca="false">'🤖 Command R+'!J150</f>
        <v>0</v>
      </c>
    </row>
    <row r="316" customFormat="false" ht="15.75" hidden="false" customHeight="false" outlineLevel="0" collapsed="false">
      <c r="A316" s="116"/>
      <c r="B316" s="3"/>
      <c r="C316" s="5"/>
      <c r="D316" s="160"/>
      <c r="E316" s="5"/>
      <c r="F316" s="5"/>
      <c r="G316" s="5"/>
      <c r="H316" s="5"/>
      <c r="I316" s="5"/>
    </row>
    <row r="317" customFormat="false" ht="15.75" hidden="false" customHeight="false" outlineLevel="0" collapsed="false">
      <c r="A317" s="116" t="n">
        <f aca="false">'🤖 Command R+'!$A$152</f>
        <v>0</v>
      </c>
      <c r="B317" s="3" t="s">
        <v>21</v>
      </c>
      <c r="C317" s="5" t="str">
        <f aca="false">'🤖 Command R+'!C152</f>
        <v>Base</v>
      </c>
      <c r="D317" s="160" t="n">
        <f aca="false">'🤖 Command R+'!E152</f>
        <v>0.002427184466</v>
      </c>
      <c r="E317" s="118" t="n">
        <f aca="false">'🤖 Command R+'!F152</f>
        <v>0</v>
      </c>
      <c r="F317" s="118" t="n">
        <f aca="false">'🤖 Command R+'!G152</f>
        <v>0</v>
      </c>
      <c r="G317" s="118" t="n">
        <f aca="false">'🤖 Command R+'!H152</f>
        <v>0</v>
      </c>
      <c r="H317" s="118" t="n">
        <f aca="false">'🤖 Command R+'!I152</f>
        <v>0</v>
      </c>
      <c r="I317" s="118" t="n">
        <f aca="false">'🤖 Command R+'!J152</f>
        <v>0</v>
      </c>
    </row>
    <row r="318" customFormat="false" ht="15.75" hidden="false" customHeight="false" outlineLevel="0" collapsed="false">
      <c r="A318" s="116" t="n">
        <f aca="false">'🤖 Command R+'!$A$152</f>
        <v>0</v>
      </c>
      <c r="B318" s="3" t="s">
        <v>21</v>
      </c>
      <c r="C318" s="5" t="str">
        <f aca="false">'🤖 Command R+'!C153</f>
        <v>CoT</v>
      </c>
      <c r="D318" s="160" t="n">
        <f aca="false">'🤖 Command R+'!E153</f>
        <v>0.002427184466</v>
      </c>
      <c r="E318" s="118" t="n">
        <f aca="false">'🤖 Command R+'!F153</f>
        <v>0</v>
      </c>
      <c r="F318" s="118" t="n">
        <f aca="false">'🤖 Command R+'!G153</f>
        <v>0</v>
      </c>
      <c r="G318" s="118" t="n">
        <f aca="false">'🤖 Command R+'!H153</f>
        <v>0</v>
      </c>
      <c r="H318" s="118" t="n">
        <f aca="false">'🤖 Command R+'!I153</f>
        <v>0</v>
      </c>
      <c r="I318" s="118" t="n">
        <f aca="false">'🤖 Command R+'!J153</f>
        <v>0</v>
      </c>
    </row>
    <row r="319" customFormat="false" ht="15.75" hidden="false" customHeight="false" outlineLevel="0" collapsed="false">
      <c r="A319" s="116" t="n">
        <f aca="false">'🤖 Command R+'!$A$152</f>
        <v>0</v>
      </c>
      <c r="B319" s="3" t="s">
        <v>21</v>
      </c>
      <c r="C319" s="5" t="str">
        <f aca="false">'🤖 Command R+'!C154</f>
        <v>5W1H</v>
      </c>
      <c r="D319" s="160" t="n">
        <f aca="false">'🤖 Command R+'!E154</f>
        <v>0.002427184466</v>
      </c>
      <c r="E319" s="118" t="n">
        <f aca="false">'🤖 Command R+'!F154</f>
        <v>0</v>
      </c>
      <c r="F319" s="118" t="n">
        <f aca="false">'🤖 Command R+'!G154</f>
        <v>0</v>
      </c>
      <c r="G319" s="118" t="n">
        <f aca="false">'🤖 Command R+'!H154</f>
        <v>0</v>
      </c>
      <c r="H319" s="118" t="n">
        <f aca="false">'🤖 Command R+'!I154</f>
        <v>0</v>
      </c>
      <c r="I319" s="118" t="n">
        <f aca="false">'🤖 Command R+'!J154</f>
        <v>0</v>
      </c>
    </row>
    <row r="320" customFormat="false" ht="15.75" hidden="false" customHeight="false" outlineLevel="0" collapsed="false">
      <c r="A320" s="116" t="n">
        <f aca="false">'🤖 Command R+'!$A$152</f>
        <v>0</v>
      </c>
      <c r="B320" s="3" t="s">
        <v>21</v>
      </c>
      <c r="C320" s="5" t="str">
        <f aca="false">'🤖 Command R+'!C155</f>
        <v>tldr</v>
      </c>
      <c r="D320" s="160" t="n">
        <f aca="false">'🤖 Command R+'!E155</f>
        <v>0.002427184466</v>
      </c>
      <c r="E320" s="118" t="n">
        <f aca="false">'🤖 Command R+'!F155</f>
        <v>0</v>
      </c>
      <c r="F320" s="118" t="n">
        <f aca="false">'🤖 Command R+'!G155</f>
        <v>0</v>
      </c>
      <c r="G320" s="118" t="n">
        <f aca="false">'🤖 Command R+'!H155</f>
        <v>0</v>
      </c>
      <c r="H320" s="118" t="n">
        <f aca="false">'🤖 Command R+'!I155</f>
        <v>0</v>
      </c>
      <c r="I320" s="118" t="n">
        <f aca="false">'🤖 Command R+'!J155</f>
        <v>0</v>
      </c>
    </row>
    <row r="321" customFormat="false" ht="15.75" hidden="false" customHeight="false" outlineLevel="0" collapsed="false">
      <c r="A321" s="116"/>
      <c r="B321" s="3"/>
      <c r="C321" s="5"/>
      <c r="D321" s="160"/>
      <c r="E321" s="5"/>
      <c r="F321" s="5"/>
      <c r="G321" s="5"/>
      <c r="H321" s="5"/>
      <c r="I321" s="5"/>
    </row>
    <row r="322" customFormat="false" ht="15.75" hidden="false" customHeight="false" outlineLevel="0" collapsed="false">
      <c r="A322" s="116" t="n">
        <f aca="false">'🤖 Command R+'!$A$157</f>
        <v>0</v>
      </c>
      <c r="B322" s="3" t="s">
        <v>21</v>
      </c>
      <c r="C322" s="5" t="str">
        <f aca="false">'🤖 Command R+'!C157</f>
        <v>Base</v>
      </c>
      <c r="D322" s="160" t="n">
        <f aca="false">'🤖 Command R+'!E157</f>
        <v>0.002427184466</v>
      </c>
      <c r="E322" s="118" t="n">
        <f aca="false">'🤖 Command R+'!F157</f>
        <v>0</v>
      </c>
      <c r="F322" s="118" t="n">
        <f aca="false">'🤖 Command R+'!G157</f>
        <v>0</v>
      </c>
      <c r="G322" s="118" t="n">
        <f aca="false">'🤖 Command R+'!H157</f>
        <v>0</v>
      </c>
      <c r="H322" s="118" t="n">
        <f aca="false">'🤖 Command R+'!I157</f>
        <v>0</v>
      </c>
      <c r="I322" s="118" t="n">
        <f aca="false">'🤖 Command R+'!J157</f>
        <v>0</v>
      </c>
    </row>
    <row r="323" customFormat="false" ht="15.75" hidden="false" customHeight="false" outlineLevel="0" collapsed="false">
      <c r="A323" s="116" t="n">
        <f aca="false">'🤖 Command R+'!$A$157</f>
        <v>0</v>
      </c>
      <c r="B323" s="3" t="s">
        <v>21</v>
      </c>
      <c r="C323" s="5" t="str">
        <f aca="false">'🤖 Command R+'!C158</f>
        <v>CoT</v>
      </c>
      <c r="D323" s="160" t="n">
        <f aca="false">'🤖 Command R+'!E158</f>
        <v>0.002427184466</v>
      </c>
      <c r="E323" s="118" t="n">
        <f aca="false">'🤖 Command R+'!F158</f>
        <v>0</v>
      </c>
      <c r="F323" s="118" t="n">
        <f aca="false">'🤖 Command R+'!G158</f>
        <v>0</v>
      </c>
      <c r="G323" s="118" t="n">
        <f aca="false">'🤖 Command R+'!H158</f>
        <v>0</v>
      </c>
      <c r="H323" s="118" t="n">
        <f aca="false">'🤖 Command R+'!I158</f>
        <v>0</v>
      </c>
      <c r="I323" s="118" t="n">
        <f aca="false">'🤖 Command R+'!J158</f>
        <v>0</v>
      </c>
    </row>
    <row r="324" customFormat="false" ht="15.75" hidden="false" customHeight="false" outlineLevel="0" collapsed="false">
      <c r="A324" s="116" t="n">
        <f aca="false">'🤖 Command R+'!$A$157</f>
        <v>0</v>
      </c>
      <c r="B324" s="3" t="s">
        <v>21</v>
      </c>
      <c r="C324" s="5" t="str">
        <f aca="false">'🤖 Command R+'!C159</f>
        <v>5W1H</v>
      </c>
      <c r="D324" s="160" t="n">
        <f aca="false">'🤖 Command R+'!E159</f>
        <v>0.002427184466</v>
      </c>
      <c r="E324" s="118" t="n">
        <f aca="false">'🤖 Command R+'!F159</f>
        <v>0</v>
      </c>
      <c r="F324" s="118" t="n">
        <f aca="false">'🤖 Command R+'!G159</f>
        <v>0</v>
      </c>
      <c r="G324" s="118" t="n">
        <f aca="false">'🤖 Command R+'!H159</f>
        <v>0</v>
      </c>
      <c r="H324" s="118" t="n">
        <f aca="false">'🤖 Command R+'!I159</f>
        <v>0</v>
      </c>
      <c r="I324" s="118" t="n">
        <f aca="false">'🤖 Command R+'!J159</f>
        <v>0</v>
      </c>
    </row>
    <row r="325" customFormat="false" ht="15.75" hidden="false" customHeight="false" outlineLevel="0" collapsed="false">
      <c r="A325" s="116" t="n">
        <f aca="false">'🤖 Command R+'!$A$157</f>
        <v>0</v>
      </c>
      <c r="B325" s="3" t="s">
        <v>21</v>
      </c>
      <c r="C325" s="5" t="str">
        <f aca="false">'🤖 Command R+'!C160</f>
        <v>tldr</v>
      </c>
      <c r="D325" s="160" t="n">
        <f aca="false">'🤖 Command R+'!E160</f>
        <v>0.002427184466</v>
      </c>
      <c r="E325" s="118" t="n">
        <f aca="false">'🤖 Command R+'!F160</f>
        <v>0</v>
      </c>
      <c r="F325" s="118" t="n">
        <f aca="false">'🤖 Command R+'!G160</f>
        <v>0</v>
      </c>
      <c r="G325" s="118" t="n">
        <f aca="false">'🤖 Command R+'!H160</f>
        <v>0</v>
      </c>
      <c r="H325" s="118" t="n">
        <f aca="false">'🤖 Command R+'!I160</f>
        <v>0</v>
      </c>
      <c r="I325" s="118" t="n">
        <f aca="false">'🤖 Command R+'!J160</f>
        <v>0</v>
      </c>
    </row>
    <row r="326" customFormat="false" ht="15.75" hidden="false" customHeight="false" outlineLevel="0" collapsed="false">
      <c r="A326" s="116"/>
      <c r="B326" s="3"/>
      <c r="C326" s="5"/>
      <c r="D326" s="160"/>
      <c r="E326" s="5"/>
      <c r="F326" s="5"/>
      <c r="G326" s="5"/>
      <c r="H326" s="5"/>
      <c r="I326" s="5"/>
    </row>
    <row r="327" customFormat="false" ht="15.75" hidden="false" customHeight="false" outlineLevel="0" collapsed="false">
      <c r="A327" s="116" t="n">
        <f aca="false">'🤖 Command R+'!$A$162</f>
        <v>0</v>
      </c>
      <c r="B327" s="3" t="s">
        <v>21</v>
      </c>
      <c r="C327" s="5" t="str">
        <f aca="false">'🤖 Command R+'!C162</f>
        <v>Base</v>
      </c>
      <c r="D327" s="160" t="n">
        <f aca="false">'🤖 Command R+'!E162</f>
        <v>0.002427184466</v>
      </c>
      <c r="E327" s="118" t="n">
        <f aca="false">'🤖 Command R+'!F162</f>
        <v>0</v>
      </c>
      <c r="F327" s="118" t="n">
        <f aca="false">'🤖 Command R+'!G162</f>
        <v>0</v>
      </c>
      <c r="G327" s="118" t="n">
        <f aca="false">'🤖 Command R+'!H162</f>
        <v>0</v>
      </c>
      <c r="H327" s="118" t="n">
        <f aca="false">'🤖 Command R+'!I162</f>
        <v>0</v>
      </c>
      <c r="I327" s="118" t="n">
        <f aca="false">'🤖 Command R+'!J162</f>
        <v>0</v>
      </c>
    </row>
    <row r="328" customFormat="false" ht="15.75" hidden="false" customHeight="false" outlineLevel="0" collapsed="false">
      <c r="A328" s="116" t="n">
        <f aca="false">'🤖 Command R+'!$A$162</f>
        <v>0</v>
      </c>
      <c r="B328" s="3" t="s">
        <v>21</v>
      </c>
      <c r="C328" s="5" t="str">
        <f aca="false">'🤖 Command R+'!C163</f>
        <v>CoT</v>
      </c>
      <c r="D328" s="160" t="n">
        <f aca="false">'🤖 Command R+'!E163</f>
        <v>0.002427184466</v>
      </c>
      <c r="E328" s="118" t="n">
        <f aca="false">'🤖 Command R+'!F163</f>
        <v>0</v>
      </c>
      <c r="F328" s="118" t="n">
        <f aca="false">'🤖 Command R+'!G163</f>
        <v>0</v>
      </c>
      <c r="G328" s="118" t="n">
        <f aca="false">'🤖 Command R+'!H163</f>
        <v>0</v>
      </c>
      <c r="H328" s="118" t="n">
        <f aca="false">'🤖 Command R+'!I163</f>
        <v>0</v>
      </c>
      <c r="I328" s="118" t="n">
        <f aca="false">'🤖 Command R+'!J163</f>
        <v>0</v>
      </c>
    </row>
    <row r="329" customFormat="false" ht="15.75" hidden="false" customHeight="false" outlineLevel="0" collapsed="false">
      <c r="A329" s="116" t="n">
        <f aca="false">'🤖 Command R+'!$A$162</f>
        <v>0</v>
      </c>
      <c r="B329" s="3" t="s">
        <v>21</v>
      </c>
      <c r="C329" s="5" t="str">
        <f aca="false">'🤖 Command R+'!C164</f>
        <v>5W1H</v>
      </c>
      <c r="D329" s="160" t="n">
        <f aca="false">'🤖 Command R+'!E164</f>
        <v>0.002427184466</v>
      </c>
      <c r="E329" s="118" t="n">
        <f aca="false">'🤖 Command R+'!F164</f>
        <v>0</v>
      </c>
      <c r="F329" s="118" t="n">
        <f aca="false">'🤖 Command R+'!G164</f>
        <v>0</v>
      </c>
      <c r="G329" s="118" t="n">
        <f aca="false">'🤖 Command R+'!H164</f>
        <v>0</v>
      </c>
      <c r="H329" s="118" t="n">
        <f aca="false">'🤖 Command R+'!I164</f>
        <v>0</v>
      </c>
      <c r="I329" s="118" t="n">
        <f aca="false">'🤖 Command R+'!J164</f>
        <v>0</v>
      </c>
    </row>
    <row r="330" customFormat="false" ht="15.75" hidden="false" customHeight="false" outlineLevel="0" collapsed="false">
      <c r="A330" s="116" t="n">
        <f aca="false">'🤖 Command R+'!$A$162</f>
        <v>0</v>
      </c>
      <c r="B330" s="3" t="s">
        <v>21</v>
      </c>
      <c r="C330" s="5" t="str">
        <f aca="false">'🤖 Command R+'!C165</f>
        <v>tldr</v>
      </c>
      <c r="D330" s="160" t="n">
        <f aca="false">'🤖 Command R+'!E165</f>
        <v>0.002427184466</v>
      </c>
      <c r="E330" s="118" t="n">
        <f aca="false">'🤖 Command R+'!F165</f>
        <v>0</v>
      </c>
      <c r="F330" s="118" t="n">
        <f aca="false">'🤖 Command R+'!G165</f>
        <v>0</v>
      </c>
      <c r="G330" s="118" t="n">
        <f aca="false">'🤖 Command R+'!H165</f>
        <v>0</v>
      </c>
      <c r="H330" s="118" t="n">
        <f aca="false">'🤖 Command R+'!I165</f>
        <v>0</v>
      </c>
      <c r="I330" s="118" t="n">
        <f aca="false">'🤖 Command R+'!J165</f>
        <v>0</v>
      </c>
    </row>
    <row r="331" customFormat="false" ht="15.75" hidden="false" customHeight="false" outlineLevel="0" collapsed="false">
      <c r="A331" s="8"/>
      <c r="B331" s="8"/>
      <c r="C331" s="50"/>
      <c r="D331" s="8"/>
      <c r="E331" s="50"/>
      <c r="F331" s="50"/>
      <c r="G331" s="50"/>
      <c r="H331" s="50"/>
      <c r="I331" s="50"/>
    </row>
    <row r="332" customFormat="false" ht="15.75" hidden="false" customHeight="false" outlineLevel="0" collapsed="false">
      <c r="A332" s="116" t="str">
        <f aca="false">'🤖 GPT 4o'!$A$2</f>
        <v>https://www.berria.eus/mundua/aragonesek-lehen-lerro-politikoa-utziko-du_2125045_102.html</v>
      </c>
      <c r="B332" s="3" t="s">
        <v>22</v>
      </c>
      <c r="C332" s="5" t="str">
        <f aca="false">'🤖 GPT 4o'!C2</f>
        <v>Base</v>
      </c>
      <c r="D332" s="151" t="n">
        <f aca="false">'🤖 GPT 4o'!E2</f>
        <v>0.2848410758</v>
      </c>
      <c r="E332" s="118" t="n">
        <f aca="false">'🤖 GPT 4o'!F2</f>
        <v>5</v>
      </c>
      <c r="F332" s="118" t="n">
        <f aca="false">'🤖 GPT 4o'!G2</f>
        <v>5</v>
      </c>
      <c r="G332" s="118" t="n">
        <f aca="false">'🤖 GPT 4o'!H2</f>
        <v>5</v>
      </c>
      <c r="H332" s="118" t="n">
        <f aca="false">'🤖 GPT 4o'!I2</f>
        <v>5</v>
      </c>
      <c r="I332" s="118" t="n">
        <f aca="false">'🤖 GPT 4o'!J2</f>
        <v>4</v>
      </c>
      <c r="J332" s="10" t="n">
        <f aca="false">VLOOKUP(B332,__lookup__!A:B,2,FALSE())</f>
        <v>3</v>
      </c>
      <c r="K332" s="10" t="n">
        <f aca="false">VLOOKUP(C332,__lookup__!A:B,2,FALSE())</f>
        <v>10</v>
      </c>
    </row>
    <row r="333" customFormat="false" ht="15.75" hidden="false" customHeight="false" outlineLevel="0" collapsed="false">
      <c r="A333" s="116" t="str">
        <f aca="false">'🤖 GPT 4o'!$A$2</f>
        <v>https://www.berria.eus/mundua/aragonesek-lehen-lerro-politikoa-utziko-du_2125045_102.html</v>
      </c>
      <c r="B333" s="3" t="s">
        <v>22</v>
      </c>
      <c r="C333" s="5" t="str">
        <f aca="false">'🤖 GPT 4o'!C3</f>
        <v>CoT</v>
      </c>
      <c r="D333" s="124" t="n">
        <f aca="false">'🤖 GPT 4o'!E3</f>
        <v>0.2444987775</v>
      </c>
      <c r="E333" s="118" t="n">
        <f aca="false">'🤖 GPT 4o'!F3</f>
        <v>3</v>
      </c>
      <c r="F333" s="118" t="n">
        <f aca="false">'🤖 GPT 4o'!G3</f>
        <v>4</v>
      </c>
      <c r="G333" s="118" t="n">
        <f aca="false">'🤖 GPT 4o'!H3</f>
        <v>4</v>
      </c>
      <c r="H333" s="118" t="n">
        <f aca="false">'🤖 GPT 4o'!I3</f>
        <v>4</v>
      </c>
      <c r="I333" s="118" t="n">
        <f aca="false">'🤖 GPT 4o'!J3</f>
        <v>4</v>
      </c>
    </row>
    <row r="334" customFormat="false" ht="15.75" hidden="false" customHeight="false" outlineLevel="0" collapsed="false">
      <c r="A334" s="116" t="str">
        <f aca="false">'🤖 GPT 4o'!$A$2</f>
        <v>https://www.berria.eus/mundua/aragonesek-lehen-lerro-politikoa-utziko-du_2125045_102.html</v>
      </c>
      <c r="B334" s="3" t="s">
        <v>22</v>
      </c>
      <c r="C334" s="5" t="str">
        <f aca="false">'🤖 GPT 4o'!C4</f>
        <v>5W1H</v>
      </c>
      <c r="D334" s="161" t="n">
        <f aca="false">'🤖 GPT 4o'!E4</f>
        <v>0.1980440098</v>
      </c>
      <c r="E334" s="118" t="n">
        <f aca="false">'🤖 GPT 4o'!F4</f>
        <v>3</v>
      </c>
      <c r="F334" s="118" t="n">
        <f aca="false">'🤖 GPT 4o'!G4</f>
        <v>5</v>
      </c>
      <c r="G334" s="118" t="n">
        <f aca="false">'🤖 GPT 4o'!H4</f>
        <v>5</v>
      </c>
      <c r="H334" s="118" t="n">
        <f aca="false">'🤖 GPT 4o'!I4</f>
        <v>5</v>
      </c>
      <c r="I334" s="118" t="n">
        <f aca="false">'🤖 GPT 4o'!J4</f>
        <v>5</v>
      </c>
    </row>
    <row r="335" customFormat="false" ht="15.75" hidden="false" customHeight="false" outlineLevel="0" collapsed="false">
      <c r="A335" s="116" t="str">
        <f aca="false">'🤖 GPT 4o'!$A$2</f>
        <v>https://www.berria.eus/mundua/aragonesek-lehen-lerro-politikoa-utziko-du_2125045_102.html</v>
      </c>
      <c r="B335" s="3" t="s">
        <v>22</v>
      </c>
      <c r="C335" s="5" t="str">
        <f aca="false">'🤖 GPT 4o'!C5</f>
        <v>tldr</v>
      </c>
      <c r="D335" s="149" t="n">
        <f aca="false">'🤖 GPT 4o'!E5</f>
        <v>0.1466992665</v>
      </c>
      <c r="E335" s="118" t="n">
        <f aca="false">'🤖 GPT 4o'!F5</f>
        <v>3</v>
      </c>
      <c r="F335" s="118" t="n">
        <f aca="false">'🤖 GPT 4o'!G5</f>
        <v>4</v>
      </c>
      <c r="G335" s="118" t="n">
        <f aca="false">'🤖 GPT 4o'!H5</f>
        <v>4</v>
      </c>
      <c r="H335" s="118" t="n">
        <f aca="false">'🤖 GPT 4o'!I5</f>
        <v>4</v>
      </c>
      <c r="I335" s="118" t="n">
        <f aca="false">'🤖 GPT 4o'!J5</f>
        <v>4</v>
      </c>
    </row>
    <row r="336" customFormat="false" ht="15.75" hidden="false" customHeight="false" outlineLevel="0" collapsed="false">
      <c r="A336" s="8"/>
      <c r="B336" s="8"/>
      <c r="C336" s="50"/>
      <c r="D336" s="8"/>
      <c r="E336" s="50"/>
      <c r="F336" s="50"/>
      <c r="G336" s="50"/>
      <c r="H336" s="50"/>
      <c r="I336" s="50"/>
    </row>
    <row r="337" customFormat="false" ht="15.75" hidden="false" customHeight="false" outlineLevel="0" collapsed="false">
      <c r="A337" s="116" t="str">
        <f aca="false">'🤖 GPT 4o'!$A$7</f>
        <v>https://www.berria.eus/kirola/derbi-bikoitza_2118881_102.html</v>
      </c>
      <c r="B337" s="3" t="s">
        <v>22</v>
      </c>
      <c r="C337" s="5" t="str">
        <f aca="false">'🤖 GPT 4o'!C7</f>
        <v>Base</v>
      </c>
      <c r="D337" s="162" t="n">
        <f aca="false">'🤖 GPT 4o'!E7</f>
        <v>1.070833333</v>
      </c>
      <c r="E337" s="118" t="n">
        <f aca="false">'🤖 GPT 4o'!F7</f>
        <v>4</v>
      </c>
      <c r="F337" s="118" t="n">
        <f aca="false">'🤖 GPT 4o'!G7</f>
        <v>3</v>
      </c>
      <c r="G337" s="118" t="n">
        <f aca="false">'🤖 GPT 4o'!H7</f>
        <v>4</v>
      </c>
      <c r="H337" s="118" t="n">
        <f aca="false">'🤖 GPT 4o'!I7</f>
        <v>2</v>
      </c>
      <c r="I337" s="118" t="n">
        <f aca="false">'🤖 GPT 4o'!J7</f>
        <v>5</v>
      </c>
    </row>
    <row r="338" customFormat="false" ht="15.75" hidden="false" customHeight="false" outlineLevel="0" collapsed="false">
      <c r="A338" s="116" t="str">
        <f aca="false">'🤖 GPT 4o'!$A$7</f>
        <v>https://www.berria.eus/kirola/derbi-bikoitza_2118881_102.html</v>
      </c>
      <c r="B338" s="3" t="s">
        <v>22</v>
      </c>
      <c r="C338" s="5" t="str">
        <f aca="false">'🤖 GPT 4o'!C8</f>
        <v>CoT</v>
      </c>
      <c r="D338" s="149" t="n">
        <f aca="false">'🤖 GPT 4o'!E8</f>
        <v>0.3541666667</v>
      </c>
      <c r="E338" s="118" t="n">
        <f aca="false">'🤖 GPT 4o'!F8</f>
        <v>3</v>
      </c>
      <c r="F338" s="118" t="n">
        <f aca="false">'🤖 GPT 4o'!G8</f>
        <v>4</v>
      </c>
      <c r="G338" s="118" t="n">
        <f aca="false">'🤖 GPT 4o'!H8</f>
        <v>4</v>
      </c>
      <c r="H338" s="118" t="n">
        <f aca="false">'🤖 GPT 4o'!I8</f>
        <v>4</v>
      </c>
      <c r="I338" s="118" t="n">
        <f aca="false">'🤖 GPT 4o'!J8</f>
        <v>5</v>
      </c>
    </row>
    <row r="339" customFormat="false" ht="15.75" hidden="false" customHeight="false" outlineLevel="0" collapsed="false">
      <c r="A339" s="116" t="str">
        <f aca="false">'🤖 GPT 4o'!$A$7</f>
        <v>https://www.berria.eus/kirola/derbi-bikoitza_2118881_102.html</v>
      </c>
      <c r="B339" s="3" t="s">
        <v>22</v>
      </c>
      <c r="C339" s="5" t="str">
        <f aca="false">'🤖 GPT 4o'!C9</f>
        <v>5W1H</v>
      </c>
      <c r="D339" s="161" t="n">
        <f aca="false">'🤖 GPT 4o'!E9</f>
        <v>0.7916666667</v>
      </c>
      <c r="E339" s="118" t="n">
        <f aca="false">'🤖 GPT 4o'!F9</f>
        <v>2</v>
      </c>
      <c r="F339" s="118" t="n">
        <f aca="false">'🤖 GPT 4o'!G9</f>
        <v>4</v>
      </c>
      <c r="G339" s="118" t="n">
        <f aca="false">'🤖 GPT 4o'!H9</f>
        <v>5</v>
      </c>
      <c r="H339" s="118" t="n">
        <f aca="false">'🤖 GPT 4o'!I9</f>
        <v>3</v>
      </c>
      <c r="I339" s="118" t="n">
        <f aca="false">'🤖 GPT 4o'!J9</f>
        <v>5</v>
      </c>
    </row>
    <row r="340" customFormat="false" ht="15.75" hidden="false" customHeight="false" outlineLevel="0" collapsed="false">
      <c r="A340" s="116" t="str">
        <f aca="false">'🤖 GPT 4o'!$A$7</f>
        <v>https://www.berria.eus/kirola/derbi-bikoitza_2118881_102.html</v>
      </c>
      <c r="B340" s="3" t="s">
        <v>22</v>
      </c>
      <c r="C340" s="5" t="str">
        <f aca="false">'🤖 GPT 4o'!C10</f>
        <v>tldr</v>
      </c>
      <c r="D340" s="148" t="n">
        <f aca="false">'🤖 GPT 4o'!E10</f>
        <v>0.3166666667</v>
      </c>
      <c r="E340" s="118" t="n">
        <f aca="false">'🤖 GPT 4o'!F10</f>
        <v>3</v>
      </c>
      <c r="F340" s="118" t="n">
        <f aca="false">'🤖 GPT 4o'!G10</f>
        <v>4</v>
      </c>
      <c r="G340" s="118" t="n">
        <f aca="false">'🤖 GPT 4o'!H10</f>
        <v>4</v>
      </c>
      <c r="H340" s="118" t="n">
        <f aca="false">'🤖 GPT 4o'!I10</f>
        <v>4</v>
      </c>
      <c r="I340" s="118" t="n">
        <f aca="false">'🤖 GPT 4o'!J10</f>
        <v>5</v>
      </c>
    </row>
    <row r="341" customFormat="false" ht="15.75" hidden="false" customHeight="false" outlineLevel="0" collapsed="false">
      <c r="A341" s="8"/>
      <c r="B341" s="8"/>
      <c r="C341" s="50"/>
      <c r="D341" s="8"/>
      <c r="E341" s="50"/>
      <c r="F341" s="50"/>
      <c r="G341" s="50"/>
      <c r="H341" s="50"/>
      <c r="I341" s="50"/>
    </row>
    <row r="342" customFormat="false" ht="15.75" hidden="false" customHeight="false" outlineLevel="0" collapsed="false">
      <c r="A342" s="116" t="str">
        <f aca="false">'🤖 GPT 4o'!$A$12</f>
        <v>https://www.berria.eus/kirola/berriro-etxean-sentitzeko_2117830_102.html</v>
      </c>
      <c r="B342" s="3" t="s">
        <v>22</v>
      </c>
      <c r="C342" s="5" t="str">
        <f aca="false">'🤖 GPT 4o'!C12</f>
        <v>Base</v>
      </c>
      <c r="D342" s="143" t="n">
        <f aca="false">'🤖 GPT 4o'!E12</f>
        <v>0.7872727273</v>
      </c>
      <c r="E342" s="118" t="n">
        <f aca="false">'🤖 GPT 4o'!F12</f>
        <v>5</v>
      </c>
      <c r="F342" s="118" t="n">
        <f aca="false">'🤖 GPT 4o'!G12</f>
        <v>4</v>
      </c>
      <c r="G342" s="118" t="n">
        <f aca="false">'🤖 GPT 4o'!H12</f>
        <v>4</v>
      </c>
      <c r="H342" s="118" t="n">
        <f aca="false">'🤖 GPT 4o'!I12</f>
        <v>3</v>
      </c>
      <c r="I342" s="118" t="n">
        <f aca="false">'🤖 GPT 4o'!J12</f>
        <v>5</v>
      </c>
    </row>
    <row r="343" customFormat="false" ht="15.75" hidden="false" customHeight="false" outlineLevel="0" collapsed="false">
      <c r="A343" s="116" t="str">
        <f aca="false">'🤖 GPT 4o'!$A$12</f>
        <v>https://www.berria.eus/kirola/berriro-etxean-sentitzeko_2117830_102.html</v>
      </c>
      <c r="B343" s="3" t="s">
        <v>22</v>
      </c>
      <c r="C343" s="5" t="str">
        <f aca="false">'🤖 GPT 4o'!C13</f>
        <v>CoT</v>
      </c>
      <c r="D343" s="127" t="n">
        <f aca="false">'🤖 GPT 4o'!E13</f>
        <v>0.1527272727</v>
      </c>
      <c r="E343" s="118" t="n">
        <f aca="false">'🤖 GPT 4o'!F13</f>
        <v>4</v>
      </c>
      <c r="F343" s="118" t="n">
        <f aca="false">'🤖 GPT 4o'!G13</f>
        <v>5</v>
      </c>
      <c r="G343" s="118" t="n">
        <f aca="false">'🤖 GPT 4o'!H13</f>
        <v>4</v>
      </c>
      <c r="H343" s="118" t="n">
        <f aca="false">'🤖 GPT 4o'!I13</f>
        <v>5</v>
      </c>
      <c r="I343" s="118" t="n">
        <f aca="false">'🤖 GPT 4o'!J13</f>
        <v>5</v>
      </c>
    </row>
    <row r="344" customFormat="false" ht="15.75" hidden="false" customHeight="false" outlineLevel="0" collapsed="false">
      <c r="A344" s="116" t="str">
        <f aca="false">'🤖 GPT 4o'!$A$12</f>
        <v>https://www.berria.eus/kirola/berriro-etxean-sentitzeko_2117830_102.html</v>
      </c>
      <c r="B344" s="3" t="s">
        <v>22</v>
      </c>
      <c r="C344" s="5" t="str">
        <f aca="false">'🤖 GPT 4o'!C14</f>
        <v>5W1H</v>
      </c>
      <c r="D344" s="126" t="n">
        <f aca="false">'🤖 GPT 4o'!E14</f>
        <v>0.3672727273</v>
      </c>
      <c r="E344" s="118" t="n">
        <f aca="false">'🤖 GPT 4o'!F14</f>
        <v>2</v>
      </c>
      <c r="F344" s="118" t="n">
        <f aca="false">'🤖 GPT 4o'!G14</f>
        <v>5</v>
      </c>
      <c r="G344" s="118" t="n">
        <f aca="false">'🤖 GPT 4o'!H14</f>
        <v>4</v>
      </c>
      <c r="H344" s="118" t="n">
        <f aca="false">'🤖 GPT 4o'!I14</f>
        <v>4</v>
      </c>
      <c r="I344" s="118" t="n">
        <f aca="false">'🤖 GPT 4o'!J14</f>
        <v>5</v>
      </c>
    </row>
    <row r="345" customFormat="false" ht="15.75" hidden="false" customHeight="false" outlineLevel="0" collapsed="false">
      <c r="A345" s="116" t="str">
        <f aca="false">'🤖 GPT 4o'!$A$12</f>
        <v>https://www.berria.eus/kirola/berriro-etxean-sentitzeko_2117830_102.html</v>
      </c>
      <c r="B345" s="3" t="s">
        <v>22</v>
      </c>
      <c r="C345" s="5" t="str">
        <f aca="false">'🤖 GPT 4o'!C15</f>
        <v>tldr</v>
      </c>
      <c r="D345" s="130" t="n">
        <f aca="false">'🤖 GPT 4o'!E15</f>
        <v>0.1454545455</v>
      </c>
      <c r="E345" s="118" t="n">
        <f aca="false">'🤖 GPT 4o'!F15</f>
        <v>5</v>
      </c>
      <c r="F345" s="118" t="n">
        <f aca="false">'🤖 GPT 4o'!G15</f>
        <v>4</v>
      </c>
      <c r="G345" s="118" t="n">
        <f aca="false">'🤖 GPT 4o'!H15</f>
        <v>4</v>
      </c>
      <c r="H345" s="118" t="n">
        <f aca="false">'🤖 GPT 4o'!I15</f>
        <v>5</v>
      </c>
      <c r="I345" s="118" t="n">
        <f aca="false">'🤖 GPT 4o'!J15</f>
        <v>5</v>
      </c>
    </row>
    <row r="346" customFormat="false" ht="15.75" hidden="false" customHeight="false" outlineLevel="0" collapsed="false">
      <c r="A346" s="8"/>
      <c r="B346" s="8"/>
      <c r="C346" s="50"/>
      <c r="D346" s="8"/>
      <c r="E346" s="50"/>
      <c r="F346" s="50"/>
      <c r="G346" s="50"/>
      <c r="H346" s="50"/>
      <c r="I346" s="50"/>
    </row>
    <row r="347" customFormat="false" ht="15.75" hidden="false" customHeight="false" outlineLevel="0" collapsed="false">
      <c r="A347" s="116" t="str">
        <f aca="false">'🤖 GPT 4o'!$A$17</f>
        <v>https://www.berria.eus/komunikazioa/generacion-porno-dokumental-saioa-egin-dute-etbk-eta-tv3ek_1341518_102.html</v>
      </c>
      <c r="B347" s="3" t="s">
        <v>22</v>
      </c>
      <c r="C347" s="5" t="str">
        <f aca="false">'🤖 GPT 4o'!C17</f>
        <v>Base</v>
      </c>
      <c r="D347" s="151" t="n">
        <f aca="false">'🤖 GPT 4o'!E17</f>
        <v>0.5571847507</v>
      </c>
      <c r="E347" s="118" t="n">
        <f aca="false">'🤖 GPT 4o'!F17</f>
        <v>5</v>
      </c>
      <c r="F347" s="118" t="n">
        <f aca="false">'🤖 GPT 4o'!G17</f>
        <v>4</v>
      </c>
      <c r="G347" s="118" t="n">
        <f aca="false">'🤖 GPT 4o'!H17</f>
        <v>4</v>
      </c>
      <c r="H347" s="118" t="n">
        <f aca="false">'🤖 GPT 4o'!I17</f>
        <v>4</v>
      </c>
      <c r="I347" s="118" t="n">
        <f aca="false">'🤖 GPT 4o'!J17</f>
        <v>4</v>
      </c>
    </row>
    <row r="348" customFormat="false" ht="15.75" hidden="false" customHeight="false" outlineLevel="0" collapsed="false">
      <c r="A348" s="116" t="str">
        <f aca="false">'🤖 GPT 4o'!$A$17</f>
        <v>https://www.berria.eus/komunikazioa/generacion-porno-dokumental-saioa-egin-dute-etbk-eta-tv3ek_1341518_102.html</v>
      </c>
      <c r="B348" s="3" t="s">
        <v>22</v>
      </c>
      <c r="C348" s="5" t="str">
        <f aca="false">'🤖 GPT 4o'!C18</f>
        <v>CoT</v>
      </c>
      <c r="D348" s="128" t="n">
        <f aca="false">'🤖 GPT 4o'!E18</f>
        <v>0.2785923754</v>
      </c>
      <c r="E348" s="118" t="n">
        <f aca="false">'🤖 GPT 4o'!F18</f>
        <v>5</v>
      </c>
      <c r="F348" s="118" t="n">
        <f aca="false">'🤖 GPT 4o'!G18</f>
        <v>4</v>
      </c>
      <c r="G348" s="118" t="n">
        <f aca="false">'🤖 GPT 4o'!H18</f>
        <v>4</v>
      </c>
      <c r="H348" s="118" t="n">
        <f aca="false">'🤖 GPT 4o'!I18</f>
        <v>5</v>
      </c>
      <c r="I348" s="118" t="n">
        <f aca="false">'🤖 GPT 4o'!J18</f>
        <v>4</v>
      </c>
    </row>
    <row r="349" customFormat="false" ht="15.75" hidden="false" customHeight="false" outlineLevel="0" collapsed="false">
      <c r="A349" s="116" t="str">
        <f aca="false">'🤖 GPT 4o'!$A$17</f>
        <v>https://www.berria.eus/komunikazioa/generacion-porno-dokumental-saioa-egin-dute-etbk-eta-tv3ek_1341518_102.html</v>
      </c>
      <c r="B349" s="3" t="s">
        <v>22</v>
      </c>
      <c r="C349" s="5" t="str">
        <f aca="false">'🤖 GPT 4o'!C19</f>
        <v>5W1H</v>
      </c>
      <c r="D349" s="161" t="n">
        <f aca="false">'🤖 GPT 4o'!E19</f>
        <v>0.642228739</v>
      </c>
      <c r="E349" s="118" t="n">
        <f aca="false">'🤖 GPT 4o'!F19</f>
        <v>2</v>
      </c>
      <c r="F349" s="118" t="n">
        <f aca="false">'🤖 GPT 4o'!G19</f>
        <v>4</v>
      </c>
      <c r="G349" s="118" t="n">
        <f aca="false">'🤖 GPT 4o'!H19</f>
        <v>4</v>
      </c>
      <c r="H349" s="118" t="n">
        <f aca="false">'🤖 GPT 4o'!I19</f>
        <v>4</v>
      </c>
      <c r="I349" s="118" t="n">
        <f aca="false">'🤖 GPT 4o'!J19</f>
        <v>5</v>
      </c>
    </row>
    <row r="350" customFormat="false" ht="15.75" hidden="false" customHeight="false" outlineLevel="0" collapsed="false">
      <c r="A350" s="116" t="str">
        <f aca="false">'🤖 GPT 4o'!$A$17</f>
        <v>https://www.berria.eus/komunikazioa/generacion-porno-dokumental-saioa-egin-dute-etbk-eta-tv3ek_1341518_102.html</v>
      </c>
      <c r="B350" s="3" t="s">
        <v>22</v>
      </c>
      <c r="C350" s="5" t="str">
        <f aca="false">'🤖 GPT 4o'!C20</f>
        <v>tldr</v>
      </c>
      <c r="D350" s="148" t="n">
        <f aca="false">'🤖 GPT 4o'!E20</f>
        <v>0.275659824</v>
      </c>
      <c r="E350" s="118" t="n">
        <f aca="false">'🤖 GPT 4o'!F20</f>
        <v>3</v>
      </c>
      <c r="F350" s="118" t="n">
        <f aca="false">'🤖 GPT 4o'!G20</f>
        <v>5</v>
      </c>
      <c r="G350" s="118" t="n">
        <f aca="false">'🤖 GPT 4o'!H20</f>
        <v>4</v>
      </c>
      <c r="H350" s="118" t="n">
        <f aca="false">'🤖 GPT 4o'!I20</f>
        <v>5</v>
      </c>
      <c r="I350" s="118" t="n">
        <f aca="false">'🤖 GPT 4o'!J20</f>
        <v>4</v>
      </c>
    </row>
    <row r="351" customFormat="false" ht="15.75" hidden="false" customHeight="false" outlineLevel="0" collapsed="false">
      <c r="A351" s="8"/>
      <c r="B351" s="8"/>
      <c r="C351" s="50"/>
      <c r="D351" s="8"/>
      <c r="E351" s="50"/>
      <c r="F351" s="50"/>
      <c r="G351" s="50"/>
      <c r="H351" s="50"/>
      <c r="I351" s="50"/>
    </row>
    <row r="352" customFormat="false" ht="15.75" hidden="false" customHeight="false" outlineLevel="0" collapsed="false">
      <c r="A352" s="116" t="str">
        <f aca="false">'🤖 GPT 4o'!$A$22</f>
        <v>https://www.berria.eus/kirola/artolak-nagusitasunez-irabazi-dio-zabaleri_2124679_102.html</v>
      </c>
      <c r="B352" s="3" t="s">
        <v>22</v>
      </c>
      <c r="C352" s="5" t="str">
        <f aca="false">'🤖 GPT 4o'!C22</f>
        <v>Base</v>
      </c>
      <c r="D352" s="138" t="n">
        <f aca="false">'🤖 GPT 4o'!E22</f>
        <v>0.8743718593</v>
      </c>
      <c r="E352" s="118" t="n">
        <f aca="false">'🤖 GPT 4o'!F22</f>
        <v>5</v>
      </c>
      <c r="F352" s="118" t="n">
        <f aca="false">'🤖 GPT 4o'!G22</f>
        <v>5</v>
      </c>
      <c r="G352" s="118" t="n">
        <f aca="false">'🤖 GPT 4o'!H22</f>
        <v>4</v>
      </c>
      <c r="H352" s="118" t="n">
        <f aca="false">'🤖 GPT 4o'!I22</f>
        <v>2</v>
      </c>
      <c r="I352" s="118" t="n">
        <f aca="false">'🤖 GPT 4o'!J22</f>
        <v>5</v>
      </c>
    </row>
    <row r="353" customFormat="false" ht="15.75" hidden="false" customHeight="false" outlineLevel="0" collapsed="false">
      <c r="A353" s="116" t="str">
        <f aca="false">'🤖 GPT 4o'!$A$22</f>
        <v>https://www.berria.eus/kirola/artolak-nagusitasunez-irabazi-dio-zabaleri_2124679_102.html</v>
      </c>
      <c r="B353" s="3" t="s">
        <v>22</v>
      </c>
      <c r="C353" s="5" t="str">
        <f aca="false">'🤖 GPT 4o'!C23</f>
        <v>CoT</v>
      </c>
      <c r="D353" s="143" t="n">
        <f aca="false">'🤖 GPT 4o'!E23</f>
        <v>0.1457286432</v>
      </c>
      <c r="E353" s="118" t="n">
        <f aca="false">'🤖 GPT 4o'!F23</f>
        <v>4</v>
      </c>
      <c r="F353" s="118" t="n">
        <f aca="false">'🤖 GPT 4o'!G23</f>
        <v>5</v>
      </c>
      <c r="G353" s="118" t="n">
        <f aca="false">'🤖 GPT 4o'!H23</f>
        <v>5</v>
      </c>
      <c r="H353" s="118" t="n">
        <f aca="false">'🤖 GPT 4o'!I23</f>
        <v>4</v>
      </c>
      <c r="I353" s="118" t="n">
        <f aca="false">'🤖 GPT 4o'!J23</f>
        <v>3</v>
      </c>
    </row>
    <row r="354" customFormat="false" ht="15.75" hidden="false" customHeight="false" outlineLevel="0" collapsed="false">
      <c r="A354" s="116" t="str">
        <f aca="false">'🤖 GPT 4o'!$A$22</f>
        <v>https://www.berria.eus/kirola/artolak-nagusitasunez-irabazi-dio-zabaleri_2124679_102.html</v>
      </c>
      <c r="B354" s="3" t="s">
        <v>22</v>
      </c>
      <c r="C354" s="5" t="str">
        <f aca="false">'🤖 GPT 4o'!C24</f>
        <v>5W1H</v>
      </c>
      <c r="D354" s="124" t="n">
        <f aca="false">'🤖 GPT 4o'!E24</f>
        <v>0.3090452261</v>
      </c>
      <c r="E354" s="118" t="n">
        <f aca="false">'🤖 GPT 4o'!F24</f>
        <v>2</v>
      </c>
      <c r="F354" s="118" t="n">
        <f aca="false">'🤖 GPT 4o'!G24</f>
        <v>5</v>
      </c>
      <c r="G354" s="118" t="n">
        <f aca="false">'🤖 GPT 4o'!H24</f>
        <v>5</v>
      </c>
      <c r="H354" s="118" t="n">
        <f aca="false">'🤖 GPT 4o'!I24</f>
        <v>4</v>
      </c>
      <c r="I354" s="118" t="n">
        <f aca="false">'🤖 GPT 4o'!J24</f>
        <v>5</v>
      </c>
    </row>
    <row r="355" customFormat="false" ht="15.75" hidden="false" customHeight="false" outlineLevel="0" collapsed="false">
      <c r="A355" s="116" t="str">
        <f aca="false">'🤖 GPT 4o'!$A$22</f>
        <v>https://www.berria.eus/kirola/artolak-nagusitasunez-irabazi-dio-zabaleri_2124679_102.html</v>
      </c>
      <c r="B355" s="3" t="s">
        <v>22</v>
      </c>
      <c r="C355" s="5" t="str">
        <f aca="false">'🤖 GPT 4o'!C25</f>
        <v>tldr</v>
      </c>
      <c r="D355" s="143" t="n">
        <f aca="false">'🤖 GPT 4o'!E25</f>
        <v>0.1658291457</v>
      </c>
      <c r="E355" s="118" t="n">
        <f aca="false">'🤖 GPT 4o'!F25</f>
        <v>5</v>
      </c>
      <c r="F355" s="118" t="n">
        <f aca="false">'🤖 GPT 4o'!G25</f>
        <v>5</v>
      </c>
      <c r="G355" s="118" t="n">
        <f aca="false">'🤖 GPT 4o'!H25</f>
        <v>5</v>
      </c>
      <c r="H355" s="118" t="n">
        <f aca="false">'🤖 GPT 4o'!I25</f>
        <v>5</v>
      </c>
      <c r="I355" s="118" t="n">
        <f aca="false">'🤖 GPT 4o'!J25</f>
        <v>5</v>
      </c>
    </row>
    <row r="356" customFormat="false" ht="15.75" hidden="false" customHeight="false" outlineLevel="0" collapsed="false">
      <c r="A356" s="8"/>
      <c r="B356" s="8"/>
      <c r="C356" s="50"/>
      <c r="D356" s="8"/>
      <c r="E356" s="50"/>
      <c r="F356" s="50"/>
      <c r="G356" s="50"/>
      <c r="H356" s="50"/>
      <c r="I356" s="50"/>
    </row>
    <row r="357" customFormat="false" ht="15.75" hidden="false" customHeight="false" outlineLevel="0" collapsed="false">
      <c r="A357" s="116" t="str">
        <f aca="false">'🤖 GPT 4o'!$A$27</f>
        <v>https://www.berria.eus/mundua/gutxienez-40-hildako-eta-dozenaka-zauritu-moskun-gertatutako-tiroketa-batean_2122731_102.html</v>
      </c>
      <c r="B357" s="3" t="s">
        <v>22</v>
      </c>
      <c r="C357" s="5" t="str">
        <f aca="false">'🤖 GPT 4o'!C27</f>
        <v>Base</v>
      </c>
      <c r="D357" s="163" t="n">
        <f aca="false">'🤖 GPT 4o'!E27</f>
        <v>0.6598240469</v>
      </c>
      <c r="E357" s="118" t="n">
        <f aca="false">'🤖 GPT 4o'!F27</f>
        <v>3</v>
      </c>
      <c r="F357" s="118" t="n">
        <f aca="false">'🤖 GPT 4o'!G27</f>
        <v>3</v>
      </c>
      <c r="G357" s="118" t="n">
        <f aca="false">'🤖 GPT 4o'!H27</f>
        <v>4</v>
      </c>
      <c r="H357" s="118" t="n">
        <f aca="false">'🤖 GPT 4o'!I27</f>
        <v>3</v>
      </c>
      <c r="I357" s="118" t="n">
        <f aca="false">'🤖 GPT 4o'!J27</f>
        <v>4</v>
      </c>
    </row>
    <row r="358" customFormat="false" ht="15.75" hidden="false" customHeight="false" outlineLevel="0" collapsed="false">
      <c r="A358" s="116" t="str">
        <f aca="false">'🤖 GPT 4o'!$A$27</f>
        <v>https://www.berria.eus/mundua/gutxienez-40-hildako-eta-dozenaka-zauritu-moskun-gertatutako-tiroketa-batean_2122731_102.html</v>
      </c>
      <c r="B358" s="3" t="s">
        <v>22</v>
      </c>
      <c r="C358" s="5" t="str">
        <f aca="false">'🤖 GPT 4o'!C28</f>
        <v>CoT</v>
      </c>
      <c r="D358" s="159" t="n">
        <f aca="false">'🤖 GPT 4o'!E28</f>
        <v>0.348973607</v>
      </c>
      <c r="E358" s="118" t="n">
        <f aca="false">'🤖 GPT 4o'!F28</f>
        <v>3</v>
      </c>
      <c r="F358" s="118" t="n">
        <f aca="false">'🤖 GPT 4o'!G28</f>
        <v>4</v>
      </c>
      <c r="G358" s="118" t="n">
        <f aca="false">'🤖 GPT 4o'!H28</f>
        <v>4</v>
      </c>
      <c r="H358" s="118" t="n">
        <f aca="false">'🤖 GPT 4o'!I28</f>
        <v>4</v>
      </c>
      <c r="I358" s="118" t="n">
        <f aca="false">'🤖 GPT 4o'!J28</f>
        <v>4</v>
      </c>
    </row>
    <row r="359" customFormat="false" ht="15.75" hidden="false" customHeight="false" outlineLevel="0" collapsed="false">
      <c r="A359" s="116" t="str">
        <f aca="false">'🤖 GPT 4o'!$A$27</f>
        <v>https://www.berria.eus/mundua/gutxienez-40-hildako-eta-dozenaka-zauritu-moskun-gertatutako-tiroketa-batean_2122731_102.html</v>
      </c>
      <c r="B359" s="3" t="s">
        <v>22</v>
      </c>
      <c r="C359" s="5" t="str">
        <f aca="false">'🤖 GPT 4o'!C29</f>
        <v>5W1H</v>
      </c>
      <c r="D359" s="164" t="n">
        <f aca="false">'🤖 GPT 4o'!E29</f>
        <v>0.4017595308</v>
      </c>
      <c r="E359" s="118" t="n">
        <f aca="false">'🤖 GPT 4o'!F29</f>
        <v>3</v>
      </c>
      <c r="F359" s="118" t="n">
        <f aca="false">'🤖 GPT 4o'!G29</f>
        <v>4</v>
      </c>
      <c r="G359" s="118" t="n">
        <f aca="false">'🤖 GPT 4o'!H29</f>
        <v>4</v>
      </c>
      <c r="H359" s="118" t="n">
        <f aca="false">'🤖 GPT 4o'!I29</f>
        <v>4</v>
      </c>
      <c r="I359" s="118" t="n">
        <f aca="false">'🤖 GPT 4o'!J29</f>
        <v>5</v>
      </c>
    </row>
    <row r="360" customFormat="false" ht="15.75" hidden="false" customHeight="false" outlineLevel="0" collapsed="false">
      <c r="A360" s="116" t="str">
        <f aca="false">'🤖 GPT 4o'!$A$27</f>
        <v>https://www.berria.eus/mundua/gutxienez-40-hildako-eta-dozenaka-zauritu-moskun-gertatutako-tiroketa-batean_2122731_102.html</v>
      </c>
      <c r="B360" s="3" t="s">
        <v>22</v>
      </c>
      <c r="C360" s="5" t="str">
        <f aca="false">'🤖 GPT 4o'!C30</f>
        <v>tldr</v>
      </c>
      <c r="D360" s="165" t="n">
        <f aca="false">'🤖 GPT 4o'!E30</f>
        <v>0.2082111437</v>
      </c>
      <c r="E360" s="118" t="n">
        <f aca="false">'🤖 GPT 4o'!F30</f>
        <v>4</v>
      </c>
      <c r="F360" s="118" t="n">
        <f aca="false">'🤖 GPT 4o'!G30</f>
        <v>4</v>
      </c>
      <c r="G360" s="118" t="n">
        <f aca="false">'🤖 GPT 4o'!H30</f>
        <v>5</v>
      </c>
      <c r="H360" s="118" t="n">
        <f aca="false">'🤖 GPT 4o'!I30</f>
        <v>5</v>
      </c>
      <c r="I360" s="118" t="n">
        <f aca="false">'🤖 GPT 4o'!J30</f>
        <v>5</v>
      </c>
    </row>
    <row r="361" customFormat="false" ht="15.75" hidden="false" customHeight="false" outlineLevel="0" collapsed="false">
      <c r="A361" s="8"/>
      <c r="B361" s="8"/>
      <c r="C361" s="50"/>
      <c r="D361" s="8"/>
      <c r="E361" s="50"/>
      <c r="F361" s="50"/>
      <c r="G361" s="50"/>
      <c r="H361" s="50"/>
      <c r="I361" s="50"/>
    </row>
    <row r="362" customFormat="false" ht="15.75" hidden="false" customHeight="false" outlineLevel="0" collapsed="false">
      <c r="A362" s="116" t="str">
        <f aca="false">'🤖 GPT 4o'!$A$32</f>
        <v>https://www.berria.eus/bizigiro/ohartu-behar-dugu-bizi-garen-jendartea-dominazioaren-kultura-batean-oinarritzen-dela_2121952_102.html</v>
      </c>
      <c r="B362" s="3" t="s">
        <v>22</v>
      </c>
      <c r="C362" s="5" t="str">
        <f aca="false">'🤖 GPT 4o'!C32</f>
        <v>Base</v>
      </c>
      <c r="D362" s="166" t="n">
        <f aca="false">'🤖 GPT 4o'!E32</f>
        <v>0.3225255973</v>
      </c>
      <c r="E362" s="118" t="n">
        <f aca="false">'🤖 GPT 4o'!F32</f>
        <v>3</v>
      </c>
      <c r="F362" s="118" t="n">
        <f aca="false">'🤖 GPT 4o'!G32</f>
        <v>4</v>
      </c>
      <c r="G362" s="118" t="n">
        <f aca="false">'🤖 GPT 4o'!H32</f>
        <v>4</v>
      </c>
      <c r="H362" s="118" t="n">
        <f aca="false">'🤖 GPT 4o'!I32</f>
        <v>4</v>
      </c>
      <c r="I362" s="118" t="n">
        <f aca="false">'🤖 GPT 4o'!J32</f>
        <v>5</v>
      </c>
    </row>
    <row r="363" customFormat="false" ht="15.75" hidden="false" customHeight="false" outlineLevel="0" collapsed="false">
      <c r="A363" s="116" t="str">
        <f aca="false">'🤖 GPT 4o'!$A$32</f>
        <v>https://www.berria.eus/bizigiro/ohartu-behar-dugu-bizi-garen-jendartea-dominazioaren-kultura-batean-oinarritzen-dela_2121952_102.html</v>
      </c>
      <c r="B363" s="3" t="s">
        <v>22</v>
      </c>
      <c r="C363" s="5" t="str">
        <f aca="false">'🤖 GPT 4o'!C33</f>
        <v>CoT</v>
      </c>
      <c r="D363" s="167" t="n">
        <f aca="false">'🤖 GPT 4o'!E33</f>
        <v>0.1177474403</v>
      </c>
      <c r="E363" s="118" t="n">
        <f aca="false">'🤖 GPT 4o'!F33</f>
        <v>5</v>
      </c>
      <c r="F363" s="118" t="n">
        <f aca="false">'🤖 GPT 4o'!G33</f>
        <v>5</v>
      </c>
      <c r="G363" s="118" t="n">
        <f aca="false">'🤖 GPT 4o'!H33</f>
        <v>4</v>
      </c>
      <c r="H363" s="118" t="n">
        <f aca="false">'🤖 GPT 4o'!I33</f>
        <v>5</v>
      </c>
      <c r="I363" s="118" t="n">
        <f aca="false">'🤖 GPT 4o'!J33</f>
        <v>4</v>
      </c>
    </row>
    <row r="364" customFormat="false" ht="15.75" hidden="false" customHeight="false" outlineLevel="0" collapsed="false">
      <c r="A364" s="116" t="str">
        <f aca="false">'🤖 GPT 4o'!$A$32</f>
        <v>https://www.berria.eus/bizigiro/ohartu-behar-dugu-bizi-garen-jendartea-dominazioaren-kultura-batean-oinarritzen-dela_2121952_102.html</v>
      </c>
      <c r="B364" s="3" t="s">
        <v>22</v>
      </c>
      <c r="C364" s="5" t="str">
        <f aca="false">'🤖 GPT 4o'!C34</f>
        <v>5W1H</v>
      </c>
      <c r="D364" s="168" t="n">
        <f aca="false">'🤖 GPT 4o'!E34</f>
        <v>0.2986348123</v>
      </c>
      <c r="E364" s="118" t="n">
        <f aca="false">'🤖 GPT 4o'!F34</f>
        <v>2</v>
      </c>
      <c r="F364" s="118" t="n">
        <f aca="false">'🤖 GPT 4o'!G34</f>
        <v>5</v>
      </c>
      <c r="G364" s="118" t="n">
        <f aca="false">'🤖 GPT 4o'!H34</f>
        <v>5</v>
      </c>
      <c r="H364" s="118" t="n">
        <f aca="false">'🤖 GPT 4o'!I34</f>
        <v>4</v>
      </c>
      <c r="I364" s="118" t="n">
        <f aca="false">'🤖 GPT 4o'!J34</f>
        <v>5</v>
      </c>
    </row>
    <row r="365" customFormat="false" ht="15.75" hidden="false" customHeight="false" outlineLevel="0" collapsed="false">
      <c r="A365" s="116" t="str">
        <f aca="false">'🤖 GPT 4o'!$A$32</f>
        <v>https://www.berria.eus/bizigiro/ohartu-behar-dugu-bizi-garen-jendartea-dominazioaren-kultura-batean-oinarritzen-dela_2121952_102.html</v>
      </c>
      <c r="B365" s="3" t="s">
        <v>22</v>
      </c>
      <c r="C365" s="5" t="str">
        <f aca="false">'🤖 GPT 4o'!C35</f>
        <v>tldr</v>
      </c>
      <c r="D365" s="157" t="n">
        <f aca="false">'🤖 GPT 4o'!E35</f>
        <v>0.1604095563</v>
      </c>
      <c r="E365" s="118" t="n">
        <f aca="false">'🤖 GPT 4o'!F35</f>
        <v>5</v>
      </c>
      <c r="F365" s="118" t="n">
        <f aca="false">'🤖 GPT 4o'!G35</f>
        <v>5</v>
      </c>
      <c r="G365" s="118" t="n">
        <f aca="false">'🤖 GPT 4o'!H35</f>
        <v>5</v>
      </c>
      <c r="H365" s="118" t="n">
        <f aca="false">'🤖 GPT 4o'!I35</f>
        <v>5</v>
      </c>
      <c r="I365" s="118" t="n">
        <f aca="false">'🤖 GPT 4o'!J35</f>
        <v>5</v>
      </c>
    </row>
    <row r="366" customFormat="false" ht="15.75" hidden="false" customHeight="false" outlineLevel="0" collapsed="false">
      <c r="A366" s="8"/>
      <c r="B366" s="8"/>
      <c r="C366" s="50"/>
      <c r="D366" s="8"/>
      <c r="E366" s="50"/>
      <c r="F366" s="50"/>
      <c r="G366" s="50"/>
      <c r="H366" s="50"/>
      <c r="I366" s="50"/>
    </row>
    <row r="367" customFormat="false" ht="15.75" hidden="false" customHeight="false" outlineLevel="0" collapsed="false">
      <c r="A367" s="116" t="str">
        <f aca="false">'🤖 GPT 4o'!$A$37</f>
        <v>https://www.berria.eus/ekonomia/energiaren-euskal-erakundea-energia-konpainien-zergaren-aurka_234607_102.html</v>
      </c>
      <c r="B367" s="3" t="s">
        <v>22</v>
      </c>
      <c r="C367" s="5" t="str">
        <f aca="false">'🤖 GPT 4o'!C37</f>
        <v>Base</v>
      </c>
      <c r="D367" s="139" t="n">
        <f aca="false">'🤖 GPT 4o'!E37</f>
        <v>0.3887399464</v>
      </c>
      <c r="E367" s="118" t="n">
        <f aca="false">'🤖 GPT 4o'!F37</f>
        <v>4</v>
      </c>
      <c r="F367" s="118" t="n">
        <f aca="false">'🤖 GPT 4o'!G37</f>
        <v>4</v>
      </c>
      <c r="G367" s="118" t="n">
        <f aca="false">'🤖 GPT 4o'!H37</f>
        <v>4</v>
      </c>
      <c r="H367" s="118" t="n">
        <f aca="false">'🤖 GPT 4o'!I37</f>
        <v>4</v>
      </c>
      <c r="I367" s="118" t="n">
        <f aca="false">'🤖 GPT 4o'!J37</f>
        <v>5</v>
      </c>
    </row>
    <row r="368" customFormat="false" ht="15.75" hidden="false" customHeight="false" outlineLevel="0" collapsed="false">
      <c r="A368" s="116" t="str">
        <f aca="false">'🤖 GPT 4o'!$A$37</f>
        <v>https://www.berria.eus/ekonomia/energiaren-euskal-erakundea-energia-konpainien-zergaren-aurka_234607_102.html</v>
      </c>
      <c r="B368" s="3" t="s">
        <v>22</v>
      </c>
      <c r="C368" s="5" t="str">
        <f aca="false">'🤖 GPT 4o'!C38</f>
        <v>CoT</v>
      </c>
      <c r="D368" s="137" t="n">
        <f aca="false">'🤖 GPT 4o'!E38</f>
        <v>0.1930294906</v>
      </c>
      <c r="E368" s="118" t="n">
        <f aca="false">'🤖 GPT 4o'!F38</f>
        <v>4</v>
      </c>
      <c r="F368" s="118" t="n">
        <f aca="false">'🤖 GPT 4o'!G38</f>
        <v>4</v>
      </c>
      <c r="G368" s="118" t="n">
        <f aca="false">'🤖 GPT 4o'!H38</f>
        <v>5</v>
      </c>
      <c r="H368" s="118" t="n">
        <f aca="false">'🤖 GPT 4o'!I38</f>
        <v>5</v>
      </c>
      <c r="I368" s="118" t="n">
        <f aca="false">'🤖 GPT 4o'!J38</f>
        <v>4</v>
      </c>
    </row>
    <row r="369" customFormat="false" ht="15.75" hidden="false" customHeight="false" outlineLevel="0" collapsed="false">
      <c r="A369" s="116" t="str">
        <f aca="false">'🤖 GPT 4o'!$A$37</f>
        <v>https://www.berria.eus/ekonomia/energiaren-euskal-erakundea-energia-konpainien-zergaren-aurka_234607_102.html</v>
      </c>
      <c r="B369" s="3" t="s">
        <v>22</v>
      </c>
      <c r="C369" s="5" t="str">
        <f aca="false">'🤖 GPT 4o'!C39</f>
        <v>5W1H</v>
      </c>
      <c r="D369" s="140" t="n">
        <f aca="false">'🤖 GPT 4o'!E39</f>
        <v>0.7104557641</v>
      </c>
      <c r="E369" s="118" t="n">
        <f aca="false">'🤖 GPT 4o'!F39</f>
        <v>2</v>
      </c>
      <c r="F369" s="118" t="n">
        <f aca="false">'🤖 GPT 4o'!G39</f>
        <v>5</v>
      </c>
      <c r="G369" s="118" t="n">
        <f aca="false">'🤖 GPT 4o'!H39</f>
        <v>5</v>
      </c>
      <c r="H369" s="118" t="n">
        <f aca="false">'🤖 GPT 4o'!I39</f>
        <v>4</v>
      </c>
      <c r="I369" s="118" t="n">
        <f aca="false">'🤖 GPT 4o'!J39</f>
        <v>5</v>
      </c>
    </row>
    <row r="370" customFormat="false" ht="15.75" hidden="false" customHeight="false" outlineLevel="0" collapsed="false">
      <c r="A370" s="116" t="str">
        <f aca="false">'🤖 GPT 4o'!$A$37</f>
        <v>https://www.berria.eus/ekonomia/energiaren-euskal-erakundea-energia-konpainien-zergaren-aurka_234607_102.html</v>
      </c>
      <c r="B370" s="3" t="s">
        <v>22</v>
      </c>
      <c r="C370" s="5" t="str">
        <f aca="false">'🤖 GPT 4o'!C40</f>
        <v>tldr</v>
      </c>
      <c r="D370" s="149" t="n">
        <f aca="false">'🤖 GPT 4o'!E40</f>
        <v>0.3029490617</v>
      </c>
      <c r="E370" s="118" t="n">
        <f aca="false">'🤖 GPT 4o'!F40</f>
        <v>4</v>
      </c>
      <c r="F370" s="118" t="n">
        <f aca="false">'🤖 GPT 4o'!G40</f>
        <v>5</v>
      </c>
      <c r="G370" s="118" t="n">
        <f aca="false">'🤖 GPT 4o'!H40</f>
        <v>4</v>
      </c>
      <c r="H370" s="118" t="n">
        <f aca="false">'🤖 GPT 4o'!I40</f>
        <v>5</v>
      </c>
      <c r="I370" s="118" t="n">
        <f aca="false">'🤖 GPT 4o'!J40</f>
        <v>4</v>
      </c>
    </row>
    <row r="371" customFormat="false" ht="15.75" hidden="false" customHeight="false" outlineLevel="0" collapsed="false">
      <c r="A371" s="8"/>
      <c r="B371" s="8"/>
      <c r="C371" s="50"/>
      <c r="D371" s="8"/>
      <c r="E371" s="50"/>
      <c r="F371" s="50"/>
      <c r="G371" s="50"/>
      <c r="H371" s="50"/>
      <c r="I371" s="50"/>
    </row>
    <row r="372" customFormat="false" ht="15.75" hidden="false" customHeight="false" outlineLevel="0" collapsed="false">
      <c r="A372" s="116" t="str">
        <f aca="false">'🤖 GPT 4o'!$A$42</f>
        <v>https://www.berria.eus/kultura/benat-arrutik-irabazi-du-donostia-kultura-vii-poesia-lehiaketa_2122642_102.html</v>
      </c>
      <c r="B372" s="3" t="s">
        <v>22</v>
      </c>
      <c r="C372" s="5" t="str">
        <f aca="false">'🤖 GPT 4o'!C42</f>
        <v>Base</v>
      </c>
      <c r="D372" s="169" t="n">
        <f aca="false">'🤖 GPT 4o'!E42</f>
        <v>0.9858490566</v>
      </c>
      <c r="E372" s="118" t="n">
        <f aca="false">'🤖 GPT 4o'!F42</f>
        <v>5</v>
      </c>
      <c r="F372" s="118" t="n">
        <f aca="false">'🤖 GPT 4o'!G42</f>
        <v>5</v>
      </c>
      <c r="G372" s="118" t="n">
        <f aca="false">'🤖 GPT 4o'!H42</f>
        <v>5</v>
      </c>
      <c r="H372" s="118" t="n">
        <f aca="false">'🤖 GPT 4o'!I42</f>
        <v>1</v>
      </c>
      <c r="I372" s="118" t="n">
        <f aca="false">'🤖 GPT 4o'!J42</f>
        <v>5</v>
      </c>
    </row>
    <row r="373" customFormat="false" ht="15.75" hidden="false" customHeight="false" outlineLevel="0" collapsed="false">
      <c r="A373" s="116" t="str">
        <f aca="false">'🤖 GPT 4o'!$A$42</f>
        <v>https://www.berria.eus/kultura/benat-arrutik-irabazi-du-donostia-kultura-vii-poesia-lehiaketa_2122642_102.html</v>
      </c>
      <c r="B373" s="3" t="s">
        <v>22</v>
      </c>
      <c r="C373" s="5" t="str">
        <f aca="false">'🤖 GPT 4o'!C43</f>
        <v>CoT</v>
      </c>
      <c r="D373" s="155" t="n">
        <f aca="false">'🤖 GPT 4o'!E43</f>
        <v>0.4339622642</v>
      </c>
      <c r="E373" s="118" t="n">
        <f aca="false">'🤖 GPT 4o'!F43</f>
        <v>4</v>
      </c>
      <c r="F373" s="118" t="n">
        <f aca="false">'🤖 GPT 4o'!G43</f>
        <v>5</v>
      </c>
      <c r="G373" s="118" t="n">
        <f aca="false">'🤖 GPT 4o'!H43</f>
        <v>4</v>
      </c>
      <c r="H373" s="118" t="n">
        <f aca="false">'🤖 GPT 4o'!I43</f>
        <v>4</v>
      </c>
      <c r="I373" s="118" t="n">
        <f aca="false">'🤖 GPT 4o'!J43</f>
        <v>5</v>
      </c>
    </row>
    <row r="374" customFormat="false" ht="15.75" hidden="false" customHeight="false" outlineLevel="0" collapsed="false">
      <c r="A374" s="116" t="str">
        <f aca="false">'🤖 GPT 4o'!$A$42</f>
        <v>https://www.berria.eus/kultura/benat-arrutik-irabazi-du-donostia-kultura-vii-poesia-lehiaketa_2122642_102.html</v>
      </c>
      <c r="B374" s="3" t="s">
        <v>22</v>
      </c>
      <c r="C374" s="5" t="str">
        <f aca="false">'🤖 GPT 4o'!C44</f>
        <v>5W1H</v>
      </c>
      <c r="D374" s="170" t="n">
        <f aca="false">'🤖 GPT 4o'!E44</f>
        <v>0.8113207547</v>
      </c>
      <c r="E374" s="118" t="n">
        <f aca="false">'🤖 GPT 4o'!F44</f>
        <v>2</v>
      </c>
      <c r="F374" s="118" t="n">
        <f aca="false">'🤖 GPT 4o'!G44</f>
        <v>4</v>
      </c>
      <c r="G374" s="118" t="n">
        <f aca="false">'🤖 GPT 4o'!H44</f>
        <v>4</v>
      </c>
      <c r="H374" s="118" t="n">
        <f aca="false">'🤖 GPT 4o'!I44</f>
        <v>3</v>
      </c>
      <c r="I374" s="118" t="n">
        <f aca="false">'🤖 GPT 4o'!J44</f>
        <v>5</v>
      </c>
    </row>
    <row r="375" customFormat="false" ht="15.75" hidden="false" customHeight="false" outlineLevel="0" collapsed="false">
      <c r="A375" s="116" t="str">
        <f aca="false">'🤖 GPT 4o'!$A$42</f>
        <v>https://www.berria.eus/kultura/benat-arrutik-irabazi-du-donostia-kultura-vii-poesia-lehiaketa_2122642_102.html</v>
      </c>
      <c r="B375" s="3" t="s">
        <v>22</v>
      </c>
      <c r="C375" s="5" t="str">
        <f aca="false">'🤖 GPT 4o'!C45</f>
        <v>tldr</v>
      </c>
      <c r="D375" s="151" t="n">
        <f aca="false">'🤖 GPT 4o'!E45</f>
        <v>0.3962264151</v>
      </c>
      <c r="E375" s="118" t="n">
        <f aca="false">'🤖 GPT 4o'!F45</f>
        <v>5</v>
      </c>
      <c r="F375" s="118" t="n">
        <f aca="false">'🤖 GPT 4o'!G45</f>
        <v>5</v>
      </c>
      <c r="G375" s="118" t="n">
        <f aca="false">'🤖 GPT 4o'!H45</f>
        <v>5</v>
      </c>
      <c r="H375" s="118" t="n">
        <f aca="false">'🤖 GPT 4o'!I45</f>
        <v>4</v>
      </c>
      <c r="I375" s="118" t="n">
        <f aca="false">'🤖 GPT 4o'!J45</f>
        <v>5</v>
      </c>
    </row>
    <row r="376" customFormat="false" ht="15.75" hidden="false" customHeight="false" outlineLevel="0" collapsed="false">
      <c r="A376" s="8"/>
      <c r="B376" s="8"/>
      <c r="C376" s="50"/>
      <c r="D376" s="8"/>
      <c r="E376" s="50"/>
      <c r="F376" s="50"/>
      <c r="G376" s="50"/>
      <c r="H376" s="50"/>
      <c r="I376" s="50"/>
    </row>
    <row r="377" customFormat="false" ht="15.75" hidden="false" customHeight="false" outlineLevel="0" collapsed="false">
      <c r="A377" s="116" t="str">
        <f aca="false">'🤖 GPT 4o'!$A$47</f>
        <v>https://www.berria.eus/mundua/aleksei-navalni-hil-da_2120844_102.html</v>
      </c>
      <c r="B377" s="3" t="s">
        <v>22</v>
      </c>
      <c r="C377" s="5" t="str">
        <f aca="false">'🤖 GPT 4o'!C47</f>
        <v>Base</v>
      </c>
      <c r="D377" s="138" t="n">
        <f aca="false">'🤖 GPT 4o'!E47</f>
        <v>0.9053398058</v>
      </c>
      <c r="E377" s="118" t="n">
        <f aca="false">'🤖 GPT 4o'!F47</f>
        <v>5</v>
      </c>
      <c r="F377" s="118" t="n">
        <f aca="false">'🤖 GPT 4o'!G47</f>
        <v>4</v>
      </c>
      <c r="G377" s="118" t="n">
        <f aca="false">'🤖 GPT 4o'!H47</f>
        <v>5</v>
      </c>
      <c r="H377" s="118" t="n">
        <f aca="false">'🤖 GPT 4o'!I47</f>
        <v>1</v>
      </c>
      <c r="I377" s="118" t="n">
        <f aca="false">'🤖 GPT 4o'!J47</f>
        <v>5</v>
      </c>
    </row>
    <row r="378" customFormat="false" ht="15.75" hidden="false" customHeight="false" outlineLevel="0" collapsed="false">
      <c r="A378" s="116" t="str">
        <f aca="false">'🤖 GPT 4o'!$A$47</f>
        <v>https://www.berria.eus/mundua/aleksei-navalni-hil-da_2120844_102.html</v>
      </c>
      <c r="B378" s="3" t="s">
        <v>22</v>
      </c>
      <c r="C378" s="5" t="str">
        <f aca="false">'🤖 GPT 4o'!C48</f>
        <v>CoT</v>
      </c>
      <c r="D378" s="143" t="n">
        <f aca="false">'🤖 GPT 4o'!E48</f>
        <v>0.1893203883</v>
      </c>
      <c r="E378" s="118" t="n">
        <f aca="false">'🤖 GPT 4o'!F48</f>
        <v>4</v>
      </c>
      <c r="F378" s="118" t="n">
        <f aca="false">'🤖 GPT 4o'!G48</f>
        <v>4</v>
      </c>
      <c r="G378" s="118" t="n">
        <f aca="false">'🤖 GPT 4o'!H48</f>
        <v>4</v>
      </c>
      <c r="H378" s="118" t="n">
        <f aca="false">'🤖 GPT 4o'!I48</f>
        <v>4</v>
      </c>
      <c r="I378" s="118" t="n">
        <f aca="false">'🤖 GPT 4o'!J48</f>
        <v>5</v>
      </c>
    </row>
    <row r="379" customFormat="false" ht="15.75" hidden="false" customHeight="false" outlineLevel="0" collapsed="false">
      <c r="A379" s="116" t="str">
        <f aca="false">'🤖 GPT 4o'!$A$47</f>
        <v>https://www.berria.eus/mundua/aleksei-navalni-hil-da_2120844_102.html</v>
      </c>
      <c r="B379" s="3" t="s">
        <v>22</v>
      </c>
      <c r="C379" s="5" t="str">
        <f aca="false">'🤖 GPT 4o'!C49</f>
        <v>5W1H</v>
      </c>
      <c r="D379" s="126" t="n">
        <f aca="false">'🤖 GPT 4o'!E49</f>
        <v>0.2936893204</v>
      </c>
      <c r="E379" s="118" t="n">
        <f aca="false">'🤖 GPT 4o'!F49</f>
        <v>2</v>
      </c>
      <c r="F379" s="118" t="n">
        <f aca="false">'🤖 GPT 4o'!G49</f>
        <v>4</v>
      </c>
      <c r="G379" s="118" t="n">
        <f aca="false">'🤖 GPT 4o'!H49</f>
        <v>5</v>
      </c>
      <c r="H379" s="118" t="n">
        <f aca="false">'🤖 GPT 4o'!I49</f>
        <v>4</v>
      </c>
      <c r="I379" s="118" t="n">
        <f aca="false">'🤖 GPT 4o'!J49</f>
        <v>5</v>
      </c>
    </row>
    <row r="380" customFormat="false" ht="15.75" hidden="false" customHeight="false" outlineLevel="0" collapsed="false">
      <c r="A380" s="116" t="str">
        <f aca="false">'🤖 GPT 4o'!$A$47</f>
        <v>https://www.berria.eus/mundua/aleksei-navalni-hil-da_2120844_102.html</v>
      </c>
      <c r="B380" s="3" t="s">
        <v>22</v>
      </c>
      <c r="C380" s="5" t="str">
        <f aca="false">'🤖 GPT 4o'!C50</f>
        <v>tldr</v>
      </c>
      <c r="D380" s="171" t="n">
        <f aca="false">'🤖 GPT 4o'!E50</f>
        <v>0.2184466019</v>
      </c>
      <c r="E380" s="118" t="n">
        <f aca="false">'🤖 GPT 4o'!F50</f>
        <v>4</v>
      </c>
      <c r="F380" s="118" t="n">
        <f aca="false">'🤖 GPT 4o'!G50</f>
        <v>5</v>
      </c>
      <c r="G380" s="118" t="n">
        <f aca="false">'🤖 GPT 4o'!H50</f>
        <v>4</v>
      </c>
      <c r="H380" s="118" t="n">
        <f aca="false">'🤖 GPT 4o'!I50</f>
        <v>4</v>
      </c>
      <c r="I380" s="118" t="n">
        <f aca="false">'🤖 GPT 4o'!J50</f>
        <v>5</v>
      </c>
    </row>
    <row r="381" customFormat="false" ht="15.75" hidden="false" customHeight="false" outlineLevel="0" collapsed="false">
      <c r="A381" s="116"/>
      <c r="B381" s="3"/>
      <c r="C381" s="5"/>
      <c r="D381" s="171"/>
      <c r="E381" s="5"/>
      <c r="F381" s="5"/>
      <c r="G381" s="5"/>
      <c r="H381" s="5"/>
      <c r="I381" s="5"/>
    </row>
    <row r="382" customFormat="false" ht="15.75" hidden="false" customHeight="false" outlineLevel="0" collapsed="false">
      <c r="A382" s="116" t="n">
        <f aca="false">'🤖 GPT 4o'!$A$52</f>
        <v>0</v>
      </c>
      <c r="B382" s="3" t="s">
        <v>22</v>
      </c>
      <c r="C382" s="5" t="str">
        <f aca="false">'🤖 GPT 4o'!C52</f>
        <v>Base</v>
      </c>
      <c r="D382" s="171" t="n">
        <f aca="false">'🤖 GPT 4o'!E52</f>
        <v>0.002427184466</v>
      </c>
      <c r="E382" s="118" t="n">
        <f aca="false">'🤖 GPT 4o'!F52</f>
        <v>0</v>
      </c>
      <c r="F382" s="118" t="n">
        <f aca="false">'🤖 GPT 4o'!G52</f>
        <v>0</v>
      </c>
      <c r="G382" s="118" t="n">
        <f aca="false">'🤖 GPT 4o'!H52</f>
        <v>0</v>
      </c>
      <c r="H382" s="118" t="n">
        <f aca="false">'🤖 GPT 4o'!I52</f>
        <v>0</v>
      </c>
      <c r="I382" s="118" t="n">
        <f aca="false">'🤖 GPT 4o'!J52</f>
        <v>0</v>
      </c>
    </row>
    <row r="383" customFormat="false" ht="15.75" hidden="false" customHeight="false" outlineLevel="0" collapsed="false">
      <c r="A383" s="116" t="n">
        <f aca="false">'🤖 GPT 4o'!$A$52</f>
        <v>0</v>
      </c>
      <c r="B383" s="3" t="s">
        <v>22</v>
      </c>
      <c r="C383" s="5" t="str">
        <f aca="false">'🤖 GPT 4o'!C53</f>
        <v>CoT</v>
      </c>
      <c r="D383" s="171" t="n">
        <f aca="false">'🤖 GPT 4o'!E53</f>
        <v>0.002427184466</v>
      </c>
      <c r="E383" s="118" t="n">
        <f aca="false">'🤖 GPT 4o'!F53</f>
        <v>0</v>
      </c>
      <c r="F383" s="118" t="n">
        <f aca="false">'🤖 GPT 4o'!G53</f>
        <v>0</v>
      </c>
      <c r="G383" s="118" t="n">
        <f aca="false">'🤖 GPT 4o'!H53</f>
        <v>0</v>
      </c>
      <c r="H383" s="118" t="n">
        <f aca="false">'🤖 GPT 4o'!I53</f>
        <v>0</v>
      </c>
      <c r="I383" s="118" t="n">
        <f aca="false">'🤖 GPT 4o'!J53</f>
        <v>0</v>
      </c>
    </row>
    <row r="384" customFormat="false" ht="15.75" hidden="false" customHeight="false" outlineLevel="0" collapsed="false">
      <c r="A384" s="116" t="n">
        <f aca="false">'🤖 GPT 4o'!$A$52</f>
        <v>0</v>
      </c>
      <c r="B384" s="3" t="s">
        <v>22</v>
      </c>
      <c r="C384" s="5" t="str">
        <f aca="false">'🤖 GPT 4o'!C54</f>
        <v>5W1H</v>
      </c>
      <c r="D384" s="171" t="n">
        <f aca="false">'🤖 GPT 4o'!E54</f>
        <v>0.002427184466</v>
      </c>
      <c r="E384" s="118" t="n">
        <f aca="false">'🤖 GPT 4o'!F54</f>
        <v>0</v>
      </c>
      <c r="F384" s="118" t="n">
        <f aca="false">'🤖 GPT 4o'!G54</f>
        <v>0</v>
      </c>
      <c r="G384" s="118" t="n">
        <f aca="false">'🤖 GPT 4o'!H54</f>
        <v>0</v>
      </c>
      <c r="H384" s="118" t="n">
        <f aca="false">'🤖 GPT 4o'!I54</f>
        <v>0</v>
      </c>
      <c r="I384" s="118" t="n">
        <f aca="false">'🤖 GPT 4o'!J54</f>
        <v>0</v>
      </c>
    </row>
    <row r="385" customFormat="false" ht="15.75" hidden="false" customHeight="false" outlineLevel="0" collapsed="false">
      <c r="A385" s="116" t="n">
        <f aca="false">'🤖 GPT 4o'!$A$52</f>
        <v>0</v>
      </c>
      <c r="B385" s="3" t="s">
        <v>22</v>
      </c>
      <c r="C385" s="5" t="str">
        <f aca="false">'🤖 GPT 4o'!C55</f>
        <v>tldr</v>
      </c>
      <c r="D385" s="171" t="n">
        <f aca="false">'🤖 GPT 4o'!E55</f>
        <v>0.002427184466</v>
      </c>
      <c r="E385" s="118" t="n">
        <f aca="false">'🤖 GPT 4o'!F55</f>
        <v>0</v>
      </c>
      <c r="F385" s="118" t="n">
        <f aca="false">'🤖 GPT 4o'!G55</f>
        <v>0</v>
      </c>
      <c r="G385" s="118" t="n">
        <f aca="false">'🤖 GPT 4o'!H55</f>
        <v>0</v>
      </c>
      <c r="H385" s="118" t="n">
        <f aca="false">'🤖 GPT 4o'!I55</f>
        <v>0</v>
      </c>
      <c r="I385" s="118" t="n">
        <f aca="false">'🤖 GPT 4o'!J55</f>
        <v>0</v>
      </c>
    </row>
    <row r="386" customFormat="false" ht="15.75" hidden="false" customHeight="false" outlineLevel="0" collapsed="false">
      <c r="A386" s="116"/>
      <c r="B386" s="3"/>
      <c r="C386" s="5"/>
      <c r="D386" s="171"/>
      <c r="E386" s="5"/>
      <c r="F386" s="5"/>
      <c r="G386" s="5"/>
      <c r="H386" s="5"/>
      <c r="I386" s="5"/>
    </row>
    <row r="387" customFormat="false" ht="15.75" hidden="false" customHeight="false" outlineLevel="0" collapsed="false">
      <c r="A387" s="116" t="n">
        <f aca="false">'🤖 GPT 4o'!$A$57</f>
        <v>0</v>
      </c>
      <c r="B387" s="3" t="s">
        <v>22</v>
      </c>
      <c r="C387" s="5" t="str">
        <f aca="false">'🤖 GPT 4o'!C57</f>
        <v>Base</v>
      </c>
      <c r="D387" s="171" t="n">
        <f aca="false">'🤖 GPT 4o'!E57</f>
        <v>0.002427184466</v>
      </c>
      <c r="E387" s="118" t="n">
        <f aca="false">'🤖 GPT 4o'!F57</f>
        <v>0</v>
      </c>
      <c r="F387" s="118" t="n">
        <f aca="false">'🤖 GPT 4o'!G57</f>
        <v>0</v>
      </c>
      <c r="G387" s="118" t="n">
        <f aca="false">'🤖 GPT 4o'!H57</f>
        <v>0</v>
      </c>
      <c r="H387" s="118" t="n">
        <f aca="false">'🤖 GPT 4o'!I57</f>
        <v>0</v>
      </c>
      <c r="I387" s="118" t="n">
        <f aca="false">'🤖 GPT 4o'!J57</f>
        <v>0</v>
      </c>
    </row>
    <row r="388" customFormat="false" ht="15.75" hidden="false" customHeight="false" outlineLevel="0" collapsed="false">
      <c r="A388" s="116" t="n">
        <f aca="false">'🤖 GPT 4o'!$A$57</f>
        <v>0</v>
      </c>
      <c r="B388" s="3" t="s">
        <v>22</v>
      </c>
      <c r="C388" s="5" t="str">
        <f aca="false">'🤖 GPT 4o'!C58</f>
        <v>CoT</v>
      </c>
      <c r="D388" s="171" t="n">
        <f aca="false">'🤖 GPT 4o'!E58</f>
        <v>0.002427184466</v>
      </c>
      <c r="E388" s="118" t="n">
        <f aca="false">'🤖 GPT 4o'!F58</f>
        <v>0</v>
      </c>
      <c r="F388" s="118" t="n">
        <f aca="false">'🤖 GPT 4o'!G58</f>
        <v>0</v>
      </c>
      <c r="G388" s="118" t="n">
        <f aca="false">'🤖 GPT 4o'!H58</f>
        <v>0</v>
      </c>
      <c r="H388" s="118" t="n">
        <f aca="false">'🤖 GPT 4o'!I58</f>
        <v>0</v>
      </c>
      <c r="I388" s="118" t="n">
        <f aca="false">'🤖 GPT 4o'!J58</f>
        <v>0</v>
      </c>
    </row>
    <row r="389" customFormat="false" ht="15.75" hidden="false" customHeight="false" outlineLevel="0" collapsed="false">
      <c r="A389" s="116" t="n">
        <f aca="false">'🤖 GPT 4o'!$A$57</f>
        <v>0</v>
      </c>
      <c r="B389" s="3" t="s">
        <v>22</v>
      </c>
      <c r="C389" s="5" t="str">
        <f aca="false">'🤖 GPT 4o'!C59</f>
        <v>5W1H</v>
      </c>
      <c r="D389" s="171" t="n">
        <f aca="false">'🤖 GPT 4o'!E59</f>
        <v>0.002427184466</v>
      </c>
      <c r="E389" s="118" t="n">
        <f aca="false">'🤖 GPT 4o'!F59</f>
        <v>0</v>
      </c>
      <c r="F389" s="118" t="n">
        <f aca="false">'🤖 GPT 4o'!G59</f>
        <v>0</v>
      </c>
      <c r="G389" s="118" t="n">
        <f aca="false">'🤖 GPT 4o'!H59</f>
        <v>0</v>
      </c>
      <c r="H389" s="118" t="n">
        <f aca="false">'🤖 GPT 4o'!I59</f>
        <v>0</v>
      </c>
      <c r="I389" s="118" t="n">
        <f aca="false">'🤖 GPT 4o'!J59</f>
        <v>0</v>
      </c>
    </row>
    <row r="390" customFormat="false" ht="15.75" hidden="false" customHeight="false" outlineLevel="0" collapsed="false">
      <c r="A390" s="116" t="n">
        <f aca="false">'🤖 GPT 4o'!$A$57</f>
        <v>0</v>
      </c>
      <c r="B390" s="3" t="s">
        <v>22</v>
      </c>
      <c r="C390" s="5" t="str">
        <f aca="false">'🤖 GPT 4o'!C60</f>
        <v>tldr</v>
      </c>
      <c r="D390" s="171" t="n">
        <f aca="false">'🤖 GPT 4o'!E60</f>
        <v>0.002427184466</v>
      </c>
      <c r="E390" s="118" t="n">
        <f aca="false">'🤖 GPT 4o'!F60</f>
        <v>0</v>
      </c>
      <c r="F390" s="118" t="n">
        <f aca="false">'🤖 GPT 4o'!G60</f>
        <v>0</v>
      </c>
      <c r="G390" s="118" t="n">
        <f aca="false">'🤖 GPT 4o'!H60</f>
        <v>0</v>
      </c>
      <c r="H390" s="118" t="n">
        <f aca="false">'🤖 GPT 4o'!I60</f>
        <v>0</v>
      </c>
      <c r="I390" s="118" t="n">
        <f aca="false">'🤖 GPT 4o'!J60</f>
        <v>0</v>
      </c>
    </row>
    <row r="391" customFormat="false" ht="15.75" hidden="false" customHeight="false" outlineLevel="0" collapsed="false">
      <c r="A391" s="116"/>
      <c r="B391" s="3"/>
      <c r="C391" s="5"/>
      <c r="D391" s="171"/>
      <c r="E391" s="5"/>
      <c r="F391" s="5"/>
      <c r="G391" s="5"/>
      <c r="H391" s="5"/>
      <c r="I391" s="5"/>
    </row>
    <row r="392" customFormat="false" ht="15.75" hidden="false" customHeight="false" outlineLevel="0" collapsed="false">
      <c r="A392" s="116" t="n">
        <f aca="false">'🤖 GPT 4o'!$A$62</f>
        <v>0</v>
      </c>
      <c r="B392" s="3" t="s">
        <v>22</v>
      </c>
      <c r="C392" s="5" t="str">
        <f aca="false">'🤖 GPT 4o'!C62</f>
        <v>Base</v>
      </c>
      <c r="D392" s="171" t="n">
        <f aca="false">'🤖 GPT 4o'!E62</f>
        <v>0.002427184466</v>
      </c>
      <c r="E392" s="118" t="n">
        <f aca="false">'🤖 GPT 4o'!F62</f>
        <v>0</v>
      </c>
      <c r="F392" s="118" t="n">
        <f aca="false">'🤖 GPT 4o'!G62</f>
        <v>0</v>
      </c>
      <c r="G392" s="118" t="n">
        <f aca="false">'🤖 GPT 4o'!H62</f>
        <v>0</v>
      </c>
      <c r="H392" s="118" t="n">
        <f aca="false">'🤖 GPT 4o'!I62</f>
        <v>0</v>
      </c>
      <c r="I392" s="118" t="n">
        <f aca="false">'🤖 GPT 4o'!J62</f>
        <v>0</v>
      </c>
    </row>
    <row r="393" customFormat="false" ht="15.75" hidden="false" customHeight="false" outlineLevel="0" collapsed="false">
      <c r="A393" s="116" t="n">
        <f aca="false">'🤖 GPT 4o'!$A$62</f>
        <v>0</v>
      </c>
      <c r="B393" s="3" t="s">
        <v>22</v>
      </c>
      <c r="C393" s="5" t="str">
        <f aca="false">'🤖 GPT 4o'!C63</f>
        <v>CoT</v>
      </c>
      <c r="D393" s="171" t="n">
        <f aca="false">'🤖 GPT 4o'!E63</f>
        <v>0.002427184466</v>
      </c>
      <c r="E393" s="118" t="n">
        <f aca="false">'🤖 GPT 4o'!F63</f>
        <v>0</v>
      </c>
      <c r="F393" s="118" t="n">
        <f aca="false">'🤖 GPT 4o'!G63</f>
        <v>0</v>
      </c>
      <c r="G393" s="118" t="n">
        <f aca="false">'🤖 GPT 4o'!H63</f>
        <v>0</v>
      </c>
      <c r="H393" s="118" t="n">
        <f aca="false">'🤖 GPT 4o'!I63</f>
        <v>0</v>
      </c>
      <c r="I393" s="118" t="n">
        <f aca="false">'🤖 GPT 4o'!J63</f>
        <v>0</v>
      </c>
    </row>
    <row r="394" customFormat="false" ht="15.75" hidden="false" customHeight="false" outlineLevel="0" collapsed="false">
      <c r="A394" s="116" t="n">
        <f aca="false">'🤖 GPT 4o'!$A$62</f>
        <v>0</v>
      </c>
      <c r="B394" s="3" t="s">
        <v>22</v>
      </c>
      <c r="C394" s="5" t="str">
        <f aca="false">'🤖 GPT 4o'!C64</f>
        <v>5W1H</v>
      </c>
      <c r="D394" s="171" t="n">
        <f aca="false">'🤖 GPT 4o'!E64</f>
        <v>0.002427184466</v>
      </c>
      <c r="E394" s="118" t="n">
        <f aca="false">'🤖 GPT 4o'!F64</f>
        <v>0</v>
      </c>
      <c r="F394" s="118" t="n">
        <f aca="false">'🤖 GPT 4o'!G64</f>
        <v>0</v>
      </c>
      <c r="G394" s="118" t="n">
        <f aca="false">'🤖 GPT 4o'!H64</f>
        <v>0</v>
      </c>
      <c r="H394" s="118" t="n">
        <f aca="false">'🤖 GPT 4o'!I64</f>
        <v>0</v>
      </c>
      <c r="I394" s="118" t="n">
        <f aca="false">'🤖 GPT 4o'!J64</f>
        <v>0</v>
      </c>
    </row>
    <row r="395" customFormat="false" ht="15.75" hidden="false" customHeight="false" outlineLevel="0" collapsed="false">
      <c r="A395" s="116" t="n">
        <f aca="false">'🤖 GPT 4o'!$A$62</f>
        <v>0</v>
      </c>
      <c r="B395" s="3" t="s">
        <v>22</v>
      </c>
      <c r="C395" s="5" t="str">
        <f aca="false">'🤖 GPT 4o'!C65</f>
        <v>tldr</v>
      </c>
      <c r="D395" s="171" t="n">
        <f aca="false">'🤖 GPT 4o'!E65</f>
        <v>0.002427184466</v>
      </c>
      <c r="E395" s="118" t="n">
        <f aca="false">'🤖 GPT 4o'!F65</f>
        <v>0</v>
      </c>
      <c r="F395" s="118" t="n">
        <f aca="false">'🤖 GPT 4o'!G65</f>
        <v>0</v>
      </c>
      <c r="G395" s="118" t="n">
        <f aca="false">'🤖 GPT 4o'!H65</f>
        <v>0</v>
      </c>
      <c r="H395" s="118" t="n">
        <f aca="false">'🤖 GPT 4o'!I65</f>
        <v>0</v>
      </c>
      <c r="I395" s="118" t="n">
        <f aca="false">'🤖 GPT 4o'!J65</f>
        <v>0</v>
      </c>
    </row>
    <row r="396" customFormat="false" ht="15.75" hidden="false" customHeight="false" outlineLevel="0" collapsed="false">
      <c r="A396" s="116"/>
      <c r="B396" s="3"/>
      <c r="C396" s="5"/>
      <c r="D396" s="171"/>
      <c r="E396" s="5"/>
      <c r="F396" s="5"/>
      <c r="G396" s="5"/>
      <c r="H396" s="5"/>
      <c r="I396" s="5"/>
    </row>
    <row r="397" customFormat="false" ht="15.75" hidden="false" customHeight="false" outlineLevel="0" collapsed="false">
      <c r="A397" s="116" t="n">
        <f aca="false">'🤖 GPT 4o'!$A$67</f>
        <v>0</v>
      </c>
      <c r="B397" s="3" t="s">
        <v>22</v>
      </c>
      <c r="C397" s="5" t="str">
        <f aca="false">'🤖 GPT 4o'!C67</f>
        <v>Base</v>
      </c>
      <c r="D397" s="171" t="n">
        <f aca="false">'🤖 GPT 4o'!E67</f>
        <v>0.002427184466</v>
      </c>
      <c r="E397" s="118" t="n">
        <f aca="false">'🤖 GPT 4o'!F67</f>
        <v>0</v>
      </c>
      <c r="F397" s="118" t="n">
        <f aca="false">'🤖 GPT 4o'!G67</f>
        <v>0</v>
      </c>
      <c r="G397" s="118" t="n">
        <f aca="false">'🤖 GPT 4o'!H67</f>
        <v>0</v>
      </c>
      <c r="H397" s="118" t="n">
        <f aca="false">'🤖 GPT 4o'!I67</f>
        <v>0</v>
      </c>
      <c r="I397" s="118" t="n">
        <f aca="false">'🤖 GPT 4o'!J67</f>
        <v>0</v>
      </c>
    </row>
    <row r="398" customFormat="false" ht="15.75" hidden="false" customHeight="false" outlineLevel="0" collapsed="false">
      <c r="A398" s="116" t="n">
        <f aca="false">'🤖 GPT 4o'!$A$67</f>
        <v>0</v>
      </c>
      <c r="B398" s="3" t="s">
        <v>22</v>
      </c>
      <c r="C398" s="5" t="str">
        <f aca="false">'🤖 GPT 4o'!C68</f>
        <v>CoT</v>
      </c>
      <c r="D398" s="171" t="n">
        <f aca="false">'🤖 GPT 4o'!E68</f>
        <v>0.002427184466</v>
      </c>
      <c r="E398" s="118" t="n">
        <f aca="false">'🤖 GPT 4o'!F68</f>
        <v>0</v>
      </c>
      <c r="F398" s="118" t="n">
        <f aca="false">'🤖 GPT 4o'!G68</f>
        <v>0</v>
      </c>
      <c r="G398" s="118" t="n">
        <f aca="false">'🤖 GPT 4o'!H68</f>
        <v>0</v>
      </c>
      <c r="H398" s="118" t="n">
        <f aca="false">'🤖 GPT 4o'!I68</f>
        <v>0</v>
      </c>
      <c r="I398" s="118" t="n">
        <f aca="false">'🤖 GPT 4o'!J68</f>
        <v>0</v>
      </c>
    </row>
    <row r="399" customFormat="false" ht="15.75" hidden="false" customHeight="false" outlineLevel="0" collapsed="false">
      <c r="A399" s="116" t="n">
        <f aca="false">'🤖 GPT 4o'!$A$67</f>
        <v>0</v>
      </c>
      <c r="B399" s="3" t="s">
        <v>22</v>
      </c>
      <c r="C399" s="5" t="str">
        <f aca="false">'🤖 GPT 4o'!C69</f>
        <v>5W1H</v>
      </c>
      <c r="D399" s="171" t="n">
        <f aca="false">'🤖 GPT 4o'!E69</f>
        <v>0.002427184466</v>
      </c>
      <c r="E399" s="118" t="n">
        <f aca="false">'🤖 GPT 4o'!F69</f>
        <v>0</v>
      </c>
      <c r="F399" s="118" t="n">
        <f aca="false">'🤖 GPT 4o'!G69</f>
        <v>0</v>
      </c>
      <c r="G399" s="118" t="n">
        <f aca="false">'🤖 GPT 4o'!H69</f>
        <v>0</v>
      </c>
      <c r="H399" s="118" t="n">
        <f aca="false">'🤖 GPT 4o'!I69</f>
        <v>0</v>
      </c>
      <c r="I399" s="118" t="n">
        <f aca="false">'🤖 GPT 4o'!J69</f>
        <v>0</v>
      </c>
    </row>
    <row r="400" customFormat="false" ht="15.75" hidden="false" customHeight="false" outlineLevel="0" collapsed="false">
      <c r="A400" s="116" t="n">
        <f aca="false">'🤖 GPT 4o'!$A$67</f>
        <v>0</v>
      </c>
      <c r="B400" s="3" t="s">
        <v>22</v>
      </c>
      <c r="C400" s="5" t="str">
        <f aca="false">'🤖 GPT 4o'!C70</f>
        <v>tldr</v>
      </c>
      <c r="D400" s="171" t="n">
        <f aca="false">'🤖 GPT 4o'!E70</f>
        <v>0.002427184466</v>
      </c>
      <c r="E400" s="118" t="n">
        <f aca="false">'🤖 GPT 4o'!F70</f>
        <v>0</v>
      </c>
      <c r="F400" s="118" t="n">
        <f aca="false">'🤖 GPT 4o'!G70</f>
        <v>0</v>
      </c>
      <c r="G400" s="118" t="n">
        <f aca="false">'🤖 GPT 4o'!H70</f>
        <v>0</v>
      </c>
      <c r="H400" s="118" t="n">
        <f aca="false">'🤖 GPT 4o'!I70</f>
        <v>0</v>
      </c>
      <c r="I400" s="118" t="n">
        <f aca="false">'🤖 GPT 4o'!J70</f>
        <v>0</v>
      </c>
    </row>
    <row r="401" customFormat="false" ht="15.75" hidden="false" customHeight="false" outlineLevel="0" collapsed="false">
      <c r="A401" s="116"/>
      <c r="B401" s="3"/>
      <c r="C401" s="5"/>
      <c r="D401" s="171"/>
      <c r="E401" s="5"/>
      <c r="F401" s="5"/>
      <c r="G401" s="5"/>
      <c r="H401" s="5"/>
      <c r="I401" s="5"/>
    </row>
    <row r="402" customFormat="false" ht="15.75" hidden="false" customHeight="false" outlineLevel="0" collapsed="false">
      <c r="A402" s="116" t="n">
        <f aca="false">'🤖 GPT 4o'!$A$72</f>
        <v>0</v>
      </c>
      <c r="B402" s="3" t="s">
        <v>22</v>
      </c>
      <c r="C402" s="5" t="str">
        <f aca="false">'🤖 GPT 4o'!C72</f>
        <v>Base</v>
      </c>
      <c r="D402" s="171" t="n">
        <f aca="false">'🤖 GPT 4o'!E72</f>
        <v>0.002427184466</v>
      </c>
      <c r="E402" s="118" t="n">
        <f aca="false">'🤖 GPT 4o'!F72</f>
        <v>0</v>
      </c>
      <c r="F402" s="118" t="n">
        <f aca="false">'🤖 GPT 4o'!G72</f>
        <v>0</v>
      </c>
      <c r="G402" s="118" t="n">
        <f aca="false">'🤖 GPT 4o'!H72</f>
        <v>0</v>
      </c>
      <c r="H402" s="118" t="n">
        <f aca="false">'🤖 GPT 4o'!I72</f>
        <v>0</v>
      </c>
      <c r="I402" s="118" t="n">
        <f aca="false">'🤖 GPT 4o'!J72</f>
        <v>0</v>
      </c>
    </row>
    <row r="403" customFormat="false" ht="15.75" hidden="false" customHeight="false" outlineLevel="0" collapsed="false">
      <c r="A403" s="116" t="n">
        <f aca="false">'🤖 GPT 4o'!$A$72</f>
        <v>0</v>
      </c>
      <c r="B403" s="3" t="s">
        <v>22</v>
      </c>
      <c r="C403" s="5" t="str">
        <f aca="false">'🤖 GPT 4o'!C73</f>
        <v>CoT</v>
      </c>
      <c r="D403" s="171" t="n">
        <f aca="false">'🤖 GPT 4o'!E73</f>
        <v>0.002427184466</v>
      </c>
      <c r="E403" s="118" t="n">
        <f aca="false">'🤖 GPT 4o'!F73</f>
        <v>0</v>
      </c>
      <c r="F403" s="118" t="n">
        <f aca="false">'🤖 GPT 4o'!G73</f>
        <v>0</v>
      </c>
      <c r="G403" s="118" t="n">
        <f aca="false">'🤖 GPT 4o'!H73</f>
        <v>0</v>
      </c>
      <c r="H403" s="118" t="n">
        <f aca="false">'🤖 GPT 4o'!I73</f>
        <v>0</v>
      </c>
      <c r="I403" s="118" t="n">
        <f aca="false">'🤖 GPT 4o'!J73</f>
        <v>0</v>
      </c>
    </row>
    <row r="404" customFormat="false" ht="15.75" hidden="false" customHeight="false" outlineLevel="0" collapsed="false">
      <c r="A404" s="116" t="n">
        <f aca="false">'🤖 GPT 4o'!$A$72</f>
        <v>0</v>
      </c>
      <c r="B404" s="3" t="s">
        <v>22</v>
      </c>
      <c r="C404" s="5" t="str">
        <f aca="false">'🤖 GPT 4o'!C74</f>
        <v>5W1H</v>
      </c>
      <c r="D404" s="171" t="n">
        <f aca="false">'🤖 GPT 4o'!E74</f>
        <v>0.002427184466</v>
      </c>
      <c r="E404" s="118" t="n">
        <f aca="false">'🤖 GPT 4o'!F74</f>
        <v>0</v>
      </c>
      <c r="F404" s="118" t="n">
        <f aca="false">'🤖 GPT 4o'!G74</f>
        <v>0</v>
      </c>
      <c r="G404" s="118" t="n">
        <f aca="false">'🤖 GPT 4o'!H74</f>
        <v>0</v>
      </c>
      <c r="H404" s="118" t="n">
        <f aca="false">'🤖 GPT 4o'!I74</f>
        <v>0</v>
      </c>
      <c r="I404" s="118" t="n">
        <f aca="false">'🤖 GPT 4o'!J74</f>
        <v>0</v>
      </c>
    </row>
    <row r="405" customFormat="false" ht="15.75" hidden="false" customHeight="false" outlineLevel="0" collapsed="false">
      <c r="A405" s="116" t="n">
        <f aca="false">'🤖 GPT 4o'!$A$72</f>
        <v>0</v>
      </c>
      <c r="B405" s="3" t="s">
        <v>22</v>
      </c>
      <c r="C405" s="5" t="str">
        <f aca="false">'🤖 GPT 4o'!C75</f>
        <v>tldr</v>
      </c>
      <c r="D405" s="171" t="n">
        <f aca="false">'🤖 GPT 4o'!E75</f>
        <v>0.002427184466</v>
      </c>
      <c r="E405" s="118" t="n">
        <f aca="false">'🤖 GPT 4o'!F75</f>
        <v>0</v>
      </c>
      <c r="F405" s="118" t="n">
        <f aca="false">'🤖 GPT 4o'!G75</f>
        <v>0</v>
      </c>
      <c r="G405" s="118" t="n">
        <f aca="false">'🤖 GPT 4o'!H75</f>
        <v>0</v>
      </c>
      <c r="H405" s="118" t="n">
        <f aca="false">'🤖 GPT 4o'!I75</f>
        <v>0</v>
      </c>
      <c r="I405" s="118" t="n">
        <f aca="false">'🤖 GPT 4o'!J75</f>
        <v>0</v>
      </c>
    </row>
    <row r="406" customFormat="false" ht="15.75" hidden="false" customHeight="false" outlineLevel="0" collapsed="false">
      <c r="A406" s="116"/>
      <c r="B406" s="3"/>
      <c r="C406" s="5"/>
      <c r="D406" s="171"/>
      <c r="E406" s="5"/>
      <c r="F406" s="5"/>
      <c r="G406" s="5"/>
      <c r="H406" s="5"/>
      <c r="I406" s="5"/>
    </row>
    <row r="407" customFormat="false" ht="15.75" hidden="false" customHeight="false" outlineLevel="0" collapsed="false">
      <c r="A407" s="116" t="n">
        <f aca="false">'🤖 GPT 4o'!$A$77</f>
        <v>0</v>
      </c>
      <c r="B407" s="3" t="s">
        <v>22</v>
      </c>
      <c r="C407" s="5" t="str">
        <f aca="false">'🤖 GPT 4o'!C77</f>
        <v>Base</v>
      </c>
      <c r="D407" s="171" t="n">
        <f aca="false">'🤖 GPT 4o'!E77</f>
        <v>0.002427184466</v>
      </c>
      <c r="E407" s="118" t="n">
        <f aca="false">'🤖 GPT 4o'!F77</f>
        <v>0</v>
      </c>
      <c r="F407" s="118" t="n">
        <f aca="false">'🤖 GPT 4o'!G77</f>
        <v>0</v>
      </c>
      <c r="G407" s="118" t="n">
        <f aca="false">'🤖 GPT 4o'!H77</f>
        <v>0</v>
      </c>
      <c r="H407" s="118" t="n">
        <f aca="false">'🤖 GPT 4o'!I77</f>
        <v>0</v>
      </c>
      <c r="I407" s="118" t="n">
        <f aca="false">'🤖 GPT 4o'!J77</f>
        <v>0</v>
      </c>
    </row>
    <row r="408" customFormat="false" ht="15.75" hidden="false" customHeight="false" outlineLevel="0" collapsed="false">
      <c r="A408" s="116" t="n">
        <f aca="false">'🤖 GPT 4o'!$A$77</f>
        <v>0</v>
      </c>
      <c r="B408" s="3" t="s">
        <v>22</v>
      </c>
      <c r="C408" s="5" t="str">
        <f aca="false">'🤖 GPT 4o'!C78</f>
        <v>CoT</v>
      </c>
      <c r="D408" s="171" t="n">
        <f aca="false">'🤖 GPT 4o'!E78</f>
        <v>0.002427184466</v>
      </c>
      <c r="E408" s="118" t="n">
        <f aca="false">'🤖 GPT 4o'!F78</f>
        <v>0</v>
      </c>
      <c r="F408" s="118" t="n">
        <f aca="false">'🤖 GPT 4o'!G78</f>
        <v>0</v>
      </c>
      <c r="G408" s="118" t="n">
        <f aca="false">'🤖 GPT 4o'!H78</f>
        <v>0</v>
      </c>
      <c r="H408" s="118" t="n">
        <f aca="false">'🤖 GPT 4o'!I78</f>
        <v>0</v>
      </c>
      <c r="I408" s="118" t="n">
        <f aca="false">'🤖 GPT 4o'!J78</f>
        <v>0</v>
      </c>
    </row>
    <row r="409" customFormat="false" ht="15.75" hidden="false" customHeight="false" outlineLevel="0" collapsed="false">
      <c r="A409" s="116" t="n">
        <f aca="false">'🤖 GPT 4o'!$A$77</f>
        <v>0</v>
      </c>
      <c r="B409" s="3" t="s">
        <v>22</v>
      </c>
      <c r="C409" s="5" t="str">
        <f aca="false">'🤖 GPT 4o'!C79</f>
        <v>5W1H</v>
      </c>
      <c r="D409" s="171" t="n">
        <f aca="false">'🤖 GPT 4o'!E79</f>
        <v>0.002427184466</v>
      </c>
      <c r="E409" s="118" t="n">
        <f aca="false">'🤖 GPT 4o'!F79</f>
        <v>0</v>
      </c>
      <c r="F409" s="118" t="n">
        <f aca="false">'🤖 GPT 4o'!G79</f>
        <v>0</v>
      </c>
      <c r="G409" s="118" t="n">
        <f aca="false">'🤖 GPT 4o'!H79</f>
        <v>0</v>
      </c>
      <c r="H409" s="118" t="n">
        <f aca="false">'🤖 GPT 4o'!I79</f>
        <v>0</v>
      </c>
      <c r="I409" s="118" t="n">
        <f aca="false">'🤖 GPT 4o'!J79</f>
        <v>0</v>
      </c>
    </row>
    <row r="410" customFormat="false" ht="15.75" hidden="false" customHeight="false" outlineLevel="0" collapsed="false">
      <c r="A410" s="116" t="n">
        <f aca="false">'🤖 GPT 4o'!$A$77</f>
        <v>0</v>
      </c>
      <c r="B410" s="3" t="s">
        <v>22</v>
      </c>
      <c r="C410" s="5" t="str">
        <f aca="false">'🤖 GPT 4o'!C80</f>
        <v>tldr</v>
      </c>
      <c r="D410" s="171" t="n">
        <f aca="false">'🤖 GPT 4o'!E80</f>
        <v>0.002427184466</v>
      </c>
      <c r="E410" s="118" t="n">
        <f aca="false">'🤖 GPT 4o'!F80</f>
        <v>0</v>
      </c>
      <c r="F410" s="118" t="n">
        <f aca="false">'🤖 GPT 4o'!G80</f>
        <v>0</v>
      </c>
      <c r="G410" s="118" t="n">
        <f aca="false">'🤖 GPT 4o'!H80</f>
        <v>0</v>
      </c>
      <c r="H410" s="118" t="n">
        <f aca="false">'🤖 GPT 4o'!I80</f>
        <v>0</v>
      </c>
      <c r="I410" s="118" t="n">
        <f aca="false">'🤖 GPT 4o'!J80</f>
        <v>0</v>
      </c>
    </row>
    <row r="411" customFormat="false" ht="15.75" hidden="false" customHeight="false" outlineLevel="0" collapsed="false">
      <c r="A411" s="116"/>
      <c r="B411" s="3"/>
      <c r="C411" s="5"/>
      <c r="D411" s="171"/>
      <c r="E411" s="5"/>
      <c r="F411" s="5"/>
      <c r="G411" s="5"/>
      <c r="H411" s="5"/>
      <c r="I411" s="5"/>
    </row>
    <row r="412" customFormat="false" ht="15.75" hidden="false" customHeight="false" outlineLevel="0" collapsed="false">
      <c r="A412" s="116" t="n">
        <f aca="false">'🤖 GPT 4o'!$A$82</f>
        <v>0</v>
      </c>
      <c r="B412" s="3" t="s">
        <v>22</v>
      </c>
      <c r="C412" s="5" t="str">
        <f aca="false">'🤖 GPT 4o'!C82</f>
        <v>Base</v>
      </c>
      <c r="D412" s="171" t="n">
        <f aca="false">'🤖 GPT 4o'!E82</f>
        <v>0.002427184466</v>
      </c>
      <c r="E412" s="118" t="n">
        <f aca="false">'🤖 GPT 4o'!F82</f>
        <v>0</v>
      </c>
      <c r="F412" s="118" t="n">
        <f aca="false">'🤖 GPT 4o'!G82</f>
        <v>0</v>
      </c>
      <c r="G412" s="118" t="n">
        <f aca="false">'🤖 GPT 4o'!H82</f>
        <v>0</v>
      </c>
      <c r="H412" s="118" t="n">
        <f aca="false">'🤖 GPT 4o'!I82</f>
        <v>0</v>
      </c>
      <c r="I412" s="118" t="n">
        <f aca="false">'🤖 GPT 4o'!J82</f>
        <v>0</v>
      </c>
    </row>
    <row r="413" customFormat="false" ht="15.75" hidden="false" customHeight="false" outlineLevel="0" collapsed="false">
      <c r="A413" s="116" t="n">
        <f aca="false">'🤖 GPT 4o'!$A$82</f>
        <v>0</v>
      </c>
      <c r="B413" s="3" t="s">
        <v>22</v>
      </c>
      <c r="C413" s="5" t="str">
        <f aca="false">'🤖 GPT 4o'!C83</f>
        <v>CoT</v>
      </c>
      <c r="D413" s="171" t="n">
        <f aca="false">'🤖 GPT 4o'!E83</f>
        <v>0.002427184466</v>
      </c>
      <c r="E413" s="118" t="n">
        <f aca="false">'🤖 GPT 4o'!F83</f>
        <v>0</v>
      </c>
      <c r="F413" s="118" t="n">
        <f aca="false">'🤖 GPT 4o'!G83</f>
        <v>0</v>
      </c>
      <c r="G413" s="118" t="n">
        <f aca="false">'🤖 GPT 4o'!H83</f>
        <v>0</v>
      </c>
      <c r="H413" s="118" t="n">
        <f aca="false">'🤖 GPT 4o'!I83</f>
        <v>0</v>
      </c>
      <c r="I413" s="118" t="n">
        <f aca="false">'🤖 GPT 4o'!J83</f>
        <v>0</v>
      </c>
    </row>
    <row r="414" customFormat="false" ht="15.75" hidden="false" customHeight="false" outlineLevel="0" collapsed="false">
      <c r="A414" s="116" t="n">
        <f aca="false">'🤖 GPT 4o'!$A$82</f>
        <v>0</v>
      </c>
      <c r="B414" s="3" t="s">
        <v>22</v>
      </c>
      <c r="C414" s="5" t="str">
        <f aca="false">'🤖 GPT 4o'!C84</f>
        <v>5W1H</v>
      </c>
      <c r="D414" s="171" t="n">
        <f aca="false">'🤖 GPT 4o'!E84</f>
        <v>0.002427184466</v>
      </c>
      <c r="E414" s="118" t="n">
        <f aca="false">'🤖 GPT 4o'!F84</f>
        <v>0</v>
      </c>
      <c r="F414" s="118" t="n">
        <f aca="false">'🤖 GPT 4o'!G84</f>
        <v>0</v>
      </c>
      <c r="G414" s="118" t="n">
        <f aca="false">'🤖 GPT 4o'!H84</f>
        <v>0</v>
      </c>
      <c r="H414" s="118" t="n">
        <f aca="false">'🤖 GPT 4o'!I84</f>
        <v>0</v>
      </c>
      <c r="I414" s="118" t="n">
        <f aca="false">'🤖 GPT 4o'!J84</f>
        <v>0</v>
      </c>
    </row>
    <row r="415" customFormat="false" ht="15.75" hidden="false" customHeight="false" outlineLevel="0" collapsed="false">
      <c r="A415" s="116" t="n">
        <f aca="false">'🤖 GPT 4o'!$A$82</f>
        <v>0</v>
      </c>
      <c r="B415" s="3" t="s">
        <v>22</v>
      </c>
      <c r="C415" s="5" t="str">
        <f aca="false">'🤖 GPT 4o'!C85</f>
        <v>tldr</v>
      </c>
      <c r="D415" s="171" t="n">
        <f aca="false">'🤖 GPT 4o'!E85</f>
        <v>0.002427184466</v>
      </c>
      <c r="E415" s="118" t="n">
        <f aca="false">'🤖 GPT 4o'!F85</f>
        <v>0</v>
      </c>
      <c r="F415" s="118" t="n">
        <f aca="false">'🤖 GPT 4o'!G85</f>
        <v>0</v>
      </c>
      <c r="G415" s="118" t="n">
        <f aca="false">'🤖 GPT 4o'!H85</f>
        <v>0</v>
      </c>
      <c r="H415" s="118" t="n">
        <f aca="false">'🤖 GPT 4o'!I85</f>
        <v>0</v>
      </c>
      <c r="I415" s="118" t="n">
        <f aca="false">'🤖 GPT 4o'!J85</f>
        <v>0</v>
      </c>
    </row>
    <row r="416" customFormat="false" ht="15.75" hidden="false" customHeight="false" outlineLevel="0" collapsed="false">
      <c r="A416" s="116"/>
      <c r="B416" s="3"/>
      <c r="C416" s="5"/>
      <c r="D416" s="171"/>
      <c r="E416" s="5"/>
      <c r="F416" s="5"/>
      <c r="G416" s="5"/>
      <c r="H416" s="5"/>
      <c r="I416" s="5"/>
    </row>
    <row r="417" customFormat="false" ht="15.75" hidden="false" customHeight="false" outlineLevel="0" collapsed="false">
      <c r="A417" s="116" t="n">
        <f aca="false">'🤖 GPT 4o'!$A$87</f>
        <v>0</v>
      </c>
      <c r="B417" s="3" t="s">
        <v>22</v>
      </c>
      <c r="C417" s="5" t="str">
        <f aca="false">'🤖 GPT 4o'!C87</f>
        <v>Base</v>
      </c>
      <c r="D417" s="171" t="n">
        <f aca="false">'🤖 GPT 4o'!E87</f>
        <v>0.002427184466</v>
      </c>
      <c r="E417" s="118" t="n">
        <f aca="false">'🤖 GPT 4o'!F87</f>
        <v>0</v>
      </c>
      <c r="F417" s="118" t="n">
        <f aca="false">'🤖 GPT 4o'!G87</f>
        <v>0</v>
      </c>
      <c r="G417" s="118" t="n">
        <f aca="false">'🤖 GPT 4o'!H87</f>
        <v>0</v>
      </c>
      <c r="H417" s="118" t="n">
        <f aca="false">'🤖 GPT 4o'!I87</f>
        <v>0</v>
      </c>
      <c r="I417" s="118" t="n">
        <f aca="false">'🤖 GPT 4o'!J87</f>
        <v>0</v>
      </c>
    </row>
    <row r="418" customFormat="false" ht="15.75" hidden="false" customHeight="false" outlineLevel="0" collapsed="false">
      <c r="A418" s="116" t="n">
        <f aca="false">'🤖 GPT 4o'!$A$87</f>
        <v>0</v>
      </c>
      <c r="B418" s="3" t="s">
        <v>22</v>
      </c>
      <c r="C418" s="5" t="str">
        <f aca="false">'🤖 GPT 4o'!C88</f>
        <v>CoT</v>
      </c>
      <c r="D418" s="171" t="n">
        <f aca="false">'🤖 GPT 4o'!E88</f>
        <v>0.002427184466</v>
      </c>
      <c r="E418" s="118" t="n">
        <f aca="false">'🤖 GPT 4o'!F88</f>
        <v>0</v>
      </c>
      <c r="F418" s="118" t="n">
        <f aca="false">'🤖 GPT 4o'!G88</f>
        <v>0</v>
      </c>
      <c r="G418" s="118" t="n">
        <f aca="false">'🤖 GPT 4o'!H88</f>
        <v>0</v>
      </c>
      <c r="H418" s="118" t="n">
        <f aca="false">'🤖 GPT 4o'!I88</f>
        <v>0</v>
      </c>
      <c r="I418" s="118" t="n">
        <f aca="false">'🤖 GPT 4o'!J88</f>
        <v>0</v>
      </c>
    </row>
    <row r="419" customFormat="false" ht="15.75" hidden="false" customHeight="false" outlineLevel="0" collapsed="false">
      <c r="A419" s="116" t="n">
        <f aca="false">'🤖 GPT 4o'!$A$87</f>
        <v>0</v>
      </c>
      <c r="B419" s="3" t="s">
        <v>22</v>
      </c>
      <c r="C419" s="5" t="str">
        <f aca="false">'🤖 GPT 4o'!C89</f>
        <v>5W1H</v>
      </c>
      <c r="D419" s="171" t="n">
        <f aca="false">'🤖 GPT 4o'!E89</f>
        <v>0.002427184466</v>
      </c>
      <c r="E419" s="118" t="n">
        <f aca="false">'🤖 GPT 4o'!F89</f>
        <v>0</v>
      </c>
      <c r="F419" s="118" t="n">
        <f aca="false">'🤖 GPT 4o'!G89</f>
        <v>0</v>
      </c>
      <c r="G419" s="118" t="n">
        <f aca="false">'🤖 GPT 4o'!H89</f>
        <v>0</v>
      </c>
      <c r="H419" s="118" t="n">
        <f aca="false">'🤖 GPT 4o'!I89</f>
        <v>0</v>
      </c>
      <c r="I419" s="118" t="n">
        <f aca="false">'🤖 GPT 4o'!J89</f>
        <v>0</v>
      </c>
    </row>
    <row r="420" customFormat="false" ht="15.75" hidden="false" customHeight="false" outlineLevel="0" collapsed="false">
      <c r="A420" s="116" t="n">
        <f aca="false">'🤖 GPT 4o'!$A$87</f>
        <v>0</v>
      </c>
      <c r="B420" s="3" t="s">
        <v>22</v>
      </c>
      <c r="C420" s="5" t="str">
        <f aca="false">'🤖 GPT 4o'!C90</f>
        <v>tldr</v>
      </c>
      <c r="D420" s="171" t="n">
        <f aca="false">'🤖 GPT 4o'!E90</f>
        <v>0.002427184466</v>
      </c>
      <c r="E420" s="118" t="n">
        <f aca="false">'🤖 GPT 4o'!F90</f>
        <v>0</v>
      </c>
      <c r="F420" s="118" t="n">
        <f aca="false">'🤖 GPT 4o'!G90</f>
        <v>0</v>
      </c>
      <c r="G420" s="118" t="n">
        <f aca="false">'🤖 GPT 4o'!H90</f>
        <v>0</v>
      </c>
      <c r="H420" s="118" t="n">
        <f aca="false">'🤖 GPT 4o'!I90</f>
        <v>0</v>
      </c>
      <c r="I420" s="118" t="n">
        <f aca="false">'🤖 GPT 4o'!J90</f>
        <v>0</v>
      </c>
    </row>
    <row r="421" customFormat="false" ht="15.75" hidden="false" customHeight="false" outlineLevel="0" collapsed="false">
      <c r="A421" s="116"/>
      <c r="B421" s="3"/>
      <c r="C421" s="5"/>
      <c r="D421" s="171"/>
      <c r="E421" s="5"/>
      <c r="F421" s="5"/>
      <c r="G421" s="5"/>
      <c r="H421" s="5"/>
      <c r="I421" s="5"/>
    </row>
    <row r="422" customFormat="false" ht="15.75" hidden="false" customHeight="false" outlineLevel="0" collapsed="false">
      <c r="A422" s="116" t="n">
        <f aca="false">'🤖 GPT 4o'!$A$92</f>
        <v>0</v>
      </c>
      <c r="B422" s="3" t="s">
        <v>22</v>
      </c>
      <c r="C422" s="5" t="str">
        <f aca="false">'🤖 GPT 4o'!C92</f>
        <v>Base</v>
      </c>
      <c r="D422" s="171" t="n">
        <f aca="false">'🤖 GPT 4o'!E92</f>
        <v>0.002427184466</v>
      </c>
      <c r="E422" s="118" t="n">
        <f aca="false">'🤖 GPT 4o'!F92</f>
        <v>0</v>
      </c>
      <c r="F422" s="118" t="n">
        <f aca="false">'🤖 GPT 4o'!G92</f>
        <v>0</v>
      </c>
      <c r="G422" s="118" t="n">
        <f aca="false">'🤖 GPT 4o'!H92</f>
        <v>0</v>
      </c>
      <c r="H422" s="118" t="n">
        <f aca="false">'🤖 GPT 4o'!I92</f>
        <v>0</v>
      </c>
      <c r="I422" s="118" t="n">
        <f aca="false">'🤖 GPT 4o'!J92</f>
        <v>0</v>
      </c>
    </row>
    <row r="423" customFormat="false" ht="15.75" hidden="false" customHeight="false" outlineLevel="0" collapsed="false">
      <c r="A423" s="116" t="n">
        <f aca="false">'🤖 GPT 4o'!$A$92</f>
        <v>0</v>
      </c>
      <c r="B423" s="3" t="s">
        <v>22</v>
      </c>
      <c r="C423" s="5" t="str">
        <f aca="false">'🤖 GPT 4o'!C93</f>
        <v>CoT</v>
      </c>
      <c r="D423" s="171" t="n">
        <f aca="false">'🤖 GPT 4o'!E93</f>
        <v>0.002427184466</v>
      </c>
      <c r="E423" s="118" t="n">
        <f aca="false">'🤖 GPT 4o'!F93</f>
        <v>0</v>
      </c>
      <c r="F423" s="118" t="n">
        <f aca="false">'🤖 GPT 4o'!G93</f>
        <v>0</v>
      </c>
      <c r="G423" s="118" t="n">
        <f aca="false">'🤖 GPT 4o'!H93</f>
        <v>0</v>
      </c>
      <c r="H423" s="118" t="n">
        <f aca="false">'🤖 GPT 4o'!I93</f>
        <v>0</v>
      </c>
      <c r="I423" s="118" t="n">
        <f aca="false">'🤖 GPT 4o'!J93</f>
        <v>0</v>
      </c>
    </row>
    <row r="424" customFormat="false" ht="15.75" hidden="false" customHeight="false" outlineLevel="0" collapsed="false">
      <c r="A424" s="116" t="n">
        <f aca="false">'🤖 GPT 4o'!$A$92</f>
        <v>0</v>
      </c>
      <c r="B424" s="3" t="s">
        <v>22</v>
      </c>
      <c r="C424" s="5" t="str">
        <f aca="false">'🤖 GPT 4o'!C94</f>
        <v>5W1H</v>
      </c>
      <c r="D424" s="171" t="n">
        <f aca="false">'🤖 GPT 4o'!E94</f>
        <v>0.002427184466</v>
      </c>
      <c r="E424" s="118" t="n">
        <f aca="false">'🤖 GPT 4o'!F94</f>
        <v>0</v>
      </c>
      <c r="F424" s="118" t="n">
        <f aca="false">'🤖 GPT 4o'!G94</f>
        <v>0</v>
      </c>
      <c r="G424" s="118" t="n">
        <f aca="false">'🤖 GPT 4o'!H94</f>
        <v>0</v>
      </c>
      <c r="H424" s="118" t="n">
        <f aca="false">'🤖 GPT 4o'!I94</f>
        <v>0</v>
      </c>
      <c r="I424" s="118" t="n">
        <f aca="false">'🤖 GPT 4o'!J94</f>
        <v>0</v>
      </c>
    </row>
    <row r="425" customFormat="false" ht="15.75" hidden="false" customHeight="false" outlineLevel="0" collapsed="false">
      <c r="A425" s="116" t="n">
        <f aca="false">'🤖 GPT 4o'!$A$92</f>
        <v>0</v>
      </c>
      <c r="B425" s="3" t="s">
        <v>22</v>
      </c>
      <c r="C425" s="5" t="str">
        <f aca="false">'🤖 GPT 4o'!C95</f>
        <v>tldr</v>
      </c>
      <c r="D425" s="171" t="n">
        <f aca="false">'🤖 GPT 4o'!E95</f>
        <v>0.002427184466</v>
      </c>
      <c r="E425" s="118" t="n">
        <f aca="false">'🤖 GPT 4o'!F95</f>
        <v>0</v>
      </c>
      <c r="F425" s="118" t="n">
        <f aca="false">'🤖 GPT 4o'!G95</f>
        <v>0</v>
      </c>
      <c r="G425" s="118" t="n">
        <f aca="false">'🤖 GPT 4o'!H95</f>
        <v>0</v>
      </c>
      <c r="H425" s="118" t="n">
        <f aca="false">'🤖 GPT 4o'!I95</f>
        <v>0</v>
      </c>
      <c r="I425" s="118" t="n">
        <f aca="false">'🤖 GPT 4o'!J95</f>
        <v>0</v>
      </c>
    </row>
    <row r="426" customFormat="false" ht="15.75" hidden="false" customHeight="false" outlineLevel="0" collapsed="false">
      <c r="A426" s="116"/>
      <c r="B426" s="3"/>
      <c r="C426" s="5"/>
      <c r="D426" s="171"/>
      <c r="E426" s="5"/>
      <c r="F426" s="5"/>
      <c r="G426" s="5"/>
      <c r="H426" s="5"/>
      <c r="I426" s="5"/>
    </row>
    <row r="427" customFormat="false" ht="15.75" hidden="false" customHeight="false" outlineLevel="0" collapsed="false">
      <c r="A427" s="116" t="n">
        <f aca="false">'🤖 GPT 4o'!$A$97</f>
        <v>0</v>
      </c>
      <c r="B427" s="3" t="s">
        <v>22</v>
      </c>
      <c r="C427" s="5" t="str">
        <f aca="false">'🤖 GPT 4o'!C97</f>
        <v>Base</v>
      </c>
      <c r="D427" s="171" t="n">
        <f aca="false">'🤖 GPT 4o'!E97</f>
        <v>0.002427184466</v>
      </c>
      <c r="E427" s="118" t="n">
        <f aca="false">'🤖 GPT 4o'!F97</f>
        <v>0</v>
      </c>
      <c r="F427" s="118" t="n">
        <f aca="false">'🤖 GPT 4o'!G97</f>
        <v>0</v>
      </c>
      <c r="G427" s="118" t="n">
        <f aca="false">'🤖 GPT 4o'!H97</f>
        <v>0</v>
      </c>
      <c r="H427" s="118" t="n">
        <f aca="false">'🤖 GPT 4o'!I97</f>
        <v>0</v>
      </c>
      <c r="I427" s="118" t="n">
        <f aca="false">'🤖 GPT 4o'!J97</f>
        <v>0</v>
      </c>
    </row>
    <row r="428" customFormat="false" ht="15.75" hidden="false" customHeight="false" outlineLevel="0" collapsed="false">
      <c r="A428" s="116" t="n">
        <f aca="false">'🤖 GPT 4o'!$A$97</f>
        <v>0</v>
      </c>
      <c r="B428" s="3" t="s">
        <v>22</v>
      </c>
      <c r="C428" s="5" t="str">
        <f aca="false">'🤖 GPT 4o'!C98</f>
        <v>CoT</v>
      </c>
      <c r="D428" s="171" t="n">
        <f aca="false">'🤖 GPT 4o'!E98</f>
        <v>0.002427184466</v>
      </c>
      <c r="E428" s="118" t="n">
        <f aca="false">'🤖 GPT 4o'!F98</f>
        <v>0</v>
      </c>
      <c r="F428" s="118" t="n">
        <f aca="false">'🤖 GPT 4o'!G98</f>
        <v>0</v>
      </c>
      <c r="G428" s="118" t="n">
        <f aca="false">'🤖 GPT 4o'!H98</f>
        <v>0</v>
      </c>
      <c r="H428" s="118" t="n">
        <f aca="false">'🤖 GPT 4o'!I98</f>
        <v>0</v>
      </c>
      <c r="I428" s="118" t="n">
        <f aca="false">'🤖 GPT 4o'!J98</f>
        <v>0</v>
      </c>
    </row>
    <row r="429" customFormat="false" ht="15.75" hidden="false" customHeight="false" outlineLevel="0" collapsed="false">
      <c r="A429" s="116" t="n">
        <f aca="false">'🤖 GPT 4o'!$A$97</f>
        <v>0</v>
      </c>
      <c r="B429" s="3" t="s">
        <v>22</v>
      </c>
      <c r="C429" s="5" t="str">
        <f aca="false">'🤖 GPT 4o'!C99</f>
        <v>5W1H</v>
      </c>
      <c r="D429" s="171" t="n">
        <f aca="false">'🤖 GPT 4o'!E99</f>
        <v>0.002427184466</v>
      </c>
      <c r="E429" s="118" t="n">
        <f aca="false">'🤖 GPT 4o'!F99</f>
        <v>0</v>
      </c>
      <c r="F429" s="118" t="n">
        <f aca="false">'🤖 GPT 4o'!G99</f>
        <v>0</v>
      </c>
      <c r="G429" s="118" t="n">
        <f aca="false">'🤖 GPT 4o'!H99</f>
        <v>0</v>
      </c>
      <c r="H429" s="118" t="n">
        <f aca="false">'🤖 GPT 4o'!I99</f>
        <v>0</v>
      </c>
      <c r="I429" s="118" t="n">
        <f aca="false">'🤖 GPT 4o'!J99</f>
        <v>0</v>
      </c>
    </row>
    <row r="430" customFormat="false" ht="15.75" hidden="false" customHeight="false" outlineLevel="0" collapsed="false">
      <c r="A430" s="116" t="n">
        <f aca="false">'🤖 GPT 4o'!$A$97</f>
        <v>0</v>
      </c>
      <c r="B430" s="3" t="s">
        <v>22</v>
      </c>
      <c r="C430" s="5" t="str">
        <f aca="false">'🤖 GPT 4o'!C100</f>
        <v>tldr</v>
      </c>
      <c r="D430" s="171" t="n">
        <f aca="false">'🤖 GPT 4o'!E100</f>
        <v>0.002427184466</v>
      </c>
      <c r="E430" s="118" t="n">
        <f aca="false">'🤖 GPT 4o'!F100</f>
        <v>0</v>
      </c>
      <c r="F430" s="118" t="n">
        <f aca="false">'🤖 GPT 4o'!G100</f>
        <v>0</v>
      </c>
      <c r="G430" s="118" t="n">
        <f aca="false">'🤖 GPT 4o'!H100</f>
        <v>0</v>
      </c>
      <c r="H430" s="118" t="n">
        <f aca="false">'🤖 GPT 4o'!I100</f>
        <v>0</v>
      </c>
      <c r="I430" s="118" t="n">
        <f aca="false">'🤖 GPT 4o'!J100</f>
        <v>0</v>
      </c>
    </row>
    <row r="431" customFormat="false" ht="15.75" hidden="false" customHeight="false" outlineLevel="0" collapsed="false">
      <c r="A431" s="116"/>
      <c r="B431" s="3"/>
      <c r="C431" s="5"/>
      <c r="D431" s="171"/>
      <c r="E431" s="5"/>
      <c r="F431" s="5"/>
      <c r="G431" s="5"/>
      <c r="H431" s="5"/>
      <c r="I431" s="5"/>
    </row>
    <row r="432" customFormat="false" ht="15.75" hidden="false" customHeight="false" outlineLevel="0" collapsed="false">
      <c r="A432" s="116" t="n">
        <f aca="false">'🤖 GPT 4o'!$A$102</f>
        <v>0</v>
      </c>
      <c r="B432" s="3" t="s">
        <v>22</v>
      </c>
      <c r="C432" s="5" t="str">
        <f aca="false">'🤖 GPT 4o'!C102</f>
        <v>Base</v>
      </c>
      <c r="D432" s="171" t="n">
        <f aca="false">'🤖 GPT 4o'!E102</f>
        <v>0.002427184466</v>
      </c>
      <c r="E432" s="118" t="n">
        <f aca="false">'🤖 GPT 4o'!F102</f>
        <v>0</v>
      </c>
      <c r="F432" s="118" t="n">
        <f aca="false">'🤖 GPT 4o'!G102</f>
        <v>0</v>
      </c>
      <c r="G432" s="118" t="n">
        <f aca="false">'🤖 GPT 4o'!H102</f>
        <v>0</v>
      </c>
      <c r="H432" s="118" t="n">
        <f aca="false">'🤖 GPT 4o'!I102</f>
        <v>0</v>
      </c>
      <c r="I432" s="118" t="n">
        <f aca="false">'🤖 GPT 4o'!J102</f>
        <v>0</v>
      </c>
    </row>
    <row r="433" customFormat="false" ht="15.75" hidden="false" customHeight="false" outlineLevel="0" collapsed="false">
      <c r="A433" s="116" t="n">
        <f aca="false">'🤖 GPT 4o'!$A$102</f>
        <v>0</v>
      </c>
      <c r="B433" s="3" t="s">
        <v>22</v>
      </c>
      <c r="C433" s="5" t="str">
        <f aca="false">'🤖 GPT 4o'!C103</f>
        <v>CoT</v>
      </c>
      <c r="D433" s="171" t="n">
        <f aca="false">'🤖 GPT 4o'!E103</f>
        <v>0.002427184466</v>
      </c>
      <c r="E433" s="118" t="n">
        <f aca="false">'🤖 GPT 4o'!F103</f>
        <v>0</v>
      </c>
      <c r="F433" s="118" t="n">
        <f aca="false">'🤖 GPT 4o'!G103</f>
        <v>0</v>
      </c>
      <c r="G433" s="118" t="n">
        <f aca="false">'🤖 GPT 4o'!H103</f>
        <v>0</v>
      </c>
      <c r="H433" s="118" t="n">
        <f aca="false">'🤖 GPT 4o'!I103</f>
        <v>0</v>
      </c>
      <c r="I433" s="118" t="n">
        <f aca="false">'🤖 GPT 4o'!J103</f>
        <v>0</v>
      </c>
    </row>
    <row r="434" customFormat="false" ht="15.75" hidden="false" customHeight="false" outlineLevel="0" collapsed="false">
      <c r="A434" s="116" t="n">
        <f aca="false">'🤖 GPT 4o'!$A$102</f>
        <v>0</v>
      </c>
      <c r="B434" s="3" t="s">
        <v>22</v>
      </c>
      <c r="C434" s="5" t="str">
        <f aca="false">'🤖 GPT 4o'!C104</f>
        <v>5W1H</v>
      </c>
      <c r="D434" s="171" t="n">
        <f aca="false">'🤖 GPT 4o'!E104</f>
        <v>0.002427184466</v>
      </c>
      <c r="E434" s="118" t="n">
        <f aca="false">'🤖 GPT 4o'!F104</f>
        <v>0</v>
      </c>
      <c r="F434" s="118" t="n">
        <f aca="false">'🤖 GPT 4o'!G104</f>
        <v>0</v>
      </c>
      <c r="G434" s="118" t="n">
        <f aca="false">'🤖 GPT 4o'!H104</f>
        <v>0</v>
      </c>
      <c r="H434" s="118" t="n">
        <f aca="false">'🤖 GPT 4o'!I104</f>
        <v>0</v>
      </c>
      <c r="I434" s="118" t="n">
        <f aca="false">'🤖 GPT 4o'!J104</f>
        <v>0</v>
      </c>
    </row>
    <row r="435" customFormat="false" ht="15.75" hidden="false" customHeight="false" outlineLevel="0" collapsed="false">
      <c r="A435" s="116" t="n">
        <f aca="false">'🤖 GPT 4o'!$A$102</f>
        <v>0</v>
      </c>
      <c r="B435" s="3" t="s">
        <v>22</v>
      </c>
      <c r="C435" s="5" t="str">
        <f aca="false">'🤖 GPT 4o'!C105</f>
        <v>tldr</v>
      </c>
      <c r="D435" s="171" t="n">
        <f aca="false">'🤖 GPT 4o'!E105</f>
        <v>0.002427184466</v>
      </c>
      <c r="E435" s="118" t="n">
        <f aca="false">'🤖 GPT 4o'!F105</f>
        <v>0</v>
      </c>
      <c r="F435" s="118" t="n">
        <f aca="false">'🤖 GPT 4o'!G105</f>
        <v>0</v>
      </c>
      <c r="G435" s="118" t="n">
        <f aca="false">'🤖 GPT 4o'!H105</f>
        <v>0</v>
      </c>
      <c r="H435" s="118" t="n">
        <f aca="false">'🤖 GPT 4o'!I105</f>
        <v>0</v>
      </c>
      <c r="I435" s="118" t="n">
        <f aca="false">'🤖 GPT 4o'!J105</f>
        <v>0</v>
      </c>
    </row>
    <row r="436" customFormat="false" ht="15.75" hidden="false" customHeight="false" outlineLevel="0" collapsed="false">
      <c r="A436" s="116"/>
      <c r="B436" s="3"/>
      <c r="C436" s="5"/>
      <c r="D436" s="171"/>
      <c r="E436" s="5"/>
      <c r="F436" s="5"/>
      <c r="G436" s="5"/>
      <c r="H436" s="5"/>
      <c r="I436" s="5"/>
    </row>
    <row r="437" customFormat="false" ht="15.75" hidden="false" customHeight="false" outlineLevel="0" collapsed="false">
      <c r="A437" s="116" t="n">
        <f aca="false">'🤖 GPT 4o'!$A$107</f>
        <v>0</v>
      </c>
      <c r="B437" s="3" t="s">
        <v>22</v>
      </c>
      <c r="C437" s="5" t="str">
        <f aca="false">'🤖 GPT 4o'!C107</f>
        <v>Base</v>
      </c>
      <c r="D437" s="171" t="n">
        <f aca="false">'🤖 GPT 4o'!E107</f>
        <v>0.002427184466</v>
      </c>
      <c r="E437" s="118" t="n">
        <f aca="false">'🤖 GPT 4o'!F107</f>
        <v>0</v>
      </c>
      <c r="F437" s="118" t="n">
        <f aca="false">'🤖 GPT 4o'!G107</f>
        <v>0</v>
      </c>
      <c r="G437" s="118" t="n">
        <f aca="false">'🤖 GPT 4o'!H107</f>
        <v>0</v>
      </c>
      <c r="H437" s="118" t="n">
        <f aca="false">'🤖 GPT 4o'!I107</f>
        <v>0</v>
      </c>
      <c r="I437" s="118" t="n">
        <f aca="false">'🤖 GPT 4o'!J107</f>
        <v>0</v>
      </c>
    </row>
    <row r="438" customFormat="false" ht="15.75" hidden="false" customHeight="false" outlineLevel="0" collapsed="false">
      <c r="A438" s="116" t="n">
        <f aca="false">'🤖 GPT 4o'!$A$107</f>
        <v>0</v>
      </c>
      <c r="B438" s="3" t="s">
        <v>22</v>
      </c>
      <c r="C438" s="5" t="str">
        <f aca="false">'🤖 GPT 4o'!C108</f>
        <v>CoT</v>
      </c>
      <c r="D438" s="171" t="n">
        <f aca="false">'🤖 GPT 4o'!E108</f>
        <v>0.002427184466</v>
      </c>
      <c r="E438" s="118" t="n">
        <f aca="false">'🤖 GPT 4o'!F108</f>
        <v>0</v>
      </c>
      <c r="F438" s="118" t="n">
        <f aca="false">'🤖 GPT 4o'!G108</f>
        <v>0</v>
      </c>
      <c r="G438" s="118" t="n">
        <f aca="false">'🤖 GPT 4o'!H108</f>
        <v>0</v>
      </c>
      <c r="H438" s="118" t="n">
        <f aca="false">'🤖 GPT 4o'!I108</f>
        <v>0</v>
      </c>
      <c r="I438" s="118" t="n">
        <f aca="false">'🤖 GPT 4o'!J108</f>
        <v>0</v>
      </c>
    </row>
    <row r="439" customFormat="false" ht="15.75" hidden="false" customHeight="false" outlineLevel="0" collapsed="false">
      <c r="A439" s="116" t="n">
        <f aca="false">'🤖 GPT 4o'!$A$107</f>
        <v>0</v>
      </c>
      <c r="B439" s="3" t="s">
        <v>22</v>
      </c>
      <c r="C439" s="5" t="str">
        <f aca="false">'🤖 GPT 4o'!C109</f>
        <v>5W1H</v>
      </c>
      <c r="D439" s="171" t="n">
        <f aca="false">'🤖 GPT 4o'!E109</f>
        <v>0.002427184466</v>
      </c>
      <c r="E439" s="118" t="n">
        <f aca="false">'🤖 GPT 4o'!F109</f>
        <v>0</v>
      </c>
      <c r="F439" s="118" t="n">
        <f aca="false">'🤖 GPT 4o'!G109</f>
        <v>0</v>
      </c>
      <c r="G439" s="118" t="n">
        <f aca="false">'🤖 GPT 4o'!H109</f>
        <v>0</v>
      </c>
      <c r="H439" s="118" t="n">
        <f aca="false">'🤖 GPT 4o'!I109</f>
        <v>0</v>
      </c>
      <c r="I439" s="118" t="n">
        <f aca="false">'🤖 GPT 4o'!J109</f>
        <v>0</v>
      </c>
    </row>
    <row r="440" customFormat="false" ht="15.75" hidden="false" customHeight="false" outlineLevel="0" collapsed="false">
      <c r="A440" s="116" t="n">
        <f aca="false">'🤖 GPT 4o'!$A$107</f>
        <v>0</v>
      </c>
      <c r="B440" s="3" t="s">
        <v>22</v>
      </c>
      <c r="C440" s="5" t="str">
        <f aca="false">'🤖 GPT 4o'!C110</f>
        <v>tldr</v>
      </c>
      <c r="D440" s="171" t="n">
        <f aca="false">'🤖 GPT 4o'!E110</f>
        <v>0.002427184466</v>
      </c>
      <c r="E440" s="118" t="n">
        <f aca="false">'🤖 GPT 4o'!F110</f>
        <v>0</v>
      </c>
      <c r="F440" s="118" t="n">
        <f aca="false">'🤖 GPT 4o'!G110</f>
        <v>0</v>
      </c>
      <c r="G440" s="118" t="n">
        <f aca="false">'🤖 GPT 4o'!H110</f>
        <v>0</v>
      </c>
      <c r="H440" s="118" t="n">
        <f aca="false">'🤖 GPT 4o'!I110</f>
        <v>0</v>
      </c>
      <c r="I440" s="118" t="n">
        <f aca="false">'🤖 GPT 4o'!J110</f>
        <v>0</v>
      </c>
    </row>
    <row r="441" customFormat="false" ht="15.75" hidden="false" customHeight="false" outlineLevel="0" collapsed="false">
      <c r="A441" s="116"/>
      <c r="B441" s="3"/>
      <c r="C441" s="5"/>
      <c r="D441" s="171"/>
      <c r="E441" s="5"/>
      <c r="F441" s="5"/>
      <c r="G441" s="5"/>
      <c r="H441" s="5"/>
      <c r="I441" s="5"/>
    </row>
    <row r="442" customFormat="false" ht="15.75" hidden="false" customHeight="false" outlineLevel="0" collapsed="false">
      <c r="A442" s="116" t="n">
        <f aca="false">'🤖 GPT 4o'!$A$112</f>
        <v>0</v>
      </c>
      <c r="B442" s="3" t="s">
        <v>22</v>
      </c>
      <c r="C442" s="5" t="str">
        <f aca="false">'🤖 GPT 4o'!C112</f>
        <v>Base</v>
      </c>
      <c r="D442" s="171" t="n">
        <f aca="false">'🤖 GPT 4o'!E112</f>
        <v>0.002427184466</v>
      </c>
      <c r="E442" s="118" t="n">
        <f aca="false">'🤖 GPT 4o'!F112</f>
        <v>0</v>
      </c>
      <c r="F442" s="118" t="n">
        <f aca="false">'🤖 GPT 4o'!G112</f>
        <v>0</v>
      </c>
      <c r="G442" s="118" t="n">
        <f aca="false">'🤖 GPT 4o'!H112</f>
        <v>0</v>
      </c>
      <c r="H442" s="118" t="n">
        <f aca="false">'🤖 GPT 4o'!I112</f>
        <v>0</v>
      </c>
      <c r="I442" s="118" t="n">
        <f aca="false">'🤖 GPT 4o'!J112</f>
        <v>0</v>
      </c>
    </row>
    <row r="443" customFormat="false" ht="15.75" hidden="false" customHeight="false" outlineLevel="0" collapsed="false">
      <c r="A443" s="116" t="n">
        <f aca="false">'🤖 GPT 4o'!$A$112</f>
        <v>0</v>
      </c>
      <c r="B443" s="3" t="s">
        <v>22</v>
      </c>
      <c r="C443" s="5" t="str">
        <f aca="false">'🤖 GPT 4o'!C113</f>
        <v>CoT</v>
      </c>
      <c r="D443" s="171" t="n">
        <f aca="false">'🤖 GPT 4o'!E113</f>
        <v>0.002427184466</v>
      </c>
      <c r="E443" s="118" t="n">
        <f aca="false">'🤖 GPT 4o'!F113</f>
        <v>0</v>
      </c>
      <c r="F443" s="118" t="n">
        <f aca="false">'🤖 GPT 4o'!G113</f>
        <v>0</v>
      </c>
      <c r="G443" s="118" t="n">
        <f aca="false">'🤖 GPT 4o'!H113</f>
        <v>0</v>
      </c>
      <c r="H443" s="118" t="n">
        <f aca="false">'🤖 GPT 4o'!I113</f>
        <v>0</v>
      </c>
      <c r="I443" s="118" t="n">
        <f aca="false">'🤖 GPT 4o'!J113</f>
        <v>0</v>
      </c>
    </row>
    <row r="444" customFormat="false" ht="15.75" hidden="false" customHeight="false" outlineLevel="0" collapsed="false">
      <c r="A444" s="116" t="n">
        <f aca="false">'🤖 GPT 4o'!$A$112</f>
        <v>0</v>
      </c>
      <c r="B444" s="3" t="s">
        <v>22</v>
      </c>
      <c r="C444" s="5" t="str">
        <f aca="false">'🤖 GPT 4o'!C114</f>
        <v>5W1H</v>
      </c>
      <c r="D444" s="171" t="n">
        <f aca="false">'🤖 GPT 4o'!E114</f>
        <v>0.002427184466</v>
      </c>
      <c r="E444" s="118" t="n">
        <f aca="false">'🤖 GPT 4o'!F114</f>
        <v>0</v>
      </c>
      <c r="F444" s="118" t="n">
        <f aca="false">'🤖 GPT 4o'!G114</f>
        <v>0</v>
      </c>
      <c r="G444" s="118" t="n">
        <f aca="false">'🤖 GPT 4o'!H114</f>
        <v>0</v>
      </c>
      <c r="H444" s="118" t="n">
        <f aca="false">'🤖 GPT 4o'!I114</f>
        <v>0</v>
      </c>
      <c r="I444" s="118" t="n">
        <f aca="false">'🤖 GPT 4o'!J114</f>
        <v>0</v>
      </c>
    </row>
    <row r="445" customFormat="false" ht="15.75" hidden="false" customHeight="false" outlineLevel="0" collapsed="false">
      <c r="A445" s="116" t="n">
        <f aca="false">'🤖 GPT 4o'!$A$112</f>
        <v>0</v>
      </c>
      <c r="B445" s="3" t="s">
        <v>22</v>
      </c>
      <c r="C445" s="5" t="str">
        <f aca="false">'🤖 GPT 4o'!C115</f>
        <v>tldr</v>
      </c>
      <c r="D445" s="171" t="n">
        <f aca="false">'🤖 GPT 4o'!E115</f>
        <v>0.002427184466</v>
      </c>
      <c r="E445" s="118" t="n">
        <f aca="false">'🤖 GPT 4o'!F115</f>
        <v>0</v>
      </c>
      <c r="F445" s="118" t="n">
        <f aca="false">'🤖 GPT 4o'!G115</f>
        <v>0</v>
      </c>
      <c r="G445" s="118" t="n">
        <f aca="false">'🤖 GPT 4o'!H115</f>
        <v>0</v>
      </c>
      <c r="H445" s="118" t="n">
        <f aca="false">'🤖 GPT 4o'!I115</f>
        <v>0</v>
      </c>
      <c r="I445" s="118" t="n">
        <f aca="false">'🤖 GPT 4o'!J115</f>
        <v>0</v>
      </c>
    </row>
    <row r="446" customFormat="false" ht="15.75" hidden="false" customHeight="false" outlineLevel="0" collapsed="false">
      <c r="A446" s="116"/>
      <c r="B446" s="3"/>
      <c r="C446" s="5"/>
      <c r="D446" s="171"/>
      <c r="E446" s="5"/>
      <c r="F446" s="5"/>
      <c r="G446" s="5"/>
      <c r="H446" s="5"/>
      <c r="I446" s="5"/>
    </row>
    <row r="447" customFormat="false" ht="15.75" hidden="false" customHeight="false" outlineLevel="0" collapsed="false">
      <c r="A447" s="116" t="n">
        <f aca="false">'🤖 GPT 4o'!$A$117</f>
        <v>0</v>
      </c>
      <c r="B447" s="3" t="s">
        <v>22</v>
      </c>
      <c r="C447" s="5" t="str">
        <f aca="false">'🤖 GPT 4o'!C117</f>
        <v>Base</v>
      </c>
      <c r="D447" s="171" t="n">
        <f aca="false">'🤖 GPT 4o'!E117</f>
        <v>0.002427184466</v>
      </c>
      <c r="E447" s="118" t="n">
        <f aca="false">'🤖 GPT 4o'!F117</f>
        <v>0</v>
      </c>
      <c r="F447" s="118" t="n">
        <f aca="false">'🤖 GPT 4o'!G117</f>
        <v>0</v>
      </c>
      <c r="G447" s="118" t="n">
        <f aca="false">'🤖 GPT 4o'!H117</f>
        <v>0</v>
      </c>
      <c r="H447" s="118" t="n">
        <f aca="false">'🤖 GPT 4o'!I117</f>
        <v>0</v>
      </c>
      <c r="I447" s="118" t="n">
        <f aca="false">'🤖 GPT 4o'!J117</f>
        <v>0</v>
      </c>
    </row>
    <row r="448" customFormat="false" ht="15.75" hidden="false" customHeight="false" outlineLevel="0" collapsed="false">
      <c r="A448" s="116" t="n">
        <f aca="false">'🤖 GPT 4o'!$A$117</f>
        <v>0</v>
      </c>
      <c r="B448" s="3" t="s">
        <v>22</v>
      </c>
      <c r="C448" s="5" t="str">
        <f aca="false">'🤖 GPT 4o'!C118</f>
        <v>CoT</v>
      </c>
      <c r="D448" s="171" t="n">
        <f aca="false">'🤖 GPT 4o'!E118</f>
        <v>0.002427184466</v>
      </c>
      <c r="E448" s="118" t="n">
        <f aca="false">'🤖 GPT 4o'!F118</f>
        <v>0</v>
      </c>
      <c r="F448" s="118" t="n">
        <f aca="false">'🤖 GPT 4o'!G118</f>
        <v>0</v>
      </c>
      <c r="G448" s="118" t="n">
        <f aca="false">'🤖 GPT 4o'!H118</f>
        <v>0</v>
      </c>
      <c r="H448" s="118" t="n">
        <f aca="false">'🤖 GPT 4o'!I118</f>
        <v>0</v>
      </c>
      <c r="I448" s="118" t="n">
        <f aca="false">'🤖 GPT 4o'!J118</f>
        <v>0</v>
      </c>
    </row>
    <row r="449" customFormat="false" ht="15.75" hidden="false" customHeight="false" outlineLevel="0" collapsed="false">
      <c r="A449" s="116" t="n">
        <f aca="false">'🤖 GPT 4o'!$A$117</f>
        <v>0</v>
      </c>
      <c r="B449" s="3" t="s">
        <v>22</v>
      </c>
      <c r="C449" s="5" t="str">
        <f aca="false">'🤖 GPT 4o'!C119</f>
        <v>5W1H</v>
      </c>
      <c r="D449" s="171" t="n">
        <f aca="false">'🤖 GPT 4o'!E119</f>
        <v>0.002427184466</v>
      </c>
      <c r="E449" s="118" t="n">
        <f aca="false">'🤖 GPT 4o'!F119</f>
        <v>0</v>
      </c>
      <c r="F449" s="118" t="n">
        <f aca="false">'🤖 GPT 4o'!G119</f>
        <v>0</v>
      </c>
      <c r="G449" s="118" t="n">
        <f aca="false">'🤖 GPT 4o'!H119</f>
        <v>0</v>
      </c>
      <c r="H449" s="118" t="n">
        <f aca="false">'🤖 GPT 4o'!I119</f>
        <v>0</v>
      </c>
      <c r="I449" s="118" t="n">
        <f aca="false">'🤖 GPT 4o'!J119</f>
        <v>0</v>
      </c>
    </row>
    <row r="450" customFormat="false" ht="15.75" hidden="false" customHeight="false" outlineLevel="0" collapsed="false">
      <c r="A450" s="116" t="n">
        <f aca="false">'🤖 GPT 4o'!$A$117</f>
        <v>0</v>
      </c>
      <c r="B450" s="3" t="s">
        <v>22</v>
      </c>
      <c r="C450" s="5" t="str">
        <f aca="false">'🤖 GPT 4o'!C120</f>
        <v>tldr</v>
      </c>
      <c r="D450" s="171" t="n">
        <f aca="false">'🤖 GPT 4o'!E120</f>
        <v>0.002427184466</v>
      </c>
      <c r="E450" s="118" t="n">
        <f aca="false">'🤖 GPT 4o'!F120</f>
        <v>0</v>
      </c>
      <c r="F450" s="118" t="n">
        <f aca="false">'🤖 GPT 4o'!G120</f>
        <v>0</v>
      </c>
      <c r="G450" s="118" t="n">
        <f aca="false">'🤖 GPT 4o'!H120</f>
        <v>0</v>
      </c>
      <c r="H450" s="118" t="n">
        <f aca="false">'🤖 GPT 4o'!I120</f>
        <v>0</v>
      </c>
      <c r="I450" s="118" t="n">
        <f aca="false">'🤖 GPT 4o'!J120</f>
        <v>0</v>
      </c>
    </row>
    <row r="451" customFormat="false" ht="15.75" hidden="false" customHeight="false" outlineLevel="0" collapsed="false">
      <c r="A451" s="116"/>
      <c r="B451" s="3"/>
      <c r="C451" s="5"/>
      <c r="D451" s="171"/>
      <c r="E451" s="5"/>
      <c r="F451" s="5"/>
      <c r="G451" s="5"/>
      <c r="H451" s="5"/>
      <c r="I451" s="5"/>
    </row>
    <row r="452" customFormat="false" ht="15.75" hidden="false" customHeight="false" outlineLevel="0" collapsed="false">
      <c r="A452" s="116" t="n">
        <f aca="false">'🤖 GPT 4o'!$A$122</f>
        <v>0</v>
      </c>
      <c r="B452" s="3" t="s">
        <v>22</v>
      </c>
      <c r="C452" s="5" t="str">
        <f aca="false">'🤖 GPT 4o'!C122</f>
        <v>Base</v>
      </c>
      <c r="D452" s="171" t="n">
        <f aca="false">'🤖 GPT 4o'!E122</f>
        <v>0.002427184466</v>
      </c>
      <c r="E452" s="118" t="n">
        <f aca="false">'🤖 GPT 4o'!F122</f>
        <v>0</v>
      </c>
      <c r="F452" s="118" t="n">
        <f aca="false">'🤖 GPT 4o'!G122</f>
        <v>0</v>
      </c>
      <c r="G452" s="118" t="n">
        <f aca="false">'🤖 GPT 4o'!H122</f>
        <v>0</v>
      </c>
      <c r="H452" s="118" t="n">
        <f aca="false">'🤖 GPT 4o'!I122</f>
        <v>0</v>
      </c>
      <c r="I452" s="118" t="n">
        <f aca="false">'🤖 GPT 4o'!J122</f>
        <v>0</v>
      </c>
    </row>
    <row r="453" customFormat="false" ht="15.75" hidden="false" customHeight="false" outlineLevel="0" collapsed="false">
      <c r="A453" s="116" t="n">
        <f aca="false">'🤖 GPT 4o'!$A$122</f>
        <v>0</v>
      </c>
      <c r="B453" s="3" t="s">
        <v>22</v>
      </c>
      <c r="C453" s="5" t="str">
        <f aca="false">'🤖 GPT 4o'!C123</f>
        <v>CoT</v>
      </c>
      <c r="D453" s="171" t="n">
        <f aca="false">'🤖 GPT 4o'!E123</f>
        <v>0.002427184466</v>
      </c>
      <c r="E453" s="118" t="n">
        <f aca="false">'🤖 GPT 4o'!F123</f>
        <v>0</v>
      </c>
      <c r="F453" s="118" t="n">
        <f aca="false">'🤖 GPT 4o'!G123</f>
        <v>0</v>
      </c>
      <c r="G453" s="118" t="n">
        <f aca="false">'🤖 GPT 4o'!H123</f>
        <v>0</v>
      </c>
      <c r="H453" s="118" t="n">
        <f aca="false">'🤖 GPT 4o'!I123</f>
        <v>0</v>
      </c>
      <c r="I453" s="118" t="n">
        <f aca="false">'🤖 GPT 4o'!J123</f>
        <v>0</v>
      </c>
    </row>
    <row r="454" customFormat="false" ht="15.75" hidden="false" customHeight="false" outlineLevel="0" collapsed="false">
      <c r="A454" s="116" t="n">
        <f aca="false">'🤖 GPT 4o'!$A$122</f>
        <v>0</v>
      </c>
      <c r="B454" s="3" t="s">
        <v>22</v>
      </c>
      <c r="C454" s="5" t="str">
        <f aca="false">'🤖 GPT 4o'!C124</f>
        <v>5W1H</v>
      </c>
      <c r="D454" s="171" t="n">
        <f aca="false">'🤖 GPT 4o'!E124</f>
        <v>0.002427184466</v>
      </c>
      <c r="E454" s="118" t="n">
        <f aca="false">'🤖 GPT 4o'!F124</f>
        <v>0</v>
      </c>
      <c r="F454" s="118" t="n">
        <f aca="false">'🤖 GPT 4o'!G124</f>
        <v>0</v>
      </c>
      <c r="G454" s="118" t="n">
        <f aca="false">'🤖 GPT 4o'!H124</f>
        <v>0</v>
      </c>
      <c r="H454" s="118" t="n">
        <f aca="false">'🤖 GPT 4o'!I124</f>
        <v>0</v>
      </c>
      <c r="I454" s="118" t="n">
        <f aca="false">'🤖 GPT 4o'!J124</f>
        <v>0</v>
      </c>
    </row>
    <row r="455" customFormat="false" ht="15.75" hidden="false" customHeight="false" outlineLevel="0" collapsed="false">
      <c r="A455" s="116" t="n">
        <f aca="false">'🤖 GPT 4o'!$A$122</f>
        <v>0</v>
      </c>
      <c r="B455" s="3" t="s">
        <v>22</v>
      </c>
      <c r="C455" s="5" t="str">
        <f aca="false">'🤖 GPT 4o'!C125</f>
        <v>tldr</v>
      </c>
      <c r="D455" s="171" t="n">
        <f aca="false">'🤖 GPT 4o'!E125</f>
        <v>0.002427184466</v>
      </c>
      <c r="E455" s="118" t="n">
        <f aca="false">'🤖 GPT 4o'!F125</f>
        <v>0</v>
      </c>
      <c r="F455" s="118" t="n">
        <f aca="false">'🤖 GPT 4o'!G125</f>
        <v>0</v>
      </c>
      <c r="G455" s="118" t="n">
        <f aca="false">'🤖 GPT 4o'!H125</f>
        <v>0</v>
      </c>
      <c r="H455" s="118" t="n">
        <f aca="false">'🤖 GPT 4o'!I125</f>
        <v>0</v>
      </c>
      <c r="I455" s="118" t="n">
        <f aca="false">'🤖 GPT 4o'!J125</f>
        <v>0</v>
      </c>
    </row>
    <row r="456" customFormat="false" ht="15.75" hidden="false" customHeight="false" outlineLevel="0" collapsed="false">
      <c r="A456" s="116"/>
      <c r="B456" s="3"/>
      <c r="C456" s="5"/>
      <c r="D456" s="171"/>
      <c r="E456" s="5"/>
      <c r="F456" s="5"/>
      <c r="G456" s="5"/>
      <c r="H456" s="5"/>
      <c r="I456" s="5"/>
    </row>
    <row r="457" customFormat="false" ht="15.75" hidden="false" customHeight="false" outlineLevel="0" collapsed="false">
      <c r="A457" s="116" t="n">
        <f aca="false">'🤖 GPT 4o'!$A$127</f>
        <v>0</v>
      </c>
      <c r="B457" s="3" t="s">
        <v>22</v>
      </c>
      <c r="C457" s="5" t="str">
        <f aca="false">'🤖 GPT 4o'!C127</f>
        <v>Base</v>
      </c>
      <c r="D457" s="171" t="n">
        <f aca="false">'🤖 GPT 4o'!E127</f>
        <v>0.002427184466</v>
      </c>
      <c r="E457" s="118" t="n">
        <f aca="false">'🤖 GPT 4o'!F127</f>
        <v>0</v>
      </c>
      <c r="F457" s="118" t="n">
        <f aca="false">'🤖 GPT 4o'!G127</f>
        <v>0</v>
      </c>
      <c r="G457" s="118" t="n">
        <f aca="false">'🤖 GPT 4o'!H127</f>
        <v>0</v>
      </c>
      <c r="H457" s="118" t="n">
        <f aca="false">'🤖 GPT 4o'!I127</f>
        <v>0</v>
      </c>
      <c r="I457" s="118" t="n">
        <f aca="false">'🤖 GPT 4o'!J127</f>
        <v>0</v>
      </c>
    </row>
    <row r="458" customFormat="false" ht="15.75" hidden="false" customHeight="false" outlineLevel="0" collapsed="false">
      <c r="A458" s="116" t="n">
        <f aca="false">'🤖 GPT 4o'!$A$127</f>
        <v>0</v>
      </c>
      <c r="B458" s="3" t="s">
        <v>22</v>
      </c>
      <c r="C458" s="5" t="str">
        <f aca="false">'🤖 GPT 4o'!C128</f>
        <v>CoT</v>
      </c>
      <c r="D458" s="171" t="n">
        <f aca="false">'🤖 GPT 4o'!E128</f>
        <v>0.002427184466</v>
      </c>
      <c r="E458" s="118" t="n">
        <f aca="false">'🤖 GPT 4o'!F128</f>
        <v>0</v>
      </c>
      <c r="F458" s="118" t="n">
        <f aca="false">'🤖 GPT 4o'!G128</f>
        <v>0</v>
      </c>
      <c r="G458" s="118" t="n">
        <f aca="false">'🤖 GPT 4o'!H128</f>
        <v>0</v>
      </c>
      <c r="H458" s="118" t="n">
        <f aca="false">'🤖 GPT 4o'!I128</f>
        <v>0</v>
      </c>
      <c r="I458" s="118" t="n">
        <f aca="false">'🤖 GPT 4o'!J128</f>
        <v>0</v>
      </c>
    </row>
    <row r="459" customFormat="false" ht="15.75" hidden="false" customHeight="false" outlineLevel="0" collapsed="false">
      <c r="A459" s="116" t="n">
        <f aca="false">'🤖 GPT 4o'!$A$127</f>
        <v>0</v>
      </c>
      <c r="B459" s="3" t="s">
        <v>22</v>
      </c>
      <c r="C459" s="5" t="str">
        <f aca="false">'🤖 GPT 4o'!C129</f>
        <v>5W1H</v>
      </c>
      <c r="D459" s="171" t="n">
        <f aca="false">'🤖 GPT 4o'!E129</f>
        <v>0.002427184466</v>
      </c>
      <c r="E459" s="118" t="n">
        <f aca="false">'🤖 GPT 4o'!F129</f>
        <v>0</v>
      </c>
      <c r="F459" s="118" t="n">
        <f aca="false">'🤖 GPT 4o'!G129</f>
        <v>0</v>
      </c>
      <c r="G459" s="118" t="n">
        <f aca="false">'🤖 GPT 4o'!H129</f>
        <v>0</v>
      </c>
      <c r="H459" s="118" t="n">
        <f aca="false">'🤖 GPT 4o'!I129</f>
        <v>0</v>
      </c>
      <c r="I459" s="118" t="n">
        <f aca="false">'🤖 GPT 4o'!J129</f>
        <v>0</v>
      </c>
    </row>
    <row r="460" customFormat="false" ht="15.75" hidden="false" customHeight="false" outlineLevel="0" collapsed="false">
      <c r="A460" s="116" t="n">
        <f aca="false">'🤖 GPT 4o'!$A$127</f>
        <v>0</v>
      </c>
      <c r="B460" s="3" t="s">
        <v>22</v>
      </c>
      <c r="C460" s="5" t="str">
        <f aca="false">'🤖 GPT 4o'!C130</f>
        <v>tldr</v>
      </c>
      <c r="D460" s="171" t="n">
        <f aca="false">'🤖 GPT 4o'!E130</f>
        <v>0.002427184466</v>
      </c>
      <c r="E460" s="118" t="n">
        <f aca="false">'🤖 GPT 4o'!F130</f>
        <v>0</v>
      </c>
      <c r="F460" s="118" t="n">
        <f aca="false">'🤖 GPT 4o'!G130</f>
        <v>0</v>
      </c>
      <c r="G460" s="118" t="n">
        <f aca="false">'🤖 GPT 4o'!H130</f>
        <v>0</v>
      </c>
      <c r="H460" s="118" t="n">
        <f aca="false">'🤖 GPT 4o'!I130</f>
        <v>0</v>
      </c>
      <c r="I460" s="118" t="n">
        <f aca="false">'🤖 GPT 4o'!J130</f>
        <v>0</v>
      </c>
    </row>
    <row r="461" customFormat="false" ht="15.75" hidden="false" customHeight="false" outlineLevel="0" collapsed="false">
      <c r="A461" s="116"/>
      <c r="B461" s="3"/>
      <c r="C461" s="5"/>
      <c r="D461" s="171"/>
      <c r="E461" s="5"/>
      <c r="F461" s="5"/>
      <c r="G461" s="5"/>
      <c r="H461" s="5"/>
      <c r="I461" s="5"/>
    </row>
    <row r="462" customFormat="false" ht="15.75" hidden="false" customHeight="false" outlineLevel="0" collapsed="false">
      <c r="A462" s="116" t="n">
        <f aca="false">'🤖 GPT 4o'!$A$132</f>
        <v>0</v>
      </c>
      <c r="B462" s="3" t="s">
        <v>22</v>
      </c>
      <c r="C462" s="5" t="str">
        <f aca="false">'🤖 GPT 4o'!C132</f>
        <v>Base</v>
      </c>
      <c r="D462" s="171" t="n">
        <f aca="false">'🤖 GPT 4o'!E132</f>
        <v>0.002427184466</v>
      </c>
      <c r="E462" s="118" t="n">
        <f aca="false">'🤖 GPT 4o'!F132</f>
        <v>0</v>
      </c>
      <c r="F462" s="118" t="n">
        <f aca="false">'🤖 GPT 4o'!G132</f>
        <v>0</v>
      </c>
      <c r="G462" s="118" t="n">
        <f aca="false">'🤖 GPT 4o'!H132</f>
        <v>0</v>
      </c>
      <c r="H462" s="118" t="n">
        <f aca="false">'🤖 GPT 4o'!I132</f>
        <v>0</v>
      </c>
      <c r="I462" s="118" t="n">
        <f aca="false">'🤖 GPT 4o'!J132</f>
        <v>0</v>
      </c>
    </row>
    <row r="463" customFormat="false" ht="15.75" hidden="false" customHeight="false" outlineLevel="0" collapsed="false">
      <c r="A463" s="116" t="n">
        <f aca="false">'🤖 GPT 4o'!$A$132</f>
        <v>0</v>
      </c>
      <c r="B463" s="3" t="s">
        <v>22</v>
      </c>
      <c r="C463" s="5" t="str">
        <f aca="false">'🤖 GPT 4o'!C133</f>
        <v>CoT</v>
      </c>
      <c r="D463" s="171" t="n">
        <f aca="false">'🤖 GPT 4o'!E133</f>
        <v>0.002427184466</v>
      </c>
      <c r="E463" s="118" t="n">
        <f aca="false">'🤖 GPT 4o'!F133</f>
        <v>0</v>
      </c>
      <c r="F463" s="118" t="n">
        <f aca="false">'🤖 GPT 4o'!G133</f>
        <v>0</v>
      </c>
      <c r="G463" s="118" t="n">
        <f aca="false">'🤖 GPT 4o'!H133</f>
        <v>0</v>
      </c>
      <c r="H463" s="118" t="n">
        <f aca="false">'🤖 GPT 4o'!I133</f>
        <v>0</v>
      </c>
      <c r="I463" s="118" t="n">
        <f aca="false">'🤖 GPT 4o'!J133</f>
        <v>0</v>
      </c>
    </row>
    <row r="464" customFormat="false" ht="15.75" hidden="false" customHeight="false" outlineLevel="0" collapsed="false">
      <c r="A464" s="116" t="n">
        <f aca="false">'🤖 GPT 4o'!$A$132</f>
        <v>0</v>
      </c>
      <c r="B464" s="3" t="s">
        <v>22</v>
      </c>
      <c r="C464" s="5" t="str">
        <f aca="false">'🤖 GPT 4o'!C134</f>
        <v>5W1H</v>
      </c>
      <c r="D464" s="171" t="n">
        <f aca="false">'🤖 GPT 4o'!E134</f>
        <v>0.002427184466</v>
      </c>
      <c r="E464" s="118" t="n">
        <f aca="false">'🤖 GPT 4o'!F134</f>
        <v>0</v>
      </c>
      <c r="F464" s="118" t="n">
        <f aca="false">'🤖 GPT 4o'!G134</f>
        <v>0</v>
      </c>
      <c r="G464" s="118" t="n">
        <f aca="false">'🤖 GPT 4o'!H134</f>
        <v>0</v>
      </c>
      <c r="H464" s="118" t="n">
        <f aca="false">'🤖 GPT 4o'!I134</f>
        <v>0</v>
      </c>
      <c r="I464" s="118" t="n">
        <f aca="false">'🤖 GPT 4o'!J134</f>
        <v>0</v>
      </c>
    </row>
    <row r="465" customFormat="false" ht="15.75" hidden="false" customHeight="false" outlineLevel="0" collapsed="false">
      <c r="A465" s="116" t="n">
        <f aca="false">'🤖 GPT 4o'!$A$132</f>
        <v>0</v>
      </c>
      <c r="B465" s="3" t="s">
        <v>22</v>
      </c>
      <c r="C465" s="5" t="str">
        <f aca="false">'🤖 GPT 4o'!C135</f>
        <v>tldr</v>
      </c>
      <c r="D465" s="171" t="n">
        <f aca="false">'🤖 GPT 4o'!E135</f>
        <v>0.002427184466</v>
      </c>
      <c r="E465" s="118" t="n">
        <f aca="false">'🤖 GPT 4o'!F135</f>
        <v>0</v>
      </c>
      <c r="F465" s="118" t="n">
        <f aca="false">'🤖 GPT 4o'!G135</f>
        <v>0</v>
      </c>
      <c r="G465" s="118" t="n">
        <f aca="false">'🤖 GPT 4o'!H135</f>
        <v>0</v>
      </c>
      <c r="H465" s="118" t="n">
        <f aca="false">'🤖 GPT 4o'!I135</f>
        <v>0</v>
      </c>
      <c r="I465" s="118" t="n">
        <f aca="false">'🤖 GPT 4o'!J135</f>
        <v>0</v>
      </c>
    </row>
    <row r="466" customFormat="false" ht="15.75" hidden="false" customHeight="false" outlineLevel="0" collapsed="false">
      <c r="A466" s="116"/>
      <c r="B466" s="3"/>
      <c r="C466" s="5"/>
      <c r="D466" s="171"/>
      <c r="E466" s="5"/>
      <c r="F466" s="5"/>
      <c r="G466" s="5"/>
      <c r="H466" s="5"/>
      <c r="I466" s="5"/>
    </row>
    <row r="467" customFormat="false" ht="15.75" hidden="false" customHeight="false" outlineLevel="0" collapsed="false">
      <c r="A467" s="116" t="n">
        <f aca="false">'🤖 GPT 4o'!$A$137</f>
        <v>0</v>
      </c>
      <c r="B467" s="3" t="s">
        <v>22</v>
      </c>
      <c r="C467" s="5" t="str">
        <f aca="false">'🤖 GPT 4o'!C137</f>
        <v>Base</v>
      </c>
      <c r="D467" s="171" t="n">
        <f aca="false">'🤖 GPT 4o'!E137</f>
        <v>0.002427184466</v>
      </c>
      <c r="E467" s="118" t="n">
        <f aca="false">'🤖 GPT 4o'!F137</f>
        <v>0</v>
      </c>
      <c r="F467" s="118" t="n">
        <f aca="false">'🤖 GPT 4o'!G137</f>
        <v>0</v>
      </c>
      <c r="G467" s="118" t="n">
        <f aca="false">'🤖 GPT 4o'!H137</f>
        <v>0</v>
      </c>
      <c r="H467" s="118" t="n">
        <f aca="false">'🤖 GPT 4o'!I137</f>
        <v>0</v>
      </c>
      <c r="I467" s="118" t="n">
        <f aca="false">'🤖 GPT 4o'!J137</f>
        <v>0</v>
      </c>
    </row>
    <row r="468" customFormat="false" ht="15.75" hidden="false" customHeight="false" outlineLevel="0" collapsed="false">
      <c r="A468" s="116" t="n">
        <f aca="false">'🤖 GPT 4o'!$A$137</f>
        <v>0</v>
      </c>
      <c r="B468" s="3" t="s">
        <v>22</v>
      </c>
      <c r="C468" s="5" t="str">
        <f aca="false">'🤖 GPT 4o'!C138</f>
        <v>CoT</v>
      </c>
      <c r="D468" s="171" t="n">
        <f aca="false">'🤖 GPT 4o'!E138</f>
        <v>0.002427184466</v>
      </c>
      <c r="E468" s="118" t="n">
        <f aca="false">'🤖 GPT 4o'!F138</f>
        <v>0</v>
      </c>
      <c r="F468" s="118" t="n">
        <f aca="false">'🤖 GPT 4o'!G138</f>
        <v>0</v>
      </c>
      <c r="G468" s="118" t="n">
        <f aca="false">'🤖 GPT 4o'!H138</f>
        <v>0</v>
      </c>
      <c r="H468" s="118" t="n">
        <f aca="false">'🤖 GPT 4o'!I138</f>
        <v>0</v>
      </c>
      <c r="I468" s="118" t="n">
        <f aca="false">'🤖 GPT 4o'!J138</f>
        <v>0</v>
      </c>
    </row>
    <row r="469" customFormat="false" ht="15.75" hidden="false" customHeight="false" outlineLevel="0" collapsed="false">
      <c r="A469" s="116" t="n">
        <f aca="false">'🤖 GPT 4o'!$A$137</f>
        <v>0</v>
      </c>
      <c r="B469" s="3" t="s">
        <v>22</v>
      </c>
      <c r="C469" s="5" t="str">
        <f aca="false">'🤖 GPT 4o'!C139</f>
        <v>5W1H</v>
      </c>
      <c r="D469" s="171" t="n">
        <f aca="false">'🤖 GPT 4o'!E139</f>
        <v>0.002427184466</v>
      </c>
      <c r="E469" s="118" t="n">
        <f aca="false">'🤖 GPT 4o'!F139</f>
        <v>0</v>
      </c>
      <c r="F469" s="118" t="n">
        <f aca="false">'🤖 GPT 4o'!G139</f>
        <v>0</v>
      </c>
      <c r="G469" s="118" t="n">
        <f aca="false">'🤖 GPT 4o'!H139</f>
        <v>0</v>
      </c>
      <c r="H469" s="118" t="n">
        <f aca="false">'🤖 GPT 4o'!I139</f>
        <v>0</v>
      </c>
      <c r="I469" s="118" t="n">
        <f aca="false">'🤖 GPT 4o'!J139</f>
        <v>0</v>
      </c>
    </row>
    <row r="470" customFormat="false" ht="15.75" hidden="false" customHeight="false" outlineLevel="0" collapsed="false">
      <c r="A470" s="116" t="n">
        <f aca="false">'🤖 GPT 4o'!$A$137</f>
        <v>0</v>
      </c>
      <c r="B470" s="3" t="s">
        <v>22</v>
      </c>
      <c r="C470" s="5" t="str">
        <f aca="false">'🤖 GPT 4o'!C140</f>
        <v>tldr</v>
      </c>
      <c r="D470" s="171" t="n">
        <f aca="false">'🤖 GPT 4o'!E140</f>
        <v>0.002427184466</v>
      </c>
      <c r="E470" s="118" t="n">
        <f aca="false">'🤖 GPT 4o'!F140</f>
        <v>0</v>
      </c>
      <c r="F470" s="118" t="n">
        <f aca="false">'🤖 GPT 4o'!G140</f>
        <v>0</v>
      </c>
      <c r="G470" s="118" t="n">
        <f aca="false">'🤖 GPT 4o'!H140</f>
        <v>0</v>
      </c>
      <c r="H470" s="118" t="n">
        <f aca="false">'🤖 GPT 4o'!I140</f>
        <v>0</v>
      </c>
      <c r="I470" s="118" t="n">
        <f aca="false">'🤖 GPT 4o'!J140</f>
        <v>0</v>
      </c>
    </row>
    <row r="471" customFormat="false" ht="15.75" hidden="false" customHeight="false" outlineLevel="0" collapsed="false">
      <c r="A471" s="116"/>
      <c r="B471" s="3"/>
      <c r="C471" s="5"/>
      <c r="D471" s="171"/>
      <c r="E471" s="5"/>
      <c r="F471" s="5"/>
      <c r="G471" s="5"/>
      <c r="H471" s="5"/>
      <c r="I471" s="5"/>
    </row>
    <row r="472" customFormat="false" ht="15.75" hidden="false" customHeight="false" outlineLevel="0" collapsed="false">
      <c r="A472" s="116" t="n">
        <f aca="false">'🤖 GPT 4o'!$A$142</f>
        <v>0</v>
      </c>
      <c r="B472" s="3" t="s">
        <v>22</v>
      </c>
      <c r="C472" s="5" t="str">
        <f aca="false">'🤖 GPT 4o'!C142</f>
        <v>Base</v>
      </c>
      <c r="D472" s="171" t="n">
        <f aca="false">'🤖 GPT 4o'!E142</f>
        <v>0.002427184466</v>
      </c>
      <c r="E472" s="118" t="n">
        <f aca="false">'🤖 GPT 4o'!F142</f>
        <v>0</v>
      </c>
      <c r="F472" s="118" t="n">
        <f aca="false">'🤖 GPT 4o'!G142</f>
        <v>0</v>
      </c>
      <c r="G472" s="118" t="n">
        <f aca="false">'🤖 GPT 4o'!H142</f>
        <v>0</v>
      </c>
      <c r="H472" s="118" t="n">
        <f aca="false">'🤖 GPT 4o'!I142</f>
        <v>0</v>
      </c>
      <c r="I472" s="118" t="n">
        <f aca="false">'🤖 GPT 4o'!J142</f>
        <v>0</v>
      </c>
    </row>
    <row r="473" customFormat="false" ht="15.75" hidden="false" customHeight="false" outlineLevel="0" collapsed="false">
      <c r="A473" s="116" t="n">
        <f aca="false">'🤖 GPT 4o'!$A$142</f>
        <v>0</v>
      </c>
      <c r="B473" s="3" t="s">
        <v>22</v>
      </c>
      <c r="C473" s="5" t="str">
        <f aca="false">'🤖 GPT 4o'!C143</f>
        <v>CoT</v>
      </c>
      <c r="D473" s="171" t="n">
        <f aca="false">'🤖 GPT 4o'!E143</f>
        <v>0.002427184466</v>
      </c>
      <c r="E473" s="118" t="n">
        <f aca="false">'🤖 GPT 4o'!F143</f>
        <v>0</v>
      </c>
      <c r="F473" s="118" t="n">
        <f aca="false">'🤖 GPT 4o'!G143</f>
        <v>0</v>
      </c>
      <c r="G473" s="118" t="n">
        <f aca="false">'🤖 GPT 4o'!H143</f>
        <v>0</v>
      </c>
      <c r="H473" s="118" t="n">
        <f aca="false">'🤖 GPT 4o'!I143</f>
        <v>0</v>
      </c>
      <c r="I473" s="118" t="n">
        <f aca="false">'🤖 GPT 4o'!J143</f>
        <v>0</v>
      </c>
    </row>
    <row r="474" customFormat="false" ht="15.75" hidden="false" customHeight="false" outlineLevel="0" collapsed="false">
      <c r="A474" s="116" t="n">
        <f aca="false">'🤖 GPT 4o'!$A$142</f>
        <v>0</v>
      </c>
      <c r="B474" s="3" t="s">
        <v>22</v>
      </c>
      <c r="C474" s="5" t="str">
        <f aca="false">'🤖 GPT 4o'!C144</f>
        <v>5W1H</v>
      </c>
      <c r="D474" s="171" t="n">
        <f aca="false">'🤖 GPT 4o'!E144</f>
        <v>0.002427184466</v>
      </c>
      <c r="E474" s="118" t="n">
        <f aca="false">'🤖 GPT 4o'!F144</f>
        <v>0</v>
      </c>
      <c r="F474" s="118" t="n">
        <f aca="false">'🤖 GPT 4o'!G144</f>
        <v>0</v>
      </c>
      <c r="G474" s="118" t="n">
        <f aca="false">'🤖 GPT 4o'!H144</f>
        <v>0</v>
      </c>
      <c r="H474" s="118" t="n">
        <f aca="false">'🤖 GPT 4o'!I144</f>
        <v>0</v>
      </c>
      <c r="I474" s="118" t="n">
        <f aca="false">'🤖 GPT 4o'!J144</f>
        <v>0</v>
      </c>
    </row>
    <row r="475" customFormat="false" ht="15.75" hidden="false" customHeight="false" outlineLevel="0" collapsed="false">
      <c r="A475" s="116" t="n">
        <f aca="false">'🤖 GPT 4o'!$A$142</f>
        <v>0</v>
      </c>
      <c r="B475" s="3" t="s">
        <v>22</v>
      </c>
      <c r="C475" s="5" t="str">
        <f aca="false">'🤖 GPT 4o'!C145</f>
        <v>tldr</v>
      </c>
      <c r="D475" s="171" t="n">
        <f aca="false">'🤖 GPT 4o'!E145</f>
        <v>0.002427184466</v>
      </c>
      <c r="E475" s="118" t="n">
        <f aca="false">'🤖 GPT 4o'!F145</f>
        <v>0</v>
      </c>
      <c r="F475" s="118" t="n">
        <f aca="false">'🤖 GPT 4o'!G145</f>
        <v>0</v>
      </c>
      <c r="G475" s="118" t="n">
        <f aca="false">'🤖 GPT 4o'!H145</f>
        <v>0</v>
      </c>
      <c r="H475" s="118" t="n">
        <f aca="false">'🤖 GPT 4o'!I145</f>
        <v>0</v>
      </c>
      <c r="I475" s="118" t="n">
        <f aca="false">'🤖 GPT 4o'!J145</f>
        <v>0</v>
      </c>
    </row>
    <row r="476" customFormat="false" ht="15.75" hidden="false" customHeight="false" outlineLevel="0" collapsed="false">
      <c r="A476" s="116"/>
      <c r="B476" s="3"/>
      <c r="C476" s="5"/>
      <c r="D476" s="171"/>
      <c r="E476" s="5"/>
      <c r="F476" s="5"/>
      <c r="G476" s="5"/>
      <c r="H476" s="5"/>
      <c r="I476" s="5"/>
    </row>
    <row r="477" customFormat="false" ht="15.75" hidden="false" customHeight="false" outlineLevel="0" collapsed="false">
      <c r="A477" s="116" t="n">
        <f aca="false">'🤖 GPT 4o'!$A$147</f>
        <v>0</v>
      </c>
      <c r="B477" s="3" t="s">
        <v>22</v>
      </c>
      <c r="C477" s="5" t="str">
        <f aca="false">'🤖 GPT 4o'!C147</f>
        <v>Base</v>
      </c>
      <c r="D477" s="171" t="n">
        <f aca="false">'🤖 GPT 4o'!E147</f>
        <v>0.002427184466</v>
      </c>
      <c r="E477" s="118" t="n">
        <f aca="false">'🤖 GPT 4o'!F147</f>
        <v>0</v>
      </c>
      <c r="F477" s="118" t="n">
        <f aca="false">'🤖 GPT 4o'!G147</f>
        <v>0</v>
      </c>
      <c r="G477" s="118" t="n">
        <f aca="false">'🤖 GPT 4o'!H147</f>
        <v>0</v>
      </c>
      <c r="H477" s="118" t="n">
        <f aca="false">'🤖 GPT 4o'!I147</f>
        <v>0</v>
      </c>
      <c r="I477" s="118" t="n">
        <f aca="false">'🤖 GPT 4o'!J147</f>
        <v>0</v>
      </c>
    </row>
    <row r="478" customFormat="false" ht="15.75" hidden="false" customHeight="false" outlineLevel="0" collapsed="false">
      <c r="A478" s="116" t="n">
        <f aca="false">'🤖 GPT 4o'!$A$147</f>
        <v>0</v>
      </c>
      <c r="B478" s="3" t="s">
        <v>22</v>
      </c>
      <c r="C478" s="5" t="str">
        <f aca="false">'🤖 GPT 4o'!C148</f>
        <v>CoT</v>
      </c>
      <c r="D478" s="171" t="n">
        <f aca="false">'🤖 GPT 4o'!E148</f>
        <v>0.002427184466</v>
      </c>
      <c r="E478" s="118" t="n">
        <f aca="false">'🤖 GPT 4o'!F148</f>
        <v>0</v>
      </c>
      <c r="F478" s="118" t="n">
        <f aca="false">'🤖 GPT 4o'!G148</f>
        <v>0</v>
      </c>
      <c r="G478" s="118" t="n">
        <f aca="false">'🤖 GPT 4o'!H148</f>
        <v>0</v>
      </c>
      <c r="H478" s="118" t="n">
        <f aca="false">'🤖 GPT 4o'!I148</f>
        <v>0</v>
      </c>
      <c r="I478" s="118" t="n">
        <f aca="false">'🤖 GPT 4o'!J148</f>
        <v>0</v>
      </c>
    </row>
    <row r="479" customFormat="false" ht="15.75" hidden="false" customHeight="false" outlineLevel="0" collapsed="false">
      <c r="A479" s="116" t="n">
        <f aca="false">'🤖 GPT 4o'!$A$147</f>
        <v>0</v>
      </c>
      <c r="B479" s="3" t="s">
        <v>22</v>
      </c>
      <c r="C479" s="5" t="str">
        <f aca="false">'🤖 GPT 4o'!C149</f>
        <v>5W1H</v>
      </c>
      <c r="D479" s="171" t="n">
        <f aca="false">'🤖 GPT 4o'!E149</f>
        <v>0.002427184466</v>
      </c>
      <c r="E479" s="118" t="n">
        <f aca="false">'🤖 GPT 4o'!F149</f>
        <v>0</v>
      </c>
      <c r="F479" s="118" t="n">
        <f aca="false">'🤖 GPT 4o'!G149</f>
        <v>0</v>
      </c>
      <c r="G479" s="118" t="n">
        <f aca="false">'🤖 GPT 4o'!H149</f>
        <v>0</v>
      </c>
      <c r="H479" s="118" t="n">
        <f aca="false">'🤖 GPT 4o'!I149</f>
        <v>0</v>
      </c>
      <c r="I479" s="118" t="n">
        <f aca="false">'🤖 GPT 4o'!J149</f>
        <v>0</v>
      </c>
    </row>
    <row r="480" customFormat="false" ht="15.75" hidden="false" customHeight="false" outlineLevel="0" collapsed="false">
      <c r="A480" s="116" t="n">
        <f aca="false">'🤖 GPT 4o'!$A$147</f>
        <v>0</v>
      </c>
      <c r="B480" s="3" t="s">
        <v>22</v>
      </c>
      <c r="C480" s="5" t="str">
        <f aca="false">'🤖 GPT 4o'!C150</f>
        <v>tldr</v>
      </c>
      <c r="D480" s="171" t="n">
        <f aca="false">'🤖 GPT 4o'!E150</f>
        <v>0.002427184466</v>
      </c>
      <c r="E480" s="118" t="n">
        <f aca="false">'🤖 GPT 4o'!F150</f>
        <v>0</v>
      </c>
      <c r="F480" s="118" t="n">
        <f aca="false">'🤖 GPT 4o'!G150</f>
        <v>0</v>
      </c>
      <c r="G480" s="118" t="n">
        <f aca="false">'🤖 GPT 4o'!H150</f>
        <v>0</v>
      </c>
      <c r="H480" s="118" t="n">
        <f aca="false">'🤖 GPT 4o'!I150</f>
        <v>0</v>
      </c>
      <c r="I480" s="118" t="n">
        <f aca="false">'🤖 GPT 4o'!J150</f>
        <v>0</v>
      </c>
    </row>
    <row r="481" customFormat="false" ht="15.75" hidden="false" customHeight="false" outlineLevel="0" collapsed="false">
      <c r="A481" s="116"/>
      <c r="B481" s="3"/>
      <c r="C481" s="5"/>
      <c r="D481" s="171"/>
      <c r="E481" s="5"/>
      <c r="F481" s="5"/>
      <c r="G481" s="5"/>
      <c r="H481" s="5"/>
      <c r="I481" s="5"/>
    </row>
    <row r="482" customFormat="false" ht="15.75" hidden="false" customHeight="false" outlineLevel="0" collapsed="false">
      <c r="A482" s="116" t="n">
        <f aca="false">'🤖 GPT 4o'!$A$152</f>
        <v>0</v>
      </c>
      <c r="B482" s="3" t="s">
        <v>22</v>
      </c>
      <c r="C482" s="5" t="str">
        <f aca="false">'🤖 GPT 4o'!C152</f>
        <v>Base</v>
      </c>
      <c r="D482" s="171" t="n">
        <f aca="false">'🤖 GPT 4o'!E152</f>
        <v>0.002427184466</v>
      </c>
      <c r="E482" s="118" t="n">
        <f aca="false">'🤖 GPT 4o'!F152</f>
        <v>0</v>
      </c>
      <c r="F482" s="118" t="n">
        <f aca="false">'🤖 GPT 4o'!G152</f>
        <v>0</v>
      </c>
      <c r="G482" s="118" t="n">
        <f aca="false">'🤖 GPT 4o'!H152</f>
        <v>0</v>
      </c>
      <c r="H482" s="118" t="n">
        <f aca="false">'🤖 GPT 4o'!I152</f>
        <v>0</v>
      </c>
      <c r="I482" s="118" t="n">
        <f aca="false">'🤖 GPT 4o'!J152</f>
        <v>0</v>
      </c>
    </row>
    <row r="483" customFormat="false" ht="15.75" hidden="false" customHeight="false" outlineLevel="0" collapsed="false">
      <c r="A483" s="116" t="n">
        <f aca="false">'🤖 GPT 4o'!$A$152</f>
        <v>0</v>
      </c>
      <c r="B483" s="3" t="s">
        <v>22</v>
      </c>
      <c r="C483" s="5" t="str">
        <f aca="false">'🤖 GPT 4o'!C153</f>
        <v>CoT</v>
      </c>
      <c r="D483" s="171" t="n">
        <f aca="false">'🤖 GPT 4o'!E153</f>
        <v>0.002427184466</v>
      </c>
      <c r="E483" s="118" t="n">
        <f aca="false">'🤖 GPT 4o'!F153</f>
        <v>0</v>
      </c>
      <c r="F483" s="118" t="n">
        <f aca="false">'🤖 GPT 4o'!G153</f>
        <v>0</v>
      </c>
      <c r="G483" s="118" t="n">
        <f aca="false">'🤖 GPT 4o'!H153</f>
        <v>0</v>
      </c>
      <c r="H483" s="118" t="n">
        <f aca="false">'🤖 GPT 4o'!I153</f>
        <v>0</v>
      </c>
      <c r="I483" s="118" t="n">
        <f aca="false">'🤖 GPT 4o'!J153</f>
        <v>0</v>
      </c>
    </row>
    <row r="484" customFormat="false" ht="15.75" hidden="false" customHeight="false" outlineLevel="0" collapsed="false">
      <c r="A484" s="116" t="n">
        <f aca="false">'🤖 GPT 4o'!$A$152</f>
        <v>0</v>
      </c>
      <c r="B484" s="3" t="s">
        <v>22</v>
      </c>
      <c r="C484" s="5" t="str">
        <f aca="false">'🤖 GPT 4o'!C154</f>
        <v>5W1H</v>
      </c>
      <c r="D484" s="171" t="n">
        <f aca="false">'🤖 GPT 4o'!E154</f>
        <v>0.002427184466</v>
      </c>
      <c r="E484" s="118" t="n">
        <f aca="false">'🤖 GPT 4o'!F154</f>
        <v>0</v>
      </c>
      <c r="F484" s="118" t="n">
        <f aca="false">'🤖 GPT 4o'!G154</f>
        <v>0</v>
      </c>
      <c r="G484" s="118" t="n">
        <f aca="false">'🤖 GPT 4o'!H154</f>
        <v>0</v>
      </c>
      <c r="H484" s="118" t="n">
        <f aca="false">'🤖 GPT 4o'!I154</f>
        <v>0</v>
      </c>
      <c r="I484" s="118" t="n">
        <f aca="false">'🤖 GPT 4o'!J154</f>
        <v>0</v>
      </c>
    </row>
    <row r="485" customFormat="false" ht="15.75" hidden="false" customHeight="false" outlineLevel="0" collapsed="false">
      <c r="A485" s="116" t="n">
        <f aca="false">'🤖 GPT 4o'!$A$152</f>
        <v>0</v>
      </c>
      <c r="B485" s="3" t="s">
        <v>22</v>
      </c>
      <c r="C485" s="5" t="str">
        <f aca="false">'🤖 GPT 4o'!C155</f>
        <v>tldr</v>
      </c>
      <c r="D485" s="171" t="n">
        <f aca="false">'🤖 GPT 4o'!E155</f>
        <v>0.002427184466</v>
      </c>
      <c r="E485" s="118" t="n">
        <f aca="false">'🤖 GPT 4o'!F155</f>
        <v>0</v>
      </c>
      <c r="F485" s="118" t="n">
        <f aca="false">'🤖 GPT 4o'!G155</f>
        <v>0</v>
      </c>
      <c r="G485" s="118" t="n">
        <f aca="false">'🤖 GPT 4o'!H155</f>
        <v>0</v>
      </c>
      <c r="H485" s="118" t="n">
        <f aca="false">'🤖 GPT 4o'!I155</f>
        <v>0</v>
      </c>
      <c r="I485" s="118" t="n">
        <f aca="false">'🤖 GPT 4o'!J155</f>
        <v>0</v>
      </c>
    </row>
    <row r="486" customFormat="false" ht="15.75" hidden="false" customHeight="false" outlineLevel="0" collapsed="false">
      <c r="A486" s="116"/>
      <c r="B486" s="3"/>
      <c r="C486" s="5"/>
      <c r="D486" s="171"/>
      <c r="E486" s="5"/>
      <c r="F486" s="5"/>
      <c r="G486" s="5"/>
      <c r="H486" s="5"/>
      <c r="I486" s="5"/>
    </row>
    <row r="487" customFormat="false" ht="15.75" hidden="false" customHeight="false" outlineLevel="0" collapsed="false">
      <c r="A487" s="116" t="n">
        <f aca="false">'🤖 GPT 4o'!$A$157</f>
        <v>0</v>
      </c>
      <c r="B487" s="3" t="s">
        <v>22</v>
      </c>
      <c r="C487" s="5" t="str">
        <f aca="false">'🤖 GPT 4o'!C157</f>
        <v>Base</v>
      </c>
      <c r="D487" s="171" t="n">
        <f aca="false">'🤖 GPT 4o'!E157</f>
        <v>0.002427184466</v>
      </c>
      <c r="E487" s="118" t="n">
        <f aca="false">'🤖 GPT 4o'!F157</f>
        <v>0</v>
      </c>
      <c r="F487" s="118" t="n">
        <f aca="false">'🤖 GPT 4o'!G157</f>
        <v>0</v>
      </c>
      <c r="G487" s="118" t="n">
        <f aca="false">'🤖 GPT 4o'!H157</f>
        <v>0</v>
      </c>
      <c r="H487" s="118" t="n">
        <f aca="false">'🤖 GPT 4o'!I157</f>
        <v>0</v>
      </c>
      <c r="I487" s="118" t="n">
        <f aca="false">'🤖 GPT 4o'!J157</f>
        <v>0</v>
      </c>
    </row>
    <row r="488" customFormat="false" ht="15.75" hidden="false" customHeight="false" outlineLevel="0" collapsed="false">
      <c r="A488" s="116" t="n">
        <f aca="false">'🤖 GPT 4o'!$A$157</f>
        <v>0</v>
      </c>
      <c r="B488" s="3" t="s">
        <v>22</v>
      </c>
      <c r="C488" s="5" t="str">
        <f aca="false">'🤖 GPT 4o'!C158</f>
        <v>CoT</v>
      </c>
      <c r="D488" s="171" t="n">
        <f aca="false">'🤖 GPT 4o'!E158</f>
        <v>0.002427184466</v>
      </c>
      <c r="E488" s="118" t="n">
        <f aca="false">'🤖 GPT 4o'!F158</f>
        <v>0</v>
      </c>
      <c r="F488" s="118" t="n">
        <f aca="false">'🤖 GPT 4o'!G158</f>
        <v>0</v>
      </c>
      <c r="G488" s="118" t="n">
        <f aca="false">'🤖 GPT 4o'!H158</f>
        <v>0</v>
      </c>
      <c r="H488" s="118" t="n">
        <f aca="false">'🤖 GPT 4o'!I158</f>
        <v>0</v>
      </c>
      <c r="I488" s="118" t="n">
        <f aca="false">'🤖 GPT 4o'!J158</f>
        <v>0</v>
      </c>
    </row>
    <row r="489" customFormat="false" ht="15.75" hidden="false" customHeight="false" outlineLevel="0" collapsed="false">
      <c r="A489" s="116" t="n">
        <f aca="false">'🤖 GPT 4o'!$A$157</f>
        <v>0</v>
      </c>
      <c r="B489" s="3" t="s">
        <v>22</v>
      </c>
      <c r="C489" s="5" t="str">
        <f aca="false">'🤖 GPT 4o'!C159</f>
        <v>5W1H</v>
      </c>
      <c r="D489" s="171" t="n">
        <f aca="false">'🤖 GPT 4o'!E159</f>
        <v>0.002427184466</v>
      </c>
      <c r="E489" s="118" t="n">
        <f aca="false">'🤖 GPT 4o'!F159</f>
        <v>0</v>
      </c>
      <c r="F489" s="118" t="n">
        <f aca="false">'🤖 GPT 4o'!G159</f>
        <v>0</v>
      </c>
      <c r="G489" s="118" t="n">
        <f aca="false">'🤖 GPT 4o'!H159</f>
        <v>0</v>
      </c>
      <c r="H489" s="118" t="n">
        <f aca="false">'🤖 GPT 4o'!I159</f>
        <v>0</v>
      </c>
      <c r="I489" s="118" t="n">
        <f aca="false">'🤖 GPT 4o'!J159</f>
        <v>0</v>
      </c>
    </row>
    <row r="490" customFormat="false" ht="15.75" hidden="false" customHeight="false" outlineLevel="0" collapsed="false">
      <c r="A490" s="116" t="n">
        <f aca="false">'🤖 GPT 4o'!$A$157</f>
        <v>0</v>
      </c>
      <c r="B490" s="3" t="s">
        <v>22</v>
      </c>
      <c r="C490" s="5" t="str">
        <f aca="false">'🤖 GPT 4o'!C160</f>
        <v>tldr</v>
      </c>
      <c r="D490" s="171" t="n">
        <f aca="false">'🤖 GPT 4o'!E160</f>
        <v>0.002427184466</v>
      </c>
      <c r="E490" s="118" t="n">
        <f aca="false">'🤖 GPT 4o'!F160</f>
        <v>0</v>
      </c>
      <c r="F490" s="118" t="n">
        <f aca="false">'🤖 GPT 4o'!G160</f>
        <v>0</v>
      </c>
      <c r="G490" s="118" t="n">
        <f aca="false">'🤖 GPT 4o'!H160</f>
        <v>0</v>
      </c>
      <c r="H490" s="118" t="n">
        <f aca="false">'🤖 GPT 4o'!I160</f>
        <v>0</v>
      </c>
      <c r="I490" s="118" t="n">
        <f aca="false">'🤖 GPT 4o'!J160</f>
        <v>0</v>
      </c>
    </row>
    <row r="491" customFormat="false" ht="15.75" hidden="false" customHeight="false" outlineLevel="0" collapsed="false">
      <c r="A491" s="116"/>
      <c r="B491" s="3"/>
      <c r="C491" s="5"/>
      <c r="D491" s="171"/>
      <c r="E491" s="5"/>
      <c r="F491" s="5"/>
      <c r="G491" s="5"/>
      <c r="H491" s="5"/>
      <c r="I491" s="5"/>
    </row>
    <row r="492" customFormat="false" ht="15.75" hidden="false" customHeight="false" outlineLevel="0" collapsed="false">
      <c r="A492" s="116" t="n">
        <f aca="false">'🤖 GPT 4o'!$A$162</f>
        <v>0</v>
      </c>
      <c r="B492" s="3" t="s">
        <v>22</v>
      </c>
      <c r="C492" s="5" t="str">
        <f aca="false">'🤖 GPT 4o'!C162</f>
        <v>Base</v>
      </c>
      <c r="D492" s="171" t="n">
        <f aca="false">'🤖 GPT 4o'!E162</f>
        <v>0.002427184466</v>
      </c>
      <c r="E492" s="118" t="n">
        <f aca="false">'🤖 GPT 4o'!F162</f>
        <v>0</v>
      </c>
      <c r="F492" s="118" t="n">
        <f aca="false">'🤖 GPT 4o'!G162</f>
        <v>0</v>
      </c>
      <c r="G492" s="118" t="n">
        <f aca="false">'🤖 GPT 4o'!H162</f>
        <v>0</v>
      </c>
      <c r="H492" s="118" t="n">
        <f aca="false">'🤖 GPT 4o'!I162</f>
        <v>0</v>
      </c>
      <c r="I492" s="118" t="n">
        <f aca="false">'🤖 GPT 4o'!J162</f>
        <v>0</v>
      </c>
    </row>
    <row r="493" customFormat="false" ht="15.75" hidden="false" customHeight="false" outlineLevel="0" collapsed="false">
      <c r="A493" s="116" t="n">
        <f aca="false">'🤖 GPT 4o'!$A$162</f>
        <v>0</v>
      </c>
      <c r="B493" s="3" t="s">
        <v>22</v>
      </c>
      <c r="C493" s="5" t="str">
        <f aca="false">'🤖 GPT 4o'!C163</f>
        <v>CoT</v>
      </c>
      <c r="D493" s="171" t="n">
        <f aca="false">'🤖 GPT 4o'!E163</f>
        <v>0.002427184466</v>
      </c>
      <c r="E493" s="118" t="n">
        <f aca="false">'🤖 GPT 4o'!F163</f>
        <v>0</v>
      </c>
      <c r="F493" s="118" t="n">
        <f aca="false">'🤖 GPT 4o'!G163</f>
        <v>0</v>
      </c>
      <c r="G493" s="118" t="n">
        <f aca="false">'🤖 GPT 4o'!H163</f>
        <v>0</v>
      </c>
      <c r="H493" s="118" t="n">
        <f aca="false">'🤖 GPT 4o'!I163</f>
        <v>0</v>
      </c>
      <c r="I493" s="118" t="n">
        <f aca="false">'🤖 GPT 4o'!J163</f>
        <v>0</v>
      </c>
    </row>
    <row r="494" customFormat="false" ht="15.75" hidden="false" customHeight="false" outlineLevel="0" collapsed="false">
      <c r="A494" s="116" t="n">
        <f aca="false">'🤖 GPT 4o'!$A$162</f>
        <v>0</v>
      </c>
      <c r="B494" s="3" t="s">
        <v>22</v>
      </c>
      <c r="C494" s="5" t="str">
        <f aca="false">'🤖 GPT 4o'!C164</f>
        <v>5W1H</v>
      </c>
      <c r="D494" s="171" t="n">
        <f aca="false">'🤖 GPT 4o'!E164</f>
        <v>0.002427184466</v>
      </c>
      <c r="E494" s="118" t="n">
        <f aca="false">'🤖 GPT 4o'!F164</f>
        <v>0</v>
      </c>
      <c r="F494" s="118" t="n">
        <f aca="false">'🤖 GPT 4o'!G164</f>
        <v>0</v>
      </c>
      <c r="G494" s="118" t="n">
        <f aca="false">'🤖 GPT 4o'!H164</f>
        <v>0</v>
      </c>
      <c r="H494" s="118" t="n">
        <f aca="false">'🤖 GPT 4o'!I164</f>
        <v>0</v>
      </c>
      <c r="I494" s="118" t="n">
        <f aca="false">'🤖 GPT 4o'!J164</f>
        <v>0</v>
      </c>
    </row>
    <row r="495" customFormat="false" ht="15.75" hidden="false" customHeight="false" outlineLevel="0" collapsed="false">
      <c r="A495" s="116" t="n">
        <f aca="false">'🤖 GPT 4o'!$A$162</f>
        <v>0</v>
      </c>
      <c r="B495" s="3" t="s">
        <v>22</v>
      </c>
      <c r="C495" s="5" t="str">
        <f aca="false">'🤖 GPT 4o'!C165</f>
        <v>tldr</v>
      </c>
      <c r="D495" s="171" t="n">
        <f aca="false">'🤖 GPT 4o'!E165</f>
        <v>0.002427184466</v>
      </c>
      <c r="E495" s="118" t="n">
        <f aca="false">'🤖 GPT 4o'!F165</f>
        <v>0</v>
      </c>
      <c r="F495" s="118" t="n">
        <f aca="false">'🤖 GPT 4o'!G165</f>
        <v>0</v>
      </c>
      <c r="G495" s="118" t="n">
        <f aca="false">'🤖 GPT 4o'!H165</f>
        <v>0</v>
      </c>
      <c r="H495" s="118" t="n">
        <f aca="false">'🤖 GPT 4o'!I165</f>
        <v>0</v>
      </c>
      <c r="I495" s="118" t="n">
        <f aca="false">'🤖 GPT 4o'!J165</f>
        <v>0</v>
      </c>
    </row>
    <row r="496" customFormat="false" ht="15.75" hidden="false" customHeight="false" outlineLevel="0" collapsed="false">
      <c r="A496" s="8"/>
      <c r="B496" s="8"/>
      <c r="C496" s="50"/>
      <c r="D496" s="8"/>
      <c r="E496" s="50"/>
      <c r="F496" s="50"/>
      <c r="G496" s="50"/>
      <c r="H496" s="50"/>
      <c r="I496" s="50"/>
    </row>
    <row r="497" customFormat="false" ht="15.75" hidden="false" customHeight="false" outlineLevel="0" collapsed="false">
      <c r="A497" s="116" t="str">
        <f aca="false">'🤖 Reka Flash'!$A$2</f>
        <v>https://www.berria.eus/mundua/aragonesek-lehen-lerro-politikoa-utziko-du_2125045_102.html</v>
      </c>
      <c r="B497" s="3" t="s">
        <v>23</v>
      </c>
      <c r="C497" s="5" t="str">
        <f aca="false">'🤖 Reka Flash'!C2</f>
        <v>Base</v>
      </c>
      <c r="D497" s="148" t="n">
        <f aca="false">'🤖 Reka Flash'!E2</f>
        <v>0.3447432763</v>
      </c>
      <c r="E497" s="118" t="n">
        <f aca="false">'🤖 Reka Flash'!F2</f>
        <v>4</v>
      </c>
      <c r="F497" s="118" t="n">
        <f aca="false">'🤖 Reka Flash'!G2</f>
        <v>4</v>
      </c>
      <c r="G497" s="118" t="n">
        <f aca="false">'🤖 Reka Flash'!H2</f>
        <v>4</v>
      </c>
      <c r="H497" s="118" t="n">
        <f aca="false">'🤖 Reka Flash'!I2</f>
        <v>4</v>
      </c>
      <c r="I497" s="118" t="n">
        <f aca="false">'🤖 Reka Flash'!J2</f>
        <v>5</v>
      </c>
    </row>
    <row r="498" customFormat="false" ht="15.75" hidden="false" customHeight="false" outlineLevel="0" collapsed="false">
      <c r="A498" s="116" t="str">
        <f aca="false">'🤖 Reka Flash'!$A$2</f>
        <v>https://www.berria.eus/mundua/aragonesek-lehen-lerro-politikoa-utziko-du_2125045_102.html</v>
      </c>
      <c r="B498" s="3" t="s">
        <v>23</v>
      </c>
      <c r="C498" s="5" t="str">
        <f aca="false">'🤖 Reka Flash'!C3</f>
        <v>CoT</v>
      </c>
      <c r="D498" s="148" t="n">
        <f aca="false">'🤖 Reka Flash'!E3</f>
        <v>0.1809290954</v>
      </c>
      <c r="E498" s="118" t="n">
        <f aca="false">'🤖 Reka Flash'!F3</f>
        <v>3</v>
      </c>
      <c r="F498" s="118" t="n">
        <f aca="false">'🤖 Reka Flash'!G3</f>
        <v>4</v>
      </c>
      <c r="G498" s="118" t="n">
        <f aca="false">'🤖 Reka Flash'!H3</f>
        <v>4</v>
      </c>
      <c r="H498" s="118" t="n">
        <f aca="false">'🤖 Reka Flash'!I3</f>
        <v>4</v>
      </c>
      <c r="I498" s="118" t="n">
        <f aca="false">'🤖 Reka Flash'!J3</f>
        <v>4</v>
      </c>
    </row>
    <row r="499" customFormat="false" ht="15.75" hidden="false" customHeight="false" outlineLevel="0" collapsed="false">
      <c r="A499" s="116" t="str">
        <f aca="false">'🤖 Reka Flash'!$A$2</f>
        <v>https://www.berria.eus/mundua/aragonesek-lehen-lerro-politikoa-utziko-du_2125045_102.html</v>
      </c>
      <c r="B499" s="3" t="s">
        <v>23</v>
      </c>
      <c r="C499" s="5" t="str">
        <f aca="false">'🤖 Reka Flash'!C4</f>
        <v>5W1H</v>
      </c>
      <c r="D499" s="172" t="n">
        <f aca="false">'🤖 Reka Flash'!E4</f>
        <v>0.3496332518</v>
      </c>
      <c r="E499" s="118" t="n">
        <f aca="false">'🤖 Reka Flash'!F4</f>
        <v>3</v>
      </c>
      <c r="F499" s="118" t="n">
        <f aca="false">'🤖 Reka Flash'!G4</f>
        <v>4</v>
      </c>
      <c r="G499" s="118" t="n">
        <f aca="false">'🤖 Reka Flash'!H4</f>
        <v>4</v>
      </c>
      <c r="H499" s="118" t="n">
        <f aca="false">'🤖 Reka Flash'!I4</f>
        <v>4</v>
      </c>
      <c r="I499" s="118" t="n">
        <f aca="false">'🤖 Reka Flash'!J4</f>
        <v>5</v>
      </c>
    </row>
    <row r="500" customFormat="false" ht="15.75" hidden="false" customHeight="false" outlineLevel="0" collapsed="false">
      <c r="A500" s="116" t="str">
        <f aca="false">'🤖 Reka Flash'!$A$2</f>
        <v>https://www.berria.eus/mundua/aragonesek-lehen-lerro-politikoa-utziko-du_2125045_102.html</v>
      </c>
      <c r="B500" s="3" t="s">
        <v>23</v>
      </c>
      <c r="C500" s="5" t="str">
        <f aca="false">'🤖 Reka Flash'!C5</f>
        <v>tldr</v>
      </c>
      <c r="D500" s="151" t="n">
        <f aca="false">'🤖 Reka Flash'!E5</f>
        <v>0.1112469438</v>
      </c>
      <c r="E500" s="118" t="n">
        <f aca="false">'🤖 Reka Flash'!F5</f>
        <v>3</v>
      </c>
      <c r="F500" s="118" t="n">
        <f aca="false">'🤖 Reka Flash'!G5</f>
        <v>4</v>
      </c>
      <c r="G500" s="118" t="n">
        <f aca="false">'🤖 Reka Flash'!H5</f>
        <v>5</v>
      </c>
      <c r="H500" s="118" t="n">
        <f aca="false">'🤖 Reka Flash'!I5</f>
        <v>5</v>
      </c>
      <c r="I500" s="118" t="n">
        <f aca="false">'🤖 Reka Flash'!J5</f>
        <v>4</v>
      </c>
    </row>
    <row r="501" customFormat="false" ht="15.75" hidden="false" customHeight="false" outlineLevel="0" collapsed="false">
      <c r="A501" s="8"/>
      <c r="B501" s="8"/>
      <c r="C501" s="50"/>
      <c r="D501" s="8"/>
      <c r="E501" s="50"/>
      <c r="F501" s="50"/>
      <c r="G501" s="50"/>
      <c r="H501" s="50"/>
      <c r="I501" s="50"/>
    </row>
    <row r="502" customFormat="false" ht="15.75" hidden="false" customHeight="false" outlineLevel="0" collapsed="false">
      <c r="A502" s="116" t="str">
        <f aca="false">'🤖 Reka Flash'!$A$7</f>
        <v>https://www.berria.eus/kirola/derbi-bikoitza_2118881_102.html</v>
      </c>
      <c r="B502" s="3" t="s">
        <v>23</v>
      </c>
      <c r="C502" s="5" t="str">
        <f aca="false">'🤖 Reka Flash'!C7</f>
        <v>Base</v>
      </c>
      <c r="D502" s="141" t="n">
        <f aca="false">'🤖 Reka Flash'!E7</f>
        <v>0.25</v>
      </c>
      <c r="E502" s="118" t="n">
        <f aca="false">'🤖 Reka Flash'!F7</f>
        <v>3</v>
      </c>
      <c r="F502" s="118" t="n">
        <f aca="false">'🤖 Reka Flash'!G7</f>
        <v>4</v>
      </c>
      <c r="G502" s="118" t="n">
        <f aca="false">'🤖 Reka Flash'!H7</f>
        <v>4</v>
      </c>
      <c r="H502" s="118" t="n">
        <f aca="false">'🤖 Reka Flash'!I7</f>
        <v>4</v>
      </c>
      <c r="I502" s="118" t="n">
        <f aca="false">'🤖 Reka Flash'!J7</f>
        <v>4</v>
      </c>
    </row>
    <row r="503" customFormat="false" ht="15.75" hidden="false" customHeight="false" outlineLevel="0" collapsed="false">
      <c r="A503" s="116" t="str">
        <f aca="false">'🤖 Reka Flash'!$A$7</f>
        <v>https://www.berria.eus/kirola/derbi-bikoitza_2118881_102.html</v>
      </c>
      <c r="B503" s="3" t="s">
        <v>23</v>
      </c>
      <c r="C503" s="5" t="str">
        <f aca="false">'🤖 Reka Flash'!C8</f>
        <v>CoT</v>
      </c>
      <c r="D503" s="151" t="n">
        <f aca="false">'🤖 Reka Flash'!E8</f>
        <v>0.3666666667</v>
      </c>
      <c r="E503" s="118" t="n">
        <f aca="false">'🤖 Reka Flash'!F8</f>
        <v>3</v>
      </c>
      <c r="F503" s="118" t="n">
        <f aca="false">'🤖 Reka Flash'!G8</f>
        <v>4</v>
      </c>
      <c r="G503" s="118" t="n">
        <f aca="false">'🤖 Reka Flash'!H8</f>
        <v>4</v>
      </c>
      <c r="H503" s="118" t="n">
        <f aca="false">'🤖 Reka Flash'!I8</f>
        <v>3</v>
      </c>
      <c r="I503" s="118" t="n">
        <f aca="false">'🤖 Reka Flash'!J8</f>
        <v>4</v>
      </c>
    </row>
    <row r="504" customFormat="false" ht="15.75" hidden="false" customHeight="false" outlineLevel="0" collapsed="false">
      <c r="A504" s="116" t="str">
        <f aca="false">'🤖 Reka Flash'!$A$7</f>
        <v>https://www.berria.eus/kirola/derbi-bikoitza_2118881_102.html</v>
      </c>
      <c r="B504" s="3" t="s">
        <v>23</v>
      </c>
      <c r="C504" s="5" t="str">
        <f aca="false">'🤖 Reka Flash'!C9</f>
        <v>5W1H</v>
      </c>
      <c r="D504" s="120" t="n">
        <f aca="false">'🤖 Reka Flash'!E9</f>
        <v>0.4291666667</v>
      </c>
      <c r="E504" s="118" t="n">
        <f aca="false">'🤖 Reka Flash'!F9</f>
        <v>2</v>
      </c>
      <c r="F504" s="118" t="n">
        <f aca="false">'🤖 Reka Flash'!G9</f>
        <v>4</v>
      </c>
      <c r="G504" s="118" t="n">
        <f aca="false">'🤖 Reka Flash'!H9</f>
        <v>4</v>
      </c>
      <c r="H504" s="118" t="n">
        <f aca="false">'🤖 Reka Flash'!I9</f>
        <v>4</v>
      </c>
      <c r="I504" s="118" t="n">
        <f aca="false">'🤖 Reka Flash'!J9</f>
        <v>5</v>
      </c>
    </row>
    <row r="505" customFormat="false" ht="15.75" hidden="false" customHeight="false" outlineLevel="0" collapsed="false">
      <c r="A505" s="116" t="str">
        <f aca="false">'🤖 Reka Flash'!$A$7</f>
        <v>https://www.berria.eus/kirola/derbi-bikoitza_2118881_102.html</v>
      </c>
      <c r="B505" s="3" t="s">
        <v>23</v>
      </c>
      <c r="C505" s="5" t="str">
        <f aca="false">'🤖 Reka Flash'!C10</f>
        <v>tldr</v>
      </c>
      <c r="D505" s="126" t="n">
        <f aca="false">'🤖 Reka Flash'!E10</f>
        <v>0.2</v>
      </c>
      <c r="E505" s="118" t="n">
        <f aca="false">'🤖 Reka Flash'!F10</f>
        <v>4</v>
      </c>
      <c r="F505" s="118" t="n">
        <f aca="false">'🤖 Reka Flash'!G10</f>
        <v>3</v>
      </c>
      <c r="G505" s="118" t="n">
        <f aca="false">'🤖 Reka Flash'!H10</f>
        <v>4</v>
      </c>
      <c r="H505" s="118" t="n">
        <f aca="false">'🤖 Reka Flash'!I10</f>
        <v>5</v>
      </c>
      <c r="I505" s="118" t="n">
        <f aca="false">'🤖 Reka Flash'!J10</f>
        <v>3</v>
      </c>
    </row>
    <row r="506" customFormat="false" ht="15.75" hidden="false" customHeight="false" outlineLevel="0" collapsed="false">
      <c r="A506" s="8"/>
      <c r="B506" s="8"/>
      <c r="C506" s="50"/>
      <c r="D506" s="8"/>
      <c r="E506" s="50"/>
      <c r="F506" s="50"/>
      <c r="G506" s="50"/>
      <c r="H506" s="50"/>
      <c r="I506" s="50"/>
    </row>
    <row r="507" customFormat="false" ht="15.75" hidden="false" customHeight="false" outlineLevel="0" collapsed="false">
      <c r="A507" s="116" t="str">
        <f aca="false">'🤖 Reka Flash'!$A$12</f>
        <v>https://www.berria.eus/kirola/berriro-etxean-sentitzeko_2117830_102.html</v>
      </c>
      <c r="B507" s="3" t="s">
        <v>23</v>
      </c>
      <c r="C507" s="5" t="str">
        <f aca="false">'🤖 Reka Flash'!C12</f>
        <v>Base</v>
      </c>
      <c r="D507" s="142" t="n">
        <f aca="false">'🤖 Reka Flash'!E12</f>
        <v>0.1472727273</v>
      </c>
      <c r="E507" s="118" t="n">
        <f aca="false">'🤖 Reka Flash'!F12</f>
        <v>4</v>
      </c>
      <c r="F507" s="118" t="n">
        <f aca="false">'🤖 Reka Flash'!G12</f>
        <v>4</v>
      </c>
      <c r="G507" s="118" t="n">
        <f aca="false">'🤖 Reka Flash'!H12</f>
        <v>4</v>
      </c>
      <c r="H507" s="118" t="n">
        <f aca="false">'🤖 Reka Flash'!I12</f>
        <v>4</v>
      </c>
      <c r="I507" s="118" t="n">
        <f aca="false">'🤖 Reka Flash'!J12</f>
        <v>4</v>
      </c>
    </row>
    <row r="508" customFormat="false" ht="15.75" hidden="false" customHeight="false" outlineLevel="0" collapsed="false">
      <c r="A508" s="116" t="str">
        <f aca="false">'🤖 Reka Flash'!$A$12</f>
        <v>https://www.berria.eus/kirola/berriro-etxean-sentitzeko_2117830_102.html</v>
      </c>
      <c r="B508" s="3" t="s">
        <v>23</v>
      </c>
      <c r="C508" s="5" t="str">
        <f aca="false">'🤖 Reka Flash'!C13</f>
        <v>CoT</v>
      </c>
      <c r="D508" s="131" t="n">
        <f aca="false">'🤖 Reka Flash'!E13</f>
        <v>0.1909090909</v>
      </c>
      <c r="E508" s="118" t="n">
        <f aca="false">'🤖 Reka Flash'!F13</f>
        <v>3</v>
      </c>
      <c r="F508" s="118" t="n">
        <f aca="false">'🤖 Reka Flash'!G13</f>
        <v>4</v>
      </c>
      <c r="G508" s="118" t="n">
        <f aca="false">'🤖 Reka Flash'!H13</f>
        <v>4</v>
      </c>
      <c r="H508" s="118" t="n">
        <f aca="false">'🤖 Reka Flash'!I13</f>
        <v>3</v>
      </c>
      <c r="I508" s="118" t="n">
        <f aca="false">'🤖 Reka Flash'!J13</f>
        <v>4</v>
      </c>
    </row>
    <row r="509" customFormat="false" ht="15.75" hidden="false" customHeight="false" outlineLevel="0" collapsed="false">
      <c r="A509" s="116" t="str">
        <f aca="false">'🤖 Reka Flash'!$A$12</f>
        <v>https://www.berria.eus/kirola/berriro-etxean-sentitzeko_2117830_102.html</v>
      </c>
      <c r="B509" s="3" t="s">
        <v>23</v>
      </c>
      <c r="C509" s="5" t="str">
        <f aca="false">'🤖 Reka Flash'!C14</f>
        <v>5W1H</v>
      </c>
      <c r="D509" s="130" t="n">
        <f aca="false">'🤖 Reka Flash'!E14</f>
        <v>0.1636363636</v>
      </c>
      <c r="E509" s="118" t="n">
        <f aca="false">'🤖 Reka Flash'!F14</f>
        <v>3</v>
      </c>
      <c r="F509" s="118" t="n">
        <f aca="false">'🤖 Reka Flash'!G14</f>
        <v>4</v>
      </c>
      <c r="G509" s="118" t="n">
        <f aca="false">'🤖 Reka Flash'!H14</f>
        <v>4</v>
      </c>
      <c r="H509" s="118" t="n">
        <f aca="false">'🤖 Reka Flash'!I14</f>
        <v>5</v>
      </c>
      <c r="I509" s="118" t="n">
        <f aca="false">'🤖 Reka Flash'!J14</f>
        <v>5</v>
      </c>
    </row>
    <row r="510" customFormat="false" ht="15.75" hidden="false" customHeight="false" outlineLevel="0" collapsed="false">
      <c r="A510" s="116" t="str">
        <f aca="false">'🤖 Reka Flash'!$A$12</f>
        <v>https://www.berria.eus/kirola/berriro-etxean-sentitzeko_2117830_102.html</v>
      </c>
      <c r="B510" s="3" t="s">
        <v>23</v>
      </c>
      <c r="C510" s="5" t="str">
        <f aca="false">'🤖 Reka Flash'!C15</f>
        <v>tldr</v>
      </c>
      <c r="D510" s="173" t="n">
        <f aca="false">'🤖 Reka Flash'!E15</f>
        <v>0.12</v>
      </c>
      <c r="E510" s="118" t="n">
        <f aca="false">'🤖 Reka Flash'!F15</f>
        <v>3</v>
      </c>
      <c r="F510" s="118" t="n">
        <f aca="false">'🤖 Reka Flash'!G15</f>
        <v>5</v>
      </c>
      <c r="G510" s="118" t="n">
        <f aca="false">'🤖 Reka Flash'!H15</f>
        <v>4</v>
      </c>
      <c r="H510" s="118" t="n">
        <f aca="false">'🤖 Reka Flash'!I15</f>
        <v>4</v>
      </c>
      <c r="I510" s="118" t="n">
        <f aca="false">'🤖 Reka Flash'!J15</f>
        <v>4</v>
      </c>
    </row>
    <row r="511" customFormat="false" ht="15.75" hidden="false" customHeight="false" outlineLevel="0" collapsed="false">
      <c r="A511" s="8"/>
      <c r="B511" s="8"/>
      <c r="C511" s="50"/>
      <c r="D511" s="8"/>
      <c r="E511" s="50"/>
      <c r="F511" s="50"/>
      <c r="G511" s="50"/>
      <c r="H511" s="50"/>
      <c r="I511" s="50"/>
    </row>
    <row r="512" customFormat="false" ht="15.75" hidden="false" customHeight="false" outlineLevel="0" collapsed="false">
      <c r="A512" s="116" t="str">
        <f aca="false">'🤖 Reka Flash'!$A$17</f>
        <v>https://www.berria.eus/komunikazioa/generacion-porno-dokumental-saioa-egin-dute-etbk-eta-tv3ek_1341518_102.html</v>
      </c>
      <c r="B512" s="3" t="s">
        <v>23</v>
      </c>
      <c r="C512" s="5" t="str">
        <f aca="false">'🤖 Reka Flash'!C17</f>
        <v>Base</v>
      </c>
      <c r="D512" s="148" t="n">
        <f aca="false">'🤖 Reka Flash'!E17</f>
        <v>0.3079178886</v>
      </c>
      <c r="E512" s="118" t="n">
        <f aca="false">'🤖 Reka Flash'!F17</f>
        <v>4</v>
      </c>
      <c r="F512" s="118" t="n">
        <f aca="false">'🤖 Reka Flash'!G17</f>
        <v>4</v>
      </c>
      <c r="G512" s="118" t="n">
        <f aca="false">'🤖 Reka Flash'!H17</f>
        <v>4</v>
      </c>
      <c r="H512" s="118" t="n">
        <f aca="false">'🤖 Reka Flash'!I17</f>
        <v>5</v>
      </c>
      <c r="I512" s="118" t="n">
        <f aca="false">'🤖 Reka Flash'!J17</f>
        <v>4</v>
      </c>
    </row>
    <row r="513" customFormat="false" ht="15.75" hidden="false" customHeight="false" outlineLevel="0" collapsed="false">
      <c r="A513" s="116" t="str">
        <f aca="false">'🤖 Reka Flash'!$A$17</f>
        <v>https://www.berria.eus/komunikazioa/generacion-porno-dokumental-saioa-egin-dute-etbk-eta-tv3ek_1341518_102.html</v>
      </c>
      <c r="B513" s="3" t="s">
        <v>23</v>
      </c>
      <c r="C513" s="5" t="str">
        <f aca="false">'🤖 Reka Flash'!C18</f>
        <v>CoT</v>
      </c>
      <c r="D513" s="149" t="n">
        <f aca="false">'🤖 Reka Flash'!E18</f>
        <v>0.2521994135</v>
      </c>
      <c r="E513" s="118" t="n">
        <f aca="false">'🤖 Reka Flash'!F18</f>
        <v>4</v>
      </c>
      <c r="F513" s="118" t="n">
        <f aca="false">'🤖 Reka Flash'!G18</f>
        <v>4</v>
      </c>
      <c r="G513" s="118" t="n">
        <f aca="false">'🤖 Reka Flash'!H18</f>
        <v>5</v>
      </c>
      <c r="H513" s="118" t="n">
        <f aca="false">'🤖 Reka Flash'!I18</f>
        <v>3</v>
      </c>
      <c r="I513" s="118" t="n">
        <f aca="false">'🤖 Reka Flash'!J18</f>
        <v>3</v>
      </c>
    </row>
    <row r="514" customFormat="false" ht="15.75" hidden="false" customHeight="false" outlineLevel="0" collapsed="false">
      <c r="A514" s="116" t="str">
        <f aca="false">'🤖 Reka Flash'!$A$17</f>
        <v>https://www.berria.eus/komunikazioa/generacion-porno-dokumental-saioa-egin-dute-etbk-eta-tv3ek_1341518_102.html</v>
      </c>
      <c r="B514" s="3" t="s">
        <v>23</v>
      </c>
      <c r="C514" s="5" t="str">
        <f aca="false">'🤖 Reka Flash'!C19</f>
        <v>5W1H</v>
      </c>
      <c r="D514" s="117" t="n">
        <f aca="false">'🤖 Reka Flash'!E19</f>
        <v>0.3049853372</v>
      </c>
      <c r="E514" s="118" t="n">
        <f aca="false">'🤖 Reka Flash'!F19</f>
        <v>3</v>
      </c>
      <c r="F514" s="118" t="n">
        <f aca="false">'🤖 Reka Flash'!G19</f>
        <v>4</v>
      </c>
      <c r="G514" s="118" t="n">
        <f aca="false">'🤖 Reka Flash'!H19</f>
        <v>5</v>
      </c>
      <c r="H514" s="118" t="n">
        <f aca="false">'🤖 Reka Flash'!I19</f>
        <v>5</v>
      </c>
      <c r="I514" s="118" t="n">
        <f aca="false">'🤖 Reka Flash'!J19</f>
        <v>5</v>
      </c>
    </row>
    <row r="515" customFormat="false" ht="15.75" hidden="false" customHeight="false" outlineLevel="0" collapsed="false">
      <c r="A515" s="116" t="str">
        <f aca="false">'🤖 Reka Flash'!$A$17</f>
        <v>https://www.berria.eus/komunikazioa/generacion-porno-dokumental-saioa-egin-dute-etbk-eta-tv3ek_1341518_102.html</v>
      </c>
      <c r="B515" s="3" t="s">
        <v>23</v>
      </c>
      <c r="C515" s="5" t="str">
        <f aca="false">'🤖 Reka Flash'!C20</f>
        <v>tldr</v>
      </c>
      <c r="D515" s="138" t="n">
        <f aca="false">'🤖 Reka Flash'!E20</f>
        <v>0.2521994135</v>
      </c>
      <c r="E515" s="118" t="n">
        <f aca="false">'🤖 Reka Flash'!F20</f>
        <v>3</v>
      </c>
      <c r="F515" s="118" t="n">
        <f aca="false">'🤖 Reka Flash'!G20</f>
        <v>4</v>
      </c>
      <c r="G515" s="118" t="n">
        <f aca="false">'🤖 Reka Flash'!H20</f>
        <v>4</v>
      </c>
      <c r="H515" s="118" t="n">
        <f aca="false">'🤖 Reka Flash'!I20</f>
        <v>5</v>
      </c>
      <c r="I515" s="118" t="n">
        <f aca="false">'🤖 Reka Flash'!J20</f>
        <v>3</v>
      </c>
    </row>
    <row r="516" customFormat="false" ht="15.75" hidden="false" customHeight="false" outlineLevel="0" collapsed="false">
      <c r="A516" s="8"/>
      <c r="B516" s="8"/>
      <c r="C516" s="50"/>
      <c r="D516" s="8"/>
      <c r="E516" s="50"/>
      <c r="F516" s="50"/>
      <c r="G516" s="50"/>
      <c r="H516" s="50"/>
      <c r="I516" s="50"/>
    </row>
    <row r="517" customFormat="false" ht="15.75" hidden="false" customHeight="false" outlineLevel="0" collapsed="false">
      <c r="A517" s="116" t="str">
        <f aca="false">'🤖 Reka Flash'!$A$22</f>
        <v>https://www.berria.eus/kirola/artolak-nagusitasunez-irabazi-dio-zabaleri_2124679_102.html</v>
      </c>
      <c r="B517" s="3" t="s">
        <v>23</v>
      </c>
      <c r="C517" s="5" t="str">
        <f aca="false">'🤖 Reka Flash'!C22</f>
        <v>Base</v>
      </c>
      <c r="D517" s="174" t="n">
        <f aca="false">'🤖 Reka Flash'!E22</f>
        <v>0.1407035176</v>
      </c>
      <c r="E517" s="118" t="n">
        <f aca="false">'🤖 Reka Flash'!F22</f>
        <v>4</v>
      </c>
      <c r="F517" s="118" t="n">
        <f aca="false">'🤖 Reka Flash'!G22</f>
        <v>4</v>
      </c>
      <c r="G517" s="118" t="n">
        <f aca="false">'🤖 Reka Flash'!H22</f>
        <v>4</v>
      </c>
      <c r="H517" s="118" t="n">
        <f aca="false">'🤖 Reka Flash'!I22</f>
        <v>5</v>
      </c>
      <c r="I517" s="118" t="n">
        <f aca="false">'🤖 Reka Flash'!J22</f>
        <v>4</v>
      </c>
    </row>
    <row r="518" customFormat="false" ht="15.75" hidden="false" customHeight="false" outlineLevel="0" collapsed="false">
      <c r="A518" s="116" t="str">
        <f aca="false">'🤖 Reka Flash'!$A$22</f>
        <v>https://www.berria.eus/kirola/artolak-nagusitasunez-irabazi-dio-zabaleri_2124679_102.html</v>
      </c>
      <c r="B518" s="3" t="s">
        <v>23</v>
      </c>
      <c r="C518" s="5" t="str">
        <f aca="false">'🤖 Reka Flash'!C23</f>
        <v>CoT</v>
      </c>
      <c r="D518" s="131" t="n">
        <f aca="false">'🤖 Reka Flash'!E23</f>
        <v>0.1809045226</v>
      </c>
      <c r="E518" s="118" t="n">
        <f aca="false">'🤖 Reka Flash'!F23</f>
        <v>5</v>
      </c>
      <c r="F518" s="118" t="n">
        <f aca="false">'🤖 Reka Flash'!G23</f>
        <v>5</v>
      </c>
      <c r="G518" s="118" t="n">
        <f aca="false">'🤖 Reka Flash'!H23</f>
        <v>4</v>
      </c>
      <c r="H518" s="118" t="n">
        <f aca="false">'🤖 Reka Flash'!I23</f>
        <v>4</v>
      </c>
      <c r="I518" s="118" t="n">
        <f aca="false">'🤖 Reka Flash'!J23</f>
        <v>4</v>
      </c>
    </row>
    <row r="519" customFormat="false" ht="15.75" hidden="false" customHeight="false" outlineLevel="0" collapsed="false">
      <c r="A519" s="116" t="str">
        <f aca="false">'🤖 Reka Flash'!$A$22</f>
        <v>https://www.berria.eus/kirola/artolak-nagusitasunez-irabazi-dio-zabaleri_2124679_102.html</v>
      </c>
      <c r="B519" s="3" t="s">
        <v>23</v>
      </c>
      <c r="C519" s="5" t="str">
        <f aca="false">'🤖 Reka Flash'!C24</f>
        <v>5W1H</v>
      </c>
      <c r="D519" s="124" t="n">
        <f aca="false">'🤖 Reka Flash'!E24</f>
        <v>0.2110552764</v>
      </c>
      <c r="E519" s="118" t="n">
        <f aca="false">'🤖 Reka Flash'!F24</f>
        <v>3</v>
      </c>
      <c r="F519" s="118" t="n">
        <f aca="false">'🤖 Reka Flash'!G24</f>
        <v>5</v>
      </c>
      <c r="G519" s="118" t="n">
        <f aca="false">'🤖 Reka Flash'!H24</f>
        <v>4</v>
      </c>
      <c r="H519" s="118" t="n">
        <f aca="false">'🤖 Reka Flash'!I24</f>
        <v>4</v>
      </c>
      <c r="I519" s="118" t="n">
        <f aca="false">'🤖 Reka Flash'!J24</f>
        <v>4</v>
      </c>
    </row>
    <row r="520" customFormat="false" ht="15.75" hidden="false" customHeight="false" outlineLevel="0" collapsed="false">
      <c r="A520" s="116" t="str">
        <f aca="false">'🤖 Reka Flash'!$A$22</f>
        <v>https://www.berria.eus/kirola/artolak-nagusitasunez-irabazi-dio-zabaleri_2124679_102.html</v>
      </c>
      <c r="B520" s="3" t="s">
        <v>23</v>
      </c>
      <c r="C520" s="5" t="str">
        <f aca="false">'🤖 Reka Flash'!C25</f>
        <v>tldr</v>
      </c>
      <c r="D520" s="142" t="n">
        <f aca="false">'🤖 Reka Flash'!E25</f>
        <v>0.1407035176</v>
      </c>
      <c r="E520" s="118" t="n">
        <f aca="false">'🤖 Reka Flash'!F25</f>
        <v>4</v>
      </c>
      <c r="F520" s="118" t="n">
        <f aca="false">'🤖 Reka Flash'!G25</f>
        <v>4</v>
      </c>
      <c r="G520" s="118" t="n">
        <f aca="false">'🤖 Reka Flash'!H25</f>
        <v>4</v>
      </c>
      <c r="H520" s="118" t="n">
        <f aca="false">'🤖 Reka Flash'!I25</f>
        <v>5</v>
      </c>
      <c r="I520" s="118" t="n">
        <f aca="false">'🤖 Reka Flash'!J25</f>
        <v>3</v>
      </c>
    </row>
    <row r="521" customFormat="false" ht="15.75" hidden="false" customHeight="false" outlineLevel="0" collapsed="false">
      <c r="A521" s="8"/>
      <c r="B521" s="8"/>
      <c r="C521" s="50"/>
      <c r="D521" s="8"/>
      <c r="E521" s="50"/>
      <c r="F521" s="50"/>
      <c r="G521" s="50"/>
      <c r="H521" s="50"/>
      <c r="I521" s="50"/>
    </row>
    <row r="522" customFormat="false" ht="15.75" hidden="false" customHeight="false" outlineLevel="0" collapsed="false">
      <c r="A522" s="116" t="str">
        <f aca="false">'🤖 Reka Flash'!$A$27</f>
        <v>https://www.berria.eus/mundua/gutxienez-40-hildako-eta-dozenaka-zauritu-moskun-gertatutako-tiroketa-batean_2122731_102.html</v>
      </c>
      <c r="B522" s="3" t="s">
        <v>23</v>
      </c>
      <c r="C522" s="5" t="str">
        <f aca="false">'🤖 Reka Flash'!C27</f>
        <v>Base</v>
      </c>
      <c r="D522" s="175" t="n">
        <f aca="false">'🤖 Reka Flash'!E27</f>
        <v>0.5571847507</v>
      </c>
      <c r="E522" s="118" t="n">
        <f aca="false">'🤖 Reka Flash'!F27</f>
        <v>4</v>
      </c>
      <c r="F522" s="118" t="n">
        <f aca="false">'🤖 Reka Flash'!G27</f>
        <v>4</v>
      </c>
      <c r="G522" s="118" t="n">
        <f aca="false">'🤖 Reka Flash'!H27</f>
        <v>4</v>
      </c>
      <c r="H522" s="118" t="n">
        <f aca="false">'🤖 Reka Flash'!I27</f>
        <v>4</v>
      </c>
      <c r="I522" s="118" t="n">
        <f aca="false">'🤖 Reka Flash'!J27</f>
        <v>5</v>
      </c>
    </row>
    <row r="523" customFormat="false" ht="15.75" hidden="false" customHeight="false" outlineLevel="0" collapsed="false">
      <c r="A523" s="116" t="str">
        <f aca="false">'🤖 Reka Flash'!$A$27</f>
        <v>https://www.berria.eus/mundua/gutxienez-40-hildako-eta-dozenaka-zauritu-moskun-gertatutako-tiroketa-batean_2122731_102.html</v>
      </c>
      <c r="B523" s="3" t="s">
        <v>23</v>
      </c>
      <c r="C523" s="5" t="str">
        <f aca="false">'🤖 Reka Flash'!C28</f>
        <v>CoT</v>
      </c>
      <c r="D523" s="170" t="n">
        <f aca="false">'🤖 Reka Flash'!E28</f>
        <v>0.2815249267</v>
      </c>
      <c r="E523" s="118" t="n">
        <f aca="false">'🤖 Reka Flash'!F28</f>
        <v>3</v>
      </c>
      <c r="F523" s="118" t="n">
        <f aca="false">'🤖 Reka Flash'!G28</f>
        <v>3</v>
      </c>
      <c r="G523" s="118" t="n">
        <f aca="false">'🤖 Reka Flash'!H28</f>
        <v>4</v>
      </c>
      <c r="H523" s="118" t="n">
        <f aca="false">'🤖 Reka Flash'!I28</f>
        <v>4</v>
      </c>
      <c r="I523" s="118" t="n">
        <f aca="false">'🤖 Reka Flash'!J28</f>
        <v>5</v>
      </c>
    </row>
    <row r="524" customFormat="false" ht="15.75" hidden="false" customHeight="false" outlineLevel="0" collapsed="false">
      <c r="A524" s="116" t="str">
        <f aca="false">'🤖 Reka Flash'!$A$27</f>
        <v>https://www.berria.eus/mundua/gutxienez-40-hildako-eta-dozenaka-zauritu-moskun-gertatutako-tiroketa-batean_2122731_102.html</v>
      </c>
      <c r="B524" s="3" t="s">
        <v>23</v>
      </c>
      <c r="C524" s="5" t="str">
        <f aca="false">'🤖 Reka Flash'!C29</f>
        <v>5W1H</v>
      </c>
      <c r="D524" s="176" t="n">
        <f aca="false">'🤖 Reka Flash'!E29</f>
        <v>0.2785923754</v>
      </c>
      <c r="E524" s="118" t="n">
        <f aca="false">'🤖 Reka Flash'!F29</f>
        <v>2</v>
      </c>
      <c r="F524" s="118" t="n">
        <f aca="false">'🤖 Reka Flash'!G29</f>
        <v>4</v>
      </c>
      <c r="G524" s="118" t="n">
        <f aca="false">'🤖 Reka Flash'!H29</f>
        <v>4</v>
      </c>
      <c r="H524" s="118" t="n">
        <f aca="false">'🤖 Reka Flash'!I29</f>
        <v>4</v>
      </c>
      <c r="I524" s="118" t="n">
        <f aca="false">'🤖 Reka Flash'!J29</f>
        <v>4</v>
      </c>
    </row>
    <row r="525" customFormat="false" ht="15.75" hidden="false" customHeight="false" outlineLevel="0" collapsed="false">
      <c r="A525" s="116" t="str">
        <f aca="false">'🤖 Reka Flash'!$A$27</f>
        <v>https://www.berria.eus/mundua/gutxienez-40-hildako-eta-dozenaka-zauritu-moskun-gertatutako-tiroketa-batean_2122731_102.html</v>
      </c>
      <c r="B525" s="3" t="s">
        <v>23</v>
      </c>
      <c r="C525" s="5" t="str">
        <f aca="false">'🤖 Reka Flash'!C30</f>
        <v>tldr</v>
      </c>
      <c r="D525" s="177" t="n">
        <f aca="false">'🤖 Reka Flash'!E30</f>
        <v>0.2434017595</v>
      </c>
      <c r="E525" s="118" t="n">
        <f aca="false">'🤖 Reka Flash'!F30</f>
        <v>3</v>
      </c>
      <c r="F525" s="118" t="n">
        <f aca="false">'🤖 Reka Flash'!G30</f>
        <v>5</v>
      </c>
      <c r="G525" s="118" t="n">
        <f aca="false">'🤖 Reka Flash'!H30</f>
        <v>4</v>
      </c>
      <c r="H525" s="118" t="n">
        <f aca="false">'🤖 Reka Flash'!I30</f>
        <v>5</v>
      </c>
      <c r="I525" s="118" t="n">
        <f aca="false">'🤖 Reka Flash'!J30</f>
        <v>5</v>
      </c>
    </row>
    <row r="526" customFormat="false" ht="15.75" hidden="false" customHeight="false" outlineLevel="0" collapsed="false">
      <c r="A526" s="8"/>
      <c r="B526" s="8"/>
      <c r="C526" s="50"/>
      <c r="D526" s="8"/>
      <c r="E526" s="50"/>
      <c r="F526" s="50"/>
      <c r="G526" s="50"/>
      <c r="H526" s="50"/>
      <c r="I526" s="50"/>
    </row>
    <row r="527" customFormat="false" ht="15.75" hidden="false" customHeight="false" outlineLevel="0" collapsed="false">
      <c r="A527" s="116" t="str">
        <f aca="false">'🤖 Reka Flash'!$A$32</f>
        <v>https://www.berria.eus/bizigiro/ohartu-behar-dugu-bizi-garen-jendartea-dominazioaren-kultura-batean-oinarritzen-dela_2121952_102.html</v>
      </c>
      <c r="B527" s="3" t="s">
        <v>23</v>
      </c>
      <c r="C527" s="5" t="str">
        <f aca="false">'🤖 Reka Flash'!C32</f>
        <v>Base</v>
      </c>
      <c r="D527" s="152" t="n">
        <f aca="false">'🤖 Reka Flash'!E32</f>
        <v>0.1655290102</v>
      </c>
      <c r="E527" s="118" t="n">
        <f aca="false">'🤖 Reka Flash'!F32</f>
        <v>4</v>
      </c>
      <c r="F527" s="118" t="n">
        <f aca="false">'🤖 Reka Flash'!G32</f>
        <v>4</v>
      </c>
      <c r="G527" s="118" t="n">
        <f aca="false">'🤖 Reka Flash'!H32</f>
        <v>4</v>
      </c>
      <c r="H527" s="118" t="n">
        <f aca="false">'🤖 Reka Flash'!I32</f>
        <v>4</v>
      </c>
      <c r="I527" s="118" t="n">
        <f aca="false">'🤖 Reka Flash'!J32</f>
        <v>4</v>
      </c>
    </row>
    <row r="528" customFormat="false" ht="15.75" hidden="false" customHeight="false" outlineLevel="0" collapsed="false">
      <c r="A528" s="116" t="str">
        <f aca="false">'🤖 Reka Flash'!$A$32</f>
        <v>https://www.berria.eus/bizigiro/ohartu-behar-dugu-bizi-garen-jendartea-dominazioaren-kultura-batean-oinarritzen-dela_2121952_102.html</v>
      </c>
      <c r="B528" s="3" t="s">
        <v>23</v>
      </c>
      <c r="C528" s="5" t="str">
        <f aca="false">'🤖 Reka Flash'!C33</f>
        <v>CoT</v>
      </c>
      <c r="D528" s="166" t="n">
        <f aca="false">'🤖 Reka Flash'!E33</f>
        <v>0.1075085324</v>
      </c>
      <c r="E528" s="118" t="n">
        <f aca="false">'🤖 Reka Flash'!F33</f>
        <v>5</v>
      </c>
      <c r="F528" s="118" t="n">
        <f aca="false">'🤖 Reka Flash'!G33</f>
        <v>4</v>
      </c>
      <c r="G528" s="118" t="n">
        <f aca="false">'🤖 Reka Flash'!H33</f>
        <v>5</v>
      </c>
      <c r="H528" s="118" t="n">
        <f aca="false">'🤖 Reka Flash'!I33</f>
        <v>4</v>
      </c>
      <c r="I528" s="118" t="n">
        <f aca="false">'🤖 Reka Flash'!J33</f>
        <v>2</v>
      </c>
    </row>
    <row r="529" customFormat="false" ht="15.75" hidden="false" customHeight="false" outlineLevel="0" collapsed="false">
      <c r="A529" s="116" t="str">
        <f aca="false">'🤖 Reka Flash'!$A$32</f>
        <v>https://www.berria.eus/bizigiro/ohartu-behar-dugu-bizi-garen-jendartea-dominazioaren-kultura-batean-oinarritzen-dela_2121952_102.html</v>
      </c>
      <c r="B529" s="3" t="s">
        <v>23</v>
      </c>
      <c r="C529" s="5" t="str">
        <f aca="false">'🤖 Reka Flash'!C34</f>
        <v>5W1H</v>
      </c>
      <c r="D529" s="178" t="n">
        <f aca="false">'🤖 Reka Flash'!E34</f>
        <v>0.1689419795</v>
      </c>
      <c r="E529" s="118" t="n">
        <f aca="false">'🤖 Reka Flash'!F34</f>
        <v>2</v>
      </c>
      <c r="F529" s="118" t="n">
        <f aca="false">'🤖 Reka Flash'!G34</f>
        <v>3</v>
      </c>
      <c r="G529" s="118" t="n">
        <f aca="false">'🤖 Reka Flash'!H34</f>
        <v>4</v>
      </c>
      <c r="H529" s="118" t="n">
        <f aca="false">'🤖 Reka Flash'!I34</f>
        <v>3</v>
      </c>
      <c r="I529" s="118" t="n">
        <f aca="false">'🤖 Reka Flash'!J34</f>
        <v>3</v>
      </c>
    </row>
    <row r="530" customFormat="false" ht="15.75" hidden="false" customHeight="false" outlineLevel="0" collapsed="false">
      <c r="A530" s="116" t="str">
        <f aca="false">'🤖 Reka Flash'!$A$32</f>
        <v>https://www.berria.eus/bizigiro/ohartu-behar-dugu-bizi-garen-jendartea-dominazioaren-kultura-batean-oinarritzen-dela_2121952_102.html</v>
      </c>
      <c r="B530" s="3" t="s">
        <v>23</v>
      </c>
      <c r="C530" s="5" t="str">
        <f aca="false">'🤖 Reka Flash'!C35</f>
        <v>tldr</v>
      </c>
      <c r="D530" s="157" t="n">
        <f aca="false">'🤖 Reka Flash'!E35</f>
        <v>0.1399317406</v>
      </c>
      <c r="E530" s="118" t="n">
        <f aca="false">'🤖 Reka Flash'!F35</f>
        <v>5</v>
      </c>
      <c r="F530" s="118" t="n">
        <f aca="false">'🤖 Reka Flash'!G35</f>
        <v>4</v>
      </c>
      <c r="G530" s="118" t="n">
        <f aca="false">'🤖 Reka Flash'!H35</f>
        <v>5</v>
      </c>
      <c r="H530" s="118" t="n">
        <f aca="false">'🤖 Reka Flash'!I35</f>
        <v>4</v>
      </c>
      <c r="I530" s="118" t="n">
        <f aca="false">'🤖 Reka Flash'!J35</f>
        <v>4</v>
      </c>
    </row>
    <row r="531" customFormat="false" ht="15.75" hidden="false" customHeight="false" outlineLevel="0" collapsed="false">
      <c r="A531" s="8"/>
      <c r="B531" s="8"/>
      <c r="C531" s="50"/>
      <c r="D531" s="8"/>
      <c r="E531" s="50"/>
      <c r="F531" s="50"/>
      <c r="G531" s="50"/>
      <c r="H531" s="50"/>
      <c r="I531" s="50"/>
    </row>
    <row r="532" customFormat="false" ht="15.75" hidden="false" customHeight="false" outlineLevel="0" collapsed="false">
      <c r="A532" s="116" t="str">
        <f aca="false">'🤖 Reka Flash'!$A$37</f>
        <v>https://www.berria.eus/ekonomia/energiaren-euskal-erakundea-energia-konpainien-zergaren-aurka_234607_102.html</v>
      </c>
      <c r="B532" s="3" t="s">
        <v>23</v>
      </c>
      <c r="C532" s="5" t="str">
        <f aca="false">'🤖 Reka Flash'!C37</f>
        <v>Base</v>
      </c>
      <c r="D532" s="148" t="n">
        <f aca="false">'🤖 Reka Flash'!E37</f>
        <v>0.3887399464</v>
      </c>
      <c r="E532" s="118" t="n">
        <f aca="false">'🤖 Reka Flash'!F37</f>
        <v>5</v>
      </c>
      <c r="F532" s="118" t="n">
        <f aca="false">'🤖 Reka Flash'!G37</f>
        <v>4</v>
      </c>
      <c r="G532" s="118" t="n">
        <f aca="false">'🤖 Reka Flash'!H37</f>
        <v>4</v>
      </c>
      <c r="H532" s="118" t="n">
        <f aca="false">'🤖 Reka Flash'!I37</f>
        <v>5</v>
      </c>
      <c r="I532" s="118" t="n">
        <f aca="false">'🤖 Reka Flash'!J37</f>
        <v>4</v>
      </c>
    </row>
    <row r="533" customFormat="false" ht="15.75" hidden="false" customHeight="false" outlineLevel="0" collapsed="false">
      <c r="A533" s="116" t="str">
        <f aca="false">'🤖 Reka Flash'!$A$37</f>
        <v>https://www.berria.eus/ekonomia/energiaren-euskal-erakundea-energia-konpainien-zergaren-aurka_234607_102.html</v>
      </c>
      <c r="B533" s="3" t="s">
        <v>23</v>
      </c>
      <c r="C533" s="5" t="str">
        <f aca="false">'🤖 Reka Flash'!C38</f>
        <v>CoT</v>
      </c>
      <c r="D533" s="142" t="n">
        <f aca="false">'🤖 Reka Flash'!E38</f>
        <v>0.2949061662</v>
      </c>
      <c r="E533" s="118" t="n">
        <f aca="false">'🤖 Reka Flash'!F38</f>
        <v>4</v>
      </c>
      <c r="F533" s="118" t="n">
        <f aca="false">'🤖 Reka Flash'!G38</f>
        <v>4</v>
      </c>
      <c r="G533" s="118" t="n">
        <f aca="false">'🤖 Reka Flash'!H38</f>
        <v>4</v>
      </c>
      <c r="H533" s="118" t="n">
        <f aca="false">'🤖 Reka Flash'!I38</f>
        <v>3</v>
      </c>
      <c r="I533" s="118" t="n">
        <f aca="false">'🤖 Reka Flash'!J38</f>
        <v>4</v>
      </c>
    </row>
    <row r="534" customFormat="false" ht="15.75" hidden="false" customHeight="false" outlineLevel="0" collapsed="false">
      <c r="A534" s="116" t="str">
        <f aca="false">'🤖 Reka Flash'!$A$37</f>
        <v>https://www.berria.eus/ekonomia/energiaren-euskal-erakundea-energia-konpainien-zergaren-aurka_234607_102.html</v>
      </c>
      <c r="B534" s="3" t="s">
        <v>23</v>
      </c>
      <c r="C534" s="5" t="str">
        <f aca="false">'🤖 Reka Flash'!C39</f>
        <v>5W1H</v>
      </c>
      <c r="D534" s="179" t="n">
        <f aca="false">'🤖 Reka Flash'!E39</f>
        <v>0.3297587131</v>
      </c>
      <c r="E534" s="118" t="n">
        <f aca="false">'🤖 Reka Flash'!F39</f>
        <v>3</v>
      </c>
      <c r="F534" s="118" t="n">
        <f aca="false">'🤖 Reka Flash'!G39</f>
        <v>3</v>
      </c>
      <c r="G534" s="118" t="n">
        <f aca="false">'🤖 Reka Flash'!H39</f>
        <v>4</v>
      </c>
      <c r="H534" s="118" t="n">
        <f aca="false">'🤖 Reka Flash'!I39</f>
        <v>4</v>
      </c>
      <c r="I534" s="118" t="n">
        <f aca="false">'🤖 Reka Flash'!J39</f>
        <v>4</v>
      </c>
    </row>
    <row r="535" customFormat="false" ht="15.75" hidden="false" customHeight="false" outlineLevel="0" collapsed="false">
      <c r="A535" s="116" t="str">
        <f aca="false">'🤖 Reka Flash'!$A$37</f>
        <v>https://www.berria.eus/ekonomia/energiaren-euskal-erakundea-energia-konpainien-zergaren-aurka_234607_102.html</v>
      </c>
      <c r="B535" s="3" t="s">
        <v>23</v>
      </c>
      <c r="C535" s="5" t="str">
        <f aca="false">'🤖 Reka Flash'!C40</f>
        <v>tldr</v>
      </c>
      <c r="D535" s="137" t="n">
        <f aca="false">'🤖 Reka Flash'!E40</f>
        <v>0.2332439678</v>
      </c>
      <c r="E535" s="118" t="n">
        <f aca="false">'🤖 Reka Flash'!F40</f>
        <v>5</v>
      </c>
      <c r="F535" s="118" t="n">
        <f aca="false">'🤖 Reka Flash'!G40</f>
        <v>5</v>
      </c>
      <c r="G535" s="118" t="n">
        <f aca="false">'🤖 Reka Flash'!H40</f>
        <v>4</v>
      </c>
      <c r="H535" s="118" t="n">
        <f aca="false">'🤖 Reka Flash'!I40</f>
        <v>5</v>
      </c>
      <c r="I535" s="118" t="n">
        <f aca="false">'🤖 Reka Flash'!J40</f>
        <v>4</v>
      </c>
    </row>
    <row r="536" customFormat="false" ht="15.75" hidden="false" customHeight="false" outlineLevel="0" collapsed="false">
      <c r="A536" s="8"/>
      <c r="B536" s="8"/>
      <c r="C536" s="50"/>
      <c r="D536" s="8"/>
      <c r="E536" s="50"/>
      <c r="F536" s="50"/>
      <c r="G536" s="50"/>
      <c r="H536" s="50"/>
      <c r="I536" s="50"/>
    </row>
    <row r="537" customFormat="false" ht="15.75" hidden="false" customHeight="false" outlineLevel="0" collapsed="false">
      <c r="A537" s="116" t="str">
        <f aca="false">'🤖 Reka Flash'!$A$42</f>
        <v>https://www.berria.eus/kultura/benat-arrutik-irabazi-du-donostia-kultura-vii-poesia-lehiaketa_2122642_102.html</v>
      </c>
      <c r="B537" s="3" t="s">
        <v>23</v>
      </c>
      <c r="C537" s="5" t="str">
        <f aca="false">'🤖 Reka Flash'!C42</f>
        <v>Base</v>
      </c>
      <c r="D537" s="180" t="n">
        <f aca="false">'🤖 Reka Flash'!E42</f>
        <v>0.5047169811</v>
      </c>
      <c r="E537" s="118" t="n">
        <f aca="false">'🤖 Reka Flash'!F42</f>
        <v>5</v>
      </c>
      <c r="F537" s="118" t="n">
        <f aca="false">'🤖 Reka Flash'!G42</f>
        <v>4</v>
      </c>
      <c r="G537" s="118" t="n">
        <f aca="false">'🤖 Reka Flash'!H42</f>
        <v>5</v>
      </c>
      <c r="H537" s="118" t="n">
        <f aca="false">'🤖 Reka Flash'!I42</f>
        <v>4</v>
      </c>
      <c r="I537" s="118" t="n">
        <f aca="false">'🤖 Reka Flash'!J42</f>
        <v>5</v>
      </c>
    </row>
    <row r="538" customFormat="false" ht="15.75" hidden="false" customHeight="false" outlineLevel="0" collapsed="false">
      <c r="A538" s="116" t="str">
        <f aca="false">'🤖 Reka Flash'!$A$42</f>
        <v>https://www.berria.eus/kultura/benat-arrutik-irabazi-du-donostia-kultura-vii-poesia-lehiaketa_2122642_102.html</v>
      </c>
      <c r="B538" s="3" t="s">
        <v>23</v>
      </c>
      <c r="C538" s="5" t="str">
        <f aca="false">'🤖 Reka Flash'!C43</f>
        <v>CoT</v>
      </c>
      <c r="D538" s="121" t="n">
        <f aca="false">'🤖 Reka Flash'!E43</f>
        <v>0.3018867925</v>
      </c>
      <c r="E538" s="118" t="n">
        <f aca="false">'🤖 Reka Flash'!F43</f>
        <v>4</v>
      </c>
      <c r="F538" s="118" t="n">
        <f aca="false">'🤖 Reka Flash'!G43</f>
        <v>5</v>
      </c>
      <c r="G538" s="118" t="n">
        <f aca="false">'🤖 Reka Flash'!H43</f>
        <v>4</v>
      </c>
      <c r="H538" s="118" t="n">
        <f aca="false">'🤖 Reka Flash'!I43</f>
        <v>4</v>
      </c>
      <c r="I538" s="118" t="n">
        <f aca="false">'🤖 Reka Flash'!J43</f>
        <v>5</v>
      </c>
    </row>
    <row r="539" customFormat="false" ht="15.75" hidden="false" customHeight="false" outlineLevel="0" collapsed="false">
      <c r="A539" s="116" t="str">
        <f aca="false">'🤖 Reka Flash'!$A$42</f>
        <v>https://www.berria.eus/kultura/benat-arrutik-irabazi-du-donostia-kultura-vii-poesia-lehiaketa_2122642_102.html</v>
      </c>
      <c r="B539" s="3" t="s">
        <v>23</v>
      </c>
      <c r="C539" s="5" t="str">
        <f aca="false">'🤖 Reka Flash'!C44</f>
        <v>5W1H</v>
      </c>
      <c r="D539" s="181" t="n">
        <f aca="false">'🤖 Reka Flash'!E44</f>
        <v>0.6367924528</v>
      </c>
      <c r="E539" s="118" t="n">
        <f aca="false">'🤖 Reka Flash'!F44</f>
        <v>3</v>
      </c>
      <c r="F539" s="118" t="n">
        <f aca="false">'🤖 Reka Flash'!G44</f>
        <v>4</v>
      </c>
      <c r="G539" s="118" t="n">
        <f aca="false">'🤖 Reka Flash'!H44</f>
        <v>5</v>
      </c>
      <c r="H539" s="118" t="n">
        <f aca="false">'🤖 Reka Flash'!I44</f>
        <v>4</v>
      </c>
      <c r="I539" s="118" t="n">
        <f aca="false">'🤖 Reka Flash'!J44</f>
        <v>5</v>
      </c>
    </row>
    <row r="540" customFormat="false" ht="15.75" hidden="false" customHeight="false" outlineLevel="0" collapsed="false">
      <c r="A540" s="116" t="str">
        <f aca="false">'🤖 Reka Flash'!$A$42</f>
        <v>https://www.berria.eus/kultura/benat-arrutik-irabazi-du-donostia-kultura-vii-poesia-lehiaketa_2122642_102.html</v>
      </c>
      <c r="B540" s="3" t="s">
        <v>23</v>
      </c>
      <c r="C540" s="5" t="str">
        <f aca="false">'🤖 Reka Flash'!C45</f>
        <v>tldr</v>
      </c>
      <c r="D540" s="180" t="n">
        <f aca="false">'🤖 Reka Flash'!E45</f>
        <v>0.2830188679</v>
      </c>
      <c r="E540" s="118" t="n">
        <f aca="false">'🤖 Reka Flash'!F45</f>
        <v>4</v>
      </c>
      <c r="F540" s="118" t="n">
        <f aca="false">'🤖 Reka Flash'!G45</f>
        <v>5</v>
      </c>
      <c r="G540" s="118" t="n">
        <f aca="false">'🤖 Reka Flash'!H45</f>
        <v>5</v>
      </c>
      <c r="H540" s="118" t="n">
        <f aca="false">'🤖 Reka Flash'!I45</f>
        <v>4</v>
      </c>
      <c r="I540" s="118" t="n">
        <f aca="false">'🤖 Reka Flash'!J45</f>
        <v>5</v>
      </c>
    </row>
    <row r="541" customFormat="false" ht="15.75" hidden="false" customHeight="false" outlineLevel="0" collapsed="false">
      <c r="A541" s="8"/>
      <c r="B541" s="8"/>
      <c r="C541" s="50"/>
      <c r="D541" s="8"/>
      <c r="E541" s="50"/>
      <c r="F541" s="50"/>
      <c r="G541" s="50"/>
      <c r="H541" s="50"/>
      <c r="I541" s="50"/>
    </row>
    <row r="542" customFormat="false" ht="15.75" hidden="false" customHeight="false" outlineLevel="0" collapsed="false">
      <c r="A542" s="116" t="str">
        <f aca="false">'🤖 Reka Flash'!$A$47</f>
        <v>https://www.berria.eus/mundua/aleksei-navalni-hil-da_2120844_102.html</v>
      </c>
      <c r="B542" s="3" t="s">
        <v>23</v>
      </c>
      <c r="C542" s="5" t="str">
        <f aca="false">'🤖 Reka Flash'!C47</f>
        <v>Base</v>
      </c>
      <c r="D542" s="170" t="n">
        <f aca="false">'🤖 Reka Flash'!E47</f>
        <v>0.2111650485</v>
      </c>
      <c r="E542" s="118" t="n">
        <f aca="false">'🤖 Reka Flash'!F47</f>
        <v>4</v>
      </c>
      <c r="F542" s="118" t="n">
        <f aca="false">'🤖 Reka Flash'!G47</f>
        <v>4</v>
      </c>
      <c r="G542" s="118" t="n">
        <f aca="false">'🤖 Reka Flash'!H47</f>
        <v>4</v>
      </c>
      <c r="H542" s="118" t="n">
        <f aca="false">'🤖 Reka Flash'!I47</f>
        <v>4</v>
      </c>
      <c r="I542" s="118" t="n">
        <f aca="false">'🤖 Reka Flash'!J47</f>
        <v>4</v>
      </c>
    </row>
    <row r="543" customFormat="false" ht="15.75" hidden="false" customHeight="false" outlineLevel="0" collapsed="false">
      <c r="A543" s="116" t="str">
        <f aca="false">'🤖 Reka Flash'!$A$47</f>
        <v>https://www.berria.eus/mundua/aleksei-navalni-hil-da_2120844_102.html</v>
      </c>
      <c r="B543" s="3" t="s">
        <v>23</v>
      </c>
      <c r="C543" s="5" t="str">
        <f aca="false">'🤖 Reka Flash'!C48</f>
        <v>CoT</v>
      </c>
      <c r="D543" s="120" t="n">
        <f aca="false">'🤖 Reka Flash'!E48</f>
        <v>0.2281553398</v>
      </c>
      <c r="E543" s="118" t="n">
        <f aca="false">'🤖 Reka Flash'!F48</f>
        <v>4</v>
      </c>
      <c r="F543" s="118" t="n">
        <f aca="false">'🤖 Reka Flash'!G48</f>
        <v>4</v>
      </c>
      <c r="G543" s="118" t="n">
        <f aca="false">'🤖 Reka Flash'!H48</f>
        <v>4</v>
      </c>
      <c r="H543" s="118" t="n">
        <f aca="false">'🤖 Reka Flash'!I48</f>
        <v>4</v>
      </c>
      <c r="I543" s="118" t="n">
        <f aca="false">'🤖 Reka Flash'!J48</f>
        <v>4</v>
      </c>
    </row>
    <row r="544" customFormat="false" ht="15.75" hidden="false" customHeight="false" outlineLevel="0" collapsed="false">
      <c r="A544" s="116" t="str">
        <f aca="false">'🤖 Reka Flash'!$A$47</f>
        <v>https://www.berria.eus/mundua/aleksei-navalni-hil-da_2120844_102.html</v>
      </c>
      <c r="B544" s="3" t="s">
        <v>23</v>
      </c>
      <c r="C544" s="5" t="str">
        <f aca="false">'🤖 Reka Flash'!C49</f>
        <v>5W1H</v>
      </c>
      <c r="D544" s="141" t="n">
        <f aca="false">'🤖 Reka Flash'!E49</f>
        <v>0.2597087379</v>
      </c>
      <c r="E544" s="118" t="n">
        <f aca="false">'🤖 Reka Flash'!F49</f>
        <v>3</v>
      </c>
      <c r="F544" s="118" t="n">
        <f aca="false">'🤖 Reka Flash'!G49</f>
        <v>4</v>
      </c>
      <c r="G544" s="118" t="n">
        <f aca="false">'🤖 Reka Flash'!H49</f>
        <v>4</v>
      </c>
      <c r="H544" s="118" t="n">
        <f aca="false">'🤖 Reka Flash'!I49</f>
        <v>4</v>
      </c>
      <c r="I544" s="118" t="n">
        <f aca="false">'🤖 Reka Flash'!J49</f>
        <v>5</v>
      </c>
    </row>
    <row r="545" customFormat="false" ht="15.75" hidden="false" customHeight="false" outlineLevel="0" collapsed="false">
      <c r="A545" s="116" t="str">
        <f aca="false">'🤖 Reka Flash'!$A$47</f>
        <v>https://www.berria.eus/mundua/aleksei-navalni-hil-da_2120844_102.html</v>
      </c>
      <c r="B545" s="3" t="s">
        <v>23</v>
      </c>
      <c r="C545" s="5" t="str">
        <f aca="false">'🤖 Reka Flash'!C50</f>
        <v>tldr</v>
      </c>
      <c r="D545" s="161" t="n">
        <f aca="false">'🤖 Reka Flash'!E50</f>
        <v>0.177184466</v>
      </c>
      <c r="E545" s="118" t="n">
        <f aca="false">'🤖 Reka Flash'!F50</f>
        <v>4</v>
      </c>
      <c r="F545" s="118" t="n">
        <f aca="false">'🤖 Reka Flash'!G50</f>
        <v>4</v>
      </c>
      <c r="G545" s="118" t="n">
        <f aca="false">'🤖 Reka Flash'!H50</f>
        <v>4</v>
      </c>
      <c r="H545" s="118" t="n">
        <f aca="false">'🤖 Reka Flash'!I50</f>
        <v>4</v>
      </c>
      <c r="I545" s="118" t="n">
        <f aca="false">'🤖 Reka Flash'!J50</f>
        <v>4</v>
      </c>
    </row>
    <row r="546" customFormat="false" ht="15.75" hidden="false" customHeight="false" outlineLevel="0" collapsed="false">
      <c r="A546" s="116"/>
      <c r="B546" s="3"/>
      <c r="C546" s="5"/>
      <c r="D546" s="161"/>
      <c r="E546" s="5"/>
      <c r="F546" s="5"/>
      <c r="G546" s="5"/>
      <c r="H546" s="5"/>
      <c r="I546" s="5"/>
    </row>
    <row r="547" customFormat="false" ht="15.75" hidden="false" customHeight="false" outlineLevel="0" collapsed="false">
      <c r="A547" s="116" t="n">
        <f aca="false">'🤖 Reka Flash'!$A$52</f>
        <v>0</v>
      </c>
      <c r="B547" s="3" t="s">
        <v>23</v>
      </c>
      <c r="C547" s="5" t="str">
        <f aca="false">'🤖 Reka Flash'!C52</f>
        <v>Base</v>
      </c>
      <c r="D547" s="161" t="n">
        <f aca="false">'🤖 Reka Flash'!E52</f>
        <v>0.002427184466</v>
      </c>
      <c r="E547" s="118" t="n">
        <f aca="false">'🤖 Reka Flash'!F52</f>
        <v>0</v>
      </c>
      <c r="F547" s="118" t="n">
        <f aca="false">'🤖 Reka Flash'!G52</f>
        <v>0</v>
      </c>
      <c r="G547" s="118" t="n">
        <f aca="false">'🤖 Reka Flash'!H52</f>
        <v>0</v>
      </c>
      <c r="H547" s="118" t="n">
        <f aca="false">'🤖 Reka Flash'!I52</f>
        <v>0</v>
      </c>
      <c r="I547" s="118" t="n">
        <f aca="false">'🤖 Reka Flash'!J52</f>
        <v>0</v>
      </c>
    </row>
    <row r="548" customFormat="false" ht="15.75" hidden="false" customHeight="false" outlineLevel="0" collapsed="false">
      <c r="A548" s="116" t="n">
        <f aca="false">'🤖 Reka Flash'!$A$52</f>
        <v>0</v>
      </c>
      <c r="B548" s="3" t="s">
        <v>23</v>
      </c>
      <c r="C548" s="5" t="str">
        <f aca="false">'🤖 Reka Flash'!C53</f>
        <v>CoT</v>
      </c>
      <c r="D548" s="161" t="n">
        <f aca="false">'🤖 Reka Flash'!E53</f>
        <v>0.002427184466</v>
      </c>
      <c r="E548" s="118" t="n">
        <f aca="false">'🤖 Reka Flash'!F53</f>
        <v>0</v>
      </c>
      <c r="F548" s="118" t="n">
        <f aca="false">'🤖 Reka Flash'!G53</f>
        <v>0</v>
      </c>
      <c r="G548" s="118" t="n">
        <f aca="false">'🤖 Reka Flash'!H53</f>
        <v>0</v>
      </c>
      <c r="H548" s="118" t="n">
        <f aca="false">'🤖 Reka Flash'!I53</f>
        <v>0</v>
      </c>
      <c r="I548" s="118" t="n">
        <f aca="false">'🤖 Reka Flash'!J53</f>
        <v>0</v>
      </c>
    </row>
    <row r="549" customFormat="false" ht="15.75" hidden="false" customHeight="false" outlineLevel="0" collapsed="false">
      <c r="A549" s="116" t="n">
        <f aca="false">'🤖 Reka Flash'!$A$52</f>
        <v>0</v>
      </c>
      <c r="B549" s="3" t="s">
        <v>23</v>
      </c>
      <c r="C549" s="5" t="str">
        <f aca="false">'🤖 Reka Flash'!C54</f>
        <v>5W1H</v>
      </c>
      <c r="D549" s="161" t="n">
        <f aca="false">'🤖 Reka Flash'!E54</f>
        <v>0.002427184466</v>
      </c>
      <c r="E549" s="118" t="n">
        <f aca="false">'🤖 Reka Flash'!F54</f>
        <v>0</v>
      </c>
      <c r="F549" s="118" t="n">
        <f aca="false">'🤖 Reka Flash'!G54</f>
        <v>0</v>
      </c>
      <c r="G549" s="118" t="n">
        <f aca="false">'🤖 Reka Flash'!H54</f>
        <v>0</v>
      </c>
      <c r="H549" s="118" t="n">
        <f aca="false">'🤖 Reka Flash'!I54</f>
        <v>0</v>
      </c>
      <c r="I549" s="118" t="n">
        <f aca="false">'🤖 Reka Flash'!J54</f>
        <v>0</v>
      </c>
    </row>
    <row r="550" customFormat="false" ht="15.75" hidden="false" customHeight="false" outlineLevel="0" collapsed="false">
      <c r="A550" s="116" t="n">
        <f aca="false">'🤖 Reka Flash'!$A$52</f>
        <v>0</v>
      </c>
      <c r="B550" s="3" t="s">
        <v>23</v>
      </c>
      <c r="C550" s="5" t="str">
        <f aca="false">'🤖 Reka Flash'!C55</f>
        <v>tldr</v>
      </c>
      <c r="D550" s="161" t="n">
        <f aca="false">'🤖 Reka Flash'!E55</f>
        <v>0.002427184466</v>
      </c>
      <c r="E550" s="118" t="n">
        <f aca="false">'🤖 Reka Flash'!F55</f>
        <v>0</v>
      </c>
      <c r="F550" s="118" t="n">
        <f aca="false">'🤖 Reka Flash'!G55</f>
        <v>0</v>
      </c>
      <c r="G550" s="118" t="n">
        <f aca="false">'🤖 Reka Flash'!H55</f>
        <v>0</v>
      </c>
      <c r="H550" s="118" t="n">
        <f aca="false">'🤖 Reka Flash'!I55</f>
        <v>0</v>
      </c>
      <c r="I550" s="118" t="n">
        <f aca="false">'🤖 Reka Flash'!J55</f>
        <v>0</v>
      </c>
    </row>
    <row r="551" customFormat="false" ht="15.75" hidden="false" customHeight="false" outlineLevel="0" collapsed="false">
      <c r="A551" s="116"/>
      <c r="B551" s="3"/>
      <c r="C551" s="5"/>
      <c r="D551" s="161"/>
      <c r="E551" s="5"/>
      <c r="F551" s="5"/>
      <c r="G551" s="5"/>
      <c r="H551" s="5"/>
      <c r="I551" s="5"/>
    </row>
    <row r="552" customFormat="false" ht="15.75" hidden="false" customHeight="false" outlineLevel="0" collapsed="false">
      <c r="A552" s="116" t="n">
        <f aca="false">'🤖 Reka Flash'!$A$57</f>
        <v>0</v>
      </c>
      <c r="B552" s="3" t="s">
        <v>23</v>
      </c>
      <c r="C552" s="5" t="str">
        <f aca="false">'🤖 Reka Flash'!C57</f>
        <v>Base</v>
      </c>
      <c r="D552" s="161" t="n">
        <f aca="false">'🤖 Reka Flash'!E57</f>
        <v>0.002427184466</v>
      </c>
      <c r="E552" s="118" t="n">
        <f aca="false">'🤖 Reka Flash'!F57</f>
        <v>0</v>
      </c>
      <c r="F552" s="118" t="n">
        <f aca="false">'🤖 Reka Flash'!G57</f>
        <v>0</v>
      </c>
      <c r="G552" s="118" t="n">
        <f aca="false">'🤖 Reka Flash'!H57</f>
        <v>0</v>
      </c>
      <c r="H552" s="118" t="n">
        <f aca="false">'🤖 Reka Flash'!I57</f>
        <v>0</v>
      </c>
      <c r="I552" s="118" t="n">
        <f aca="false">'🤖 Reka Flash'!J57</f>
        <v>0</v>
      </c>
    </row>
    <row r="553" customFormat="false" ht="15.75" hidden="false" customHeight="false" outlineLevel="0" collapsed="false">
      <c r="A553" s="116" t="n">
        <f aca="false">'🤖 Reka Flash'!$A$57</f>
        <v>0</v>
      </c>
      <c r="B553" s="3" t="s">
        <v>23</v>
      </c>
      <c r="C553" s="5" t="str">
        <f aca="false">'🤖 Reka Flash'!C58</f>
        <v>CoT</v>
      </c>
      <c r="D553" s="161" t="n">
        <f aca="false">'🤖 Reka Flash'!E58</f>
        <v>0.002427184466</v>
      </c>
      <c r="E553" s="118" t="n">
        <f aca="false">'🤖 Reka Flash'!F58</f>
        <v>0</v>
      </c>
      <c r="F553" s="118" t="n">
        <f aca="false">'🤖 Reka Flash'!G58</f>
        <v>0</v>
      </c>
      <c r="G553" s="118" t="n">
        <f aca="false">'🤖 Reka Flash'!H58</f>
        <v>0</v>
      </c>
      <c r="H553" s="118" t="n">
        <f aca="false">'🤖 Reka Flash'!I58</f>
        <v>0</v>
      </c>
      <c r="I553" s="118" t="n">
        <f aca="false">'🤖 Reka Flash'!J58</f>
        <v>0</v>
      </c>
    </row>
    <row r="554" customFormat="false" ht="15.75" hidden="false" customHeight="false" outlineLevel="0" collapsed="false">
      <c r="A554" s="116" t="n">
        <f aca="false">'🤖 Reka Flash'!$A$57</f>
        <v>0</v>
      </c>
      <c r="B554" s="3" t="s">
        <v>23</v>
      </c>
      <c r="C554" s="5" t="str">
        <f aca="false">'🤖 Reka Flash'!C59</f>
        <v>5W1H</v>
      </c>
      <c r="D554" s="161" t="n">
        <f aca="false">'🤖 Reka Flash'!E59</f>
        <v>0.002427184466</v>
      </c>
      <c r="E554" s="118" t="n">
        <f aca="false">'🤖 Reka Flash'!F59</f>
        <v>0</v>
      </c>
      <c r="F554" s="118" t="n">
        <f aca="false">'🤖 Reka Flash'!G59</f>
        <v>0</v>
      </c>
      <c r="G554" s="118" t="n">
        <f aca="false">'🤖 Reka Flash'!H59</f>
        <v>0</v>
      </c>
      <c r="H554" s="118" t="n">
        <f aca="false">'🤖 Reka Flash'!I59</f>
        <v>0</v>
      </c>
      <c r="I554" s="118" t="n">
        <f aca="false">'🤖 Reka Flash'!J59</f>
        <v>0</v>
      </c>
    </row>
    <row r="555" customFormat="false" ht="15.75" hidden="false" customHeight="false" outlineLevel="0" collapsed="false">
      <c r="A555" s="116" t="n">
        <f aca="false">'🤖 Reka Flash'!$A$57</f>
        <v>0</v>
      </c>
      <c r="B555" s="3" t="s">
        <v>23</v>
      </c>
      <c r="C555" s="5" t="str">
        <f aca="false">'🤖 Reka Flash'!C60</f>
        <v>tldr</v>
      </c>
      <c r="D555" s="161" t="n">
        <f aca="false">'🤖 Reka Flash'!E60</f>
        <v>0.002427184466</v>
      </c>
      <c r="E555" s="118" t="n">
        <f aca="false">'🤖 Reka Flash'!F60</f>
        <v>0</v>
      </c>
      <c r="F555" s="118" t="n">
        <f aca="false">'🤖 Reka Flash'!G60</f>
        <v>0</v>
      </c>
      <c r="G555" s="118" t="n">
        <f aca="false">'🤖 Reka Flash'!H60</f>
        <v>0</v>
      </c>
      <c r="H555" s="118" t="n">
        <f aca="false">'🤖 Reka Flash'!I60</f>
        <v>0</v>
      </c>
      <c r="I555" s="118" t="n">
        <f aca="false">'🤖 Reka Flash'!J60</f>
        <v>0</v>
      </c>
    </row>
    <row r="556" customFormat="false" ht="15.75" hidden="false" customHeight="false" outlineLevel="0" collapsed="false">
      <c r="A556" s="116"/>
      <c r="B556" s="3"/>
      <c r="C556" s="5"/>
      <c r="D556" s="161"/>
      <c r="E556" s="5"/>
      <c r="F556" s="5"/>
      <c r="G556" s="5"/>
      <c r="H556" s="5"/>
      <c r="I556" s="5"/>
    </row>
    <row r="557" customFormat="false" ht="15.75" hidden="false" customHeight="false" outlineLevel="0" collapsed="false">
      <c r="A557" s="116" t="n">
        <f aca="false">'🤖 Reka Flash'!$A$62</f>
        <v>0</v>
      </c>
      <c r="B557" s="3" t="s">
        <v>23</v>
      </c>
      <c r="C557" s="5" t="str">
        <f aca="false">'🤖 Reka Flash'!C62</f>
        <v>Base</v>
      </c>
      <c r="D557" s="161" t="n">
        <f aca="false">'🤖 Reka Flash'!E62</f>
        <v>0.002427184466</v>
      </c>
      <c r="E557" s="118" t="n">
        <f aca="false">'🤖 Reka Flash'!F62</f>
        <v>0</v>
      </c>
      <c r="F557" s="118" t="n">
        <f aca="false">'🤖 Reka Flash'!G62</f>
        <v>0</v>
      </c>
      <c r="G557" s="118" t="n">
        <f aca="false">'🤖 Reka Flash'!H62</f>
        <v>0</v>
      </c>
      <c r="H557" s="118" t="n">
        <f aca="false">'🤖 Reka Flash'!I62</f>
        <v>0</v>
      </c>
      <c r="I557" s="118" t="n">
        <f aca="false">'🤖 Reka Flash'!J62</f>
        <v>0</v>
      </c>
    </row>
    <row r="558" customFormat="false" ht="15.75" hidden="false" customHeight="false" outlineLevel="0" collapsed="false">
      <c r="A558" s="116" t="n">
        <f aca="false">'🤖 Reka Flash'!$A$62</f>
        <v>0</v>
      </c>
      <c r="B558" s="3" t="s">
        <v>23</v>
      </c>
      <c r="C558" s="5" t="str">
        <f aca="false">'🤖 Reka Flash'!C63</f>
        <v>CoT</v>
      </c>
      <c r="D558" s="161" t="n">
        <f aca="false">'🤖 Reka Flash'!E63</f>
        <v>0.002427184466</v>
      </c>
      <c r="E558" s="118" t="n">
        <f aca="false">'🤖 Reka Flash'!F63</f>
        <v>0</v>
      </c>
      <c r="F558" s="118" t="n">
        <f aca="false">'🤖 Reka Flash'!G63</f>
        <v>0</v>
      </c>
      <c r="G558" s="118" t="n">
        <f aca="false">'🤖 Reka Flash'!H63</f>
        <v>0</v>
      </c>
      <c r="H558" s="118" t="n">
        <f aca="false">'🤖 Reka Flash'!I63</f>
        <v>0</v>
      </c>
      <c r="I558" s="118" t="n">
        <f aca="false">'🤖 Reka Flash'!J63</f>
        <v>0</v>
      </c>
    </row>
    <row r="559" customFormat="false" ht="15.75" hidden="false" customHeight="false" outlineLevel="0" collapsed="false">
      <c r="A559" s="116" t="n">
        <f aca="false">'🤖 Reka Flash'!$A$62</f>
        <v>0</v>
      </c>
      <c r="B559" s="3" t="s">
        <v>23</v>
      </c>
      <c r="C559" s="5" t="str">
        <f aca="false">'🤖 Reka Flash'!C64</f>
        <v>5W1H</v>
      </c>
      <c r="D559" s="161" t="n">
        <f aca="false">'🤖 Reka Flash'!E64</f>
        <v>0.002427184466</v>
      </c>
      <c r="E559" s="118" t="n">
        <f aca="false">'🤖 Reka Flash'!F64</f>
        <v>0</v>
      </c>
      <c r="F559" s="118" t="n">
        <f aca="false">'🤖 Reka Flash'!G64</f>
        <v>0</v>
      </c>
      <c r="G559" s="118" t="n">
        <f aca="false">'🤖 Reka Flash'!H64</f>
        <v>0</v>
      </c>
      <c r="H559" s="118" t="n">
        <f aca="false">'🤖 Reka Flash'!I64</f>
        <v>0</v>
      </c>
      <c r="I559" s="118" t="n">
        <f aca="false">'🤖 Reka Flash'!J64</f>
        <v>0</v>
      </c>
    </row>
    <row r="560" customFormat="false" ht="15.75" hidden="false" customHeight="false" outlineLevel="0" collapsed="false">
      <c r="A560" s="116" t="n">
        <f aca="false">'🤖 Reka Flash'!$A$62</f>
        <v>0</v>
      </c>
      <c r="B560" s="3" t="s">
        <v>23</v>
      </c>
      <c r="C560" s="5" t="str">
        <f aca="false">'🤖 Reka Flash'!C65</f>
        <v>tldr</v>
      </c>
      <c r="D560" s="161" t="n">
        <f aca="false">'🤖 Reka Flash'!E65</f>
        <v>0.002427184466</v>
      </c>
      <c r="E560" s="118" t="n">
        <f aca="false">'🤖 Reka Flash'!F65</f>
        <v>0</v>
      </c>
      <c r="F560" s="118" t="n">
        <f aca="false">'🤖 Reka Flash'!G65</f>
        <v>0</v>
      </c>
      <c r="G560" s="118" t="n">
        <f aca="false">'🤖 Reka Flash'!H65</f>
        <v>0</v>
      </c>
      <c r="H560" s="118" t="n">
        <f aca="false">'🤖 Reka Flash'!I65</f>
        <v>0</v>
      </c>
      <c r="I560" s="118" t="n">
        <f aca="false">'🤖 Reka Flash'!J65</f>
        <v>0</v>
      </c>
    </row>
    <row r="561" customFormat="false" ht="15.75" hidden="false" customHeight="false" outlineLevel="0" collapsed="false">
      <c r="A561" s="116"/>
      <c r="B561" s="3"/>
      <c r="C561" s="5"/>
      <c r="D561" s="161"/>
      <c r="E561" s="5"/>
      <c r="F561" s="5"/>
      <c r="G561" s="5"/>
      <c r="H561" s="5"/>
      <c r="I561" s="5"/>
    </row>
    <row r="562" customFormat="false" ht="15.75" hidden="false" customHeight="false" outlineLevel="0" collapsed="false">
      <c r="A562" s="116" t="n">
        <f aca="false">'🤖 Reka Flash'!$A$67</f>
        <v>0</v>
      </c>
      <c r="B562" s="3" t="s">
        <v>23</v>
      </c>
      <c r="C562" s="5" t="str">
        <f aca="false">'🤖 Reka Flash'!C67</f>
        <v>Base</v>
      </c>
      <c r="D562" s="161" t="n">
        <f aca="false">'🤖 Reka Flash'!E67</f>
        <v>0.002427184466</v>
      </c>
      <c r="E562" s="118" t="n">
        <f aca="false">'🤖 Reka Flash'!F67</f>
        <v>0</v>
      </c>
      <c r="F562" s="118" t="n">
        <f aca="false">'🤖 Reka Flash'!G67</f>
        <v>0</v>
      </c>
      <c r="G562" s="118" t="n">
        <f aca="false">'🤖 Reka Flash'!H67</f>
        <v>0</v>
      </c>
      <c r="H562" s="118" t="n">
        <f aca="false">'🤖 Reka Flash'!I67</f>
        <v>0</v>
      </c>
      <c r="I562" s="118" t="n">
        <f aca="false">'🤖 Reka Flash'!J67</f>
        <v>0</v>
      </c>
    </row>
    <row r="563" customFormat="false" ht="15.75" hidden="false" customHeight="false" outlineLevel="0" collapsed="false">
      <c r="A563" s="116" t="n">
        <f aca="false">'🤖 Reka Flash'!$A$67</f>
        <v>0</v>
      </c>
      <c r="B563" s="3" t="s">
        <v>23</v>
      </c>
      <c r="C563" s="5" t="str">
        <f aca="false">'🤖 Reka Flash'!C68</f>
        <v>CoT</v>
      </c>
      <c r="D563" s="161" t="n">
        <f aca="false">'🤖 Reka Flash'!E68</f>
        <v>0.002427184466</v>
      </c>
      <c r="E563" s="118" t="n">
        <f aca="false">'🤖 Reka Flash'!F68</f>
        <v>0</v>
      </c>
      <c r="F563" s="118" t="n">
        <f aca="false">'🤖 Reka Flash'!G68</f>
        <v>0</v>
      </c>
      <c r="G563" s="118" t="n">
        <f aca="false">'🤖 Reka Flash'!H68</f>
        <v>0</v>
      </c>
      <c r="H563" s="118" t="n">
        <f aca="false">'🤖 Reka Flash'!I68</f>
        <v>0</v>
      </c>
      <c r="I563" s="118" t="n">
        <f aca="false">'🤖 Reka Flash'!J68</f>
        <v>0</v>
      </c>
    </row>
    <row r="564" customFormat="false" ht="15.75" hidden="false" customHeight="false" outlineLevel="0" collapsed="false">
      <c r="A564" s="116" t="n">
        <f aca="false">'🤖 Reka Flash'!$A$67</f>
        <v>0</v>
      </c>
      <c r="B564" s="3" t="s">
        <v>23</v>
      </c>
      <c r="C564" s="5" t="str">
        <f aca="false">'🤖 Reka Flash'!C69</f>
        <v>5W1H</v>
      </c>
      <c r="D564" s="161" t="n">
        <f aca="false">'🤖 Reka Flash'!E69</f>
        <v>0.002427184466</v>
      </c>
      <c r="E564" s="118" t="n">
        <f aca="false">'🤖 Reka Flash'!F69</f>
        <v>0</v>
      </c>
      <c r="F564" s="118" t="n">
        <f aca="false">'🤖 Reka Flash'!G69</f>
        <v>0</v>
      </c>
      <c r="G564" s="118" t="n">
        <f aca="false">'🤖 Reka Flash'!H69</f>
        <v>0</v>
      </c>
      <c r="H564" s="118" t="n">
        <f aca="false">'🤖 Reka Flash'!I69</f>
        <v>0</v>
      </c>
      <c r="I564" s="118" t="n">
        <f aca="false">'🤖 Reka Flash'!J69</f>
        <v>0</v>
      </c>
    </row>
    <row r="565" customFormat="false" ht="15.75" hidden="false" customHeight="false" outlineLevel="0" collapsed="false">
      <c r="A565" s="116" t="n">
        <f aca="false">'🤖 Reka Flash'!$A$67</f>
        <v>0</v>
      </c>
      <c r="B565" s="3" t="s">
        <v>23</v>
      </c>
      <c r="C565" s="5" t="str">
        <f aca="false">'🤖 Reka Flash'!C70</f>
        <v>tldr</v>
      </c>
      <c r="D565" s="161" t="n">
        <f aca="false">'🤖 Reka Flash'!E70</f>
        <v>0.002427184466</v>
      </c>
      <c r="E565" s="118" t="n">
        <f aca="false">'🤖 Reka Flash'!F70</f>
        <v>0</v>
      </c>
      <c r="F565" s="118" t="n">
        <f aca="false">'🤖 Reka Flash'!G70</f>
        <v>0</v>
      </c>
      <c r="G565" s="118" t="n">
        <f aca="false">'🤖 Reka Flash'!H70</f>
        <v>0</v>
      </c>
      <c r="H565" s="118" t="n">
        <f aca="false">'🤖 Reka Flash'!I70</f>
        <v>0</v>
      </c>
      <c r="I565" s="118" t="n">
        <f aca="false">'🤖 Reka Flash'!J70</f>
        <v>0</v>
      </c>
    </row>
    <row r="566" customFormat="false" ht="15.75" hidden="false" customHeight="false" outlineLevel="0" collapsed="false">
      <c r="A566" s="116"/>
      <c r="B566" s="3"/>
      <c r="C566" s="5"/>
      <c r="D566" s="161"/>
      <c r="E566" s="5"/>
      <c r="F566" s="5"/>
      <c r="G566" s="5"/>
      <c r="H566" s="5"/>
      <c r="I566" s="5"/>
    </row>
    <row r="567" customFormat="false" ht="15.75" hidden="false" customHeight="false" outlineLevel="0" collapsed="false">
      <c r="A567" s="116" t="n">
        <f aca="false">'🤖 Reka Flash'!$A$72</f>
        <v>0</v>
      </c>
      <c r="B567" s="3" t="s">
        <v>23</v>
      </c>
      <c r="C567" s="5" t="str">
        <f aca="false">'🤖 Reka Flash'!C72</f>
        <v>Base</v>
      </c>
      <c r="D567" s="161" t="n">
        <f aca="false">'🤖 Reka Flash'!E72</f>
        <v>0.002427184466</v>
      </c>
      <c r="E567" s="118" t="n">
        <f aca="false">'🤖 Reka Flash'!F72</f>
        <v>0</v>
      </c>
      <c r="F567" s="118" t="n">
        <f aca="false">'🤖 Reka Flash'!G72</f>
        <v>0</v>
      </c>
      <c r="G567" s="118" t="n">
        <f aca="false">'🤖 Reka Flash'!H72</f>
        <v>0</v>
      </c>
      <c r="H567" s="118" t="n">
        <f aca="false">'🤖 Reka Flash'!I72</f>
        <v>0</v>
      </c>
      <c r="I567" s="118" t="n">
        <f aca="false">'🤖 Reka Flash'!J72</f>
        <v>0</v>
      </c>
    </row>
    <row r="568" customFormat="false" ht="15.75" hidden="false" customHeight="false" outlineLevel="0" collapsed="false">
      <c r="A568" s="116" t="n">
        <f aca="false">'🤖 Reka Flash'!$A$72</f>
        <v>0</v>
      </c>
      <c r="B568" s="3" t="s">
        <v>23</v>
      </c>
      <c r="C568" s="5" t="str">
        <f aca="false">'🤖 Reka Flash'!C73</f>
        <v>CoT</v>
      </c>
      <c r="D568" s="161" t="n">
        <f aca="false">'🤖 Reka Flash'!E73</f>
        <v>0.002427184466</v>
      </c>
      <c r="E568" s="118" t="n">
        <f aca="false">'🤖 Reka Flash'!F73</f>
        <v>0</v>
      </c>
      <c r="F568" s="118" t="n">
        <f aca="false">'🤖 Reka Flash'!G73</f>
        <v>0</v>
      </c>
      <c r="G568" s="118" t="n">
        <f aca="false">'🤖 Reka Flash'!H73</f>
        <v>0</v>
      </c>
      <c r="H568" s="118" t="n">
        <f aca="false">'🤖 Reka Flash'!I73</f>
        <v>0</v>
      </c>
      <c r="I568" s="118" t="n">
        <f aca="false">'🤖 Reka Flash'!J73</f>
        <v>0</v>
      </c>
    </row>
    <row r="569" customFormat="false" ht="15.75" hidden="false" customHeight="false" outlineLevel="0" collapsed="false">
      <c r="A569" s="116" t="n">
        <f aca="false">'🤖 Reka Flash'!$A$72</f>
        <v>0</v>
      </c>
      <c r="B569" s="3" t="s">
        <v>23</v>
      </c>
      <c r="C569" s="5" t="str">
        <f aca="false">'🤖 Reka Flash'!C74</f>
        <v>5W1H</v>
      </c>
      <c r="D569" s="161" t="n">
        <f aca="false">'🤖 Reka Flash'!E74</f>
        <v>0.002427184466</v>
      </c>
      <c r="E569" s="118" t="n">
        <f aca="false">'🤖 Reka Flash'!F74</f>
        <v>0</v>
      </c>
      <c r="F569" s="118" t="n">
        <f aca="false">'🤖 Reka Flash'!G74</f>
        <v>0</v>
      </c>
      <c r="G569" s="118" t="n">
        <f aca="false">'🤖 Reka Flash'!H74</f>
        <v>0</v>
      </c>
      <c r="H569" s="118" t="n">
        <f aca="false">'🤖 Reka Flash'!I74</f>
        <v>0</v>
      </c>
      <c r="I569" s="118" t="n">
        <f aca="false">'🤖 Reka Flash'!J74</f>
        <v>0</v>
      </c>
    </row>
    <row r="570" customFormat="false" ht="15.75" hidden="false" customHeight="false" outlineLevel="0" collapsed="false">
      <c r="A570" s="116" t="n">
        <f aca="false">'🤖 Reka Flash'!$A$72</f>
        <v>0</v>
      </c>
      <c r="B570" s="3" t="s">
        <v>23</v>
      </c>
      <c r="C570" s="5" t="str">
        <f aca="false">'🤖 Reka Flash'!C75</f>
        <v>tldr</v>
      </c>
      <c r="D570" s="161" t="n">
        <f aca="false">'🤖 Reka Flash'!E75</f>
        <v>0.002427184466</v>
      </c>
      <c r="E570" s="118" t="n">
        <f aca="false">'🤖 Reka Flash'!F75</f>
        <v>0</v>
      </c>
      <c r="F570" s="118" t="n">
        <f aca="false">'🤖 Reka Flash'!G75</f>
        <v>0</v>
      </c>
      <c r="G570" s="118" t="n">
        <f aca="false">'🤖 Reka Flash'!H75</f>
        <v>0</v>
      </c>
      <c r="H570" s="118" t="n">
        <f aca="false">'🤖 Reka Flash'!I75</f>
        <v>0</v>
      </c>
      <c r="I570" s="118" t="n">
        <f aca="false">'🤖 Reka Flash'!J75</f>
        <v>0</v>
      </c>
    </row>
    <row r="571" customFormat="false" ht="15.75" hidden="false" customHeight="false" outlineLevel="0" collapsed="false">
      <c r="A571" s="116"/>
      <c r="B571" s="3"/>
      <c r="C571" s="5"/>
      <c r="D571" s="161"/>
      <c r="E571" s="5"/>
      <c r="F571" s="5"/>
      <c r="G571" s="5"/>
      <c r="H571" s="5"/>
      <c r="I571" s="5"/>
    </row>
    <row r="572" customFormat="false" ht="15.75" hidden="false" customHeight="false" outlineLevel="0" collapsed="false">
      <c r="A572" s="116" t="n">
        <f aca="false">'🤖 Reka Flash'!$A$77</f>
        <v>0</v>
      </c>
      <c r="B572" s="3" t="s">
        <v>23</v>
      </c>
      <c r="C572" s="5" t="str">
        <f aca="false">'🤖 Reka Flash'!C77</f>
        <v>Base</v>
      </c>
      <c r="D572" s="161" t="n">
        <f aca="false">'🤖 Reka Flash'!E77</f>
        <v>0.002427184466</v>
      </c>
      <c r="E572" s="118" t="n">
        <f aca="false">'🤖 Reka Flash'!F77</f>
        <v>0</v>
      </c>
      <c r="F572" s="118" t="n">
        <f aca="false">'🤖 Reka Flash'!G77</f>
        <v>0</v>
      </c>
      <c r="G572" s="118" t="n">
        <f aca="false">'🤖 Reka Flash'!H77</f>
        <v>0</v>
      </c>
      <c r="H572" s="118" t="n">
        <f aca="false">'🤖 Reka Flash'!I77</f>
        <v>0</v>
      </c>
      <c r="I572" s="118" t="n">
        <f aca="false">'🤖 Reka Flash'!J77</f>
        <v>0</v>
      </c>
    </row>
    <row r="573" customFormat="false" ht="15.75" hidden="false" customHeight="false" outlineLevel="0" collapsed="false">
      <c r="A573" s="116" t="n">
        <f aca="false">'🤖 Reka Flash'!$A$77</f>
        <v>0</v>
      </c>
      <c r="B573" s="3" t="s">
        <v>23</v>
      </c>
      <c r="C573" s="5" t="str">
        <f aca="false">'🤖 Reka Flash'!C78</f>
        <v>CoT</v>
      </c>
      <c r="D573" s="161" t="n">
        <f aca="false">'🤖 Reka Flash'!E78</f>
        <v>0.002427184466</v>
      </c>
      <c r="E573" s="118" t="n">
        <f aca="false">'🤖 Reka Flash'!F78</f>
        <v>0</v>
      </c>
      <c r="F573" s="118" t="n">
        <f aca="false">'🤖 Reka Flash'!G78</f>
        <v>0</v>
      </c>
      <c r="G573" s="118" t="n">
        <f aca="false">'🤖 Reka Flash'!H78</f>
        <v>0</v>
      </c>
      <c r="H573" s="118" t="n">
        <f aca="false">'🤖 Reka Flash'!I78</f>
        <v>0</v>
      </c>
      <c r="I573" s="118" t="n">
        <f aca="false">'🤖 Reka Flash'!J78</f>
        <v>0</v>
      </c>
    </row>
    <row r="574" customFormat="false" ht="15.75" hidden="false" customHeight="false" outlineLevel="0" collapsed="false">
      <c r="A574" s="116" t="n">
        <f aca="false">'🤖 Reka Flash'!$A$77</f>
        <v>0</v>
      </c>
      <c r="B574" s="3" t="s">
        <v>23</v>
      </c>
      <c r="C574" s="5" t="str">
        <f aca="false">'🤖 Reka Flash'!C79</f>
        <v>5W1H</v>
      </c>
      <c r="D574" s="161" t="n">
        <f aca="false">'🤖 Reka Flash'!E79</f>
        <v>0.002427184466</v>
      </c>
      <c r="E574" s="118" t="n">
        <f aca="false">'🤖 Reka Flash'!F79</f>
        <v>0</v>
      </c>
      <c r="F574" s="118" t="n">
        <f aca="false">'🤖 Reka Flash'!G79</f>
        <v>0</v>
      </c>
      <c r="G574" s="118" t="n">
        <f aca="false">'🤖 Reka Flash'!H79</f>
        <v>0</v>
      </c>
      <c r="H574" s="118" t="n">
        <f aca="false">'🤖 Reka Flash'!I79</f>
        <v>0</v>
      </c>
      <c r="I574" s="118" t="n">
        <f aca="false">'🤖 Reka Flash'!J79</f>
        <v>0</v>
      </c>
    </row>
    <row r="575" customFormat="false" ht="15.75" hidden="false" customHeight="false" outlineLevel="0" collapsed="false">
      <c r="A575" s="116" t="n">
        <f aca="false">'🤖 Reka Flash'!$A$77</f>
        <v>0</v>
      </c>
      <c r="B575" s="3" t="s">
        <v>23</v>
      </c>
      <c r="C575" s="5" t="str">
        <f aca="false">'🤖 Reka Flash'!C80</f>
        <v>tldr</v>
      </c>
      <c r="D575" s="161" t="n">
        <f aca="false">'🤖 Reka Flash'!E80</f>
        <v>0.002427184466</v>
      </c>
      <c r="E575" s="118" t="n">
        <f aca="false">'🤖 Reka Flash'!F80</f>
        <v>0</v>
      </c>
      <c r="F575" s="118" t="n">
        <f aca="false">'🤖 Reka Flash'!G80</f>
        <v>0</v>
      </c>
      <c r="G575" s="118" t="n">
        <f aca="false">'🤖 Reka Flash'!H80</f>
        <v>0</v>
      </c>
      <c r="H575" s="118" t="n">
        <f aca="false">'🤖 Reka Flash'!I80</f>
        <v>0</v>
      </c>
      <c r="I575" s="118" t="n">
        <f aca="false">'🤖 Reka Flash'!J80</f>
        <v>0</v>
      </c>
    </row>
    <row r="576" customFormat="false" ht="15.75" hidden="false" customHeight="false" outlineLevel="0" collapsed="false">
      <c r="A576" s="116"/>
      <c r="B576" s="3"/>
      <c r="C576" s="5"/>
      <c r="D576" s="161"/>
      <c r="E576" s="5"/>
      <c r="F576" s="5"/>
      <c r="G576" s="5"/>
      <c r="H576" s="5"/>
      <c r="I576" s="5"/>
    </row>
    <row r="577" customFormat="false" ht="15.75" hidden="false" customHeight="false" outlineLevel="0" collapsed="false">
      <c r="A577" s="116" t="n">
        <f aca="false">'🤖 Reka Flash'!$A$82</f>
        <v>0</v>
      </c>
      <c r="B577" s="3" t="s">
        <v>23</v>
      </c>
      <c r="C577" s="5" t="str">
        <f aca="false">'🤖 Reka Flash'!C82</f>
        <v>Base</v>
      </c>
      <c r="D577" s="161" t="n">
        <f aca="false">'🤖 Reka Flash'!E82</f>
        <v>0.002427184466</v>
      </c>
      <c r="E577" s="118" t="n">
        <f aca="false">'🤖 Reka Flash'!F82</f>
        <v>0</v>
      </c>
      <c r="F577" s="118" t="n">
        <f aca="false">'🤖 Reka Flash'!G82</f>
        <v>0</v>
      </c>
      <c r="G577" s="118" t="n">
        <f aca="false">'🤖 Reka Flash'!H82</f>
        <v>0</v>
      </c>
      <c r="H577" s="118" t="n">
        <f aca="false">'🤖 Reka Flash'!I82</f>
        <v>0</v>
      </c>
      <c r="I577" s="118" t="n">
        <f aca="false">'🤖 Reka Flash'!J82</f>
        <v>0</v>
      </c>
    </row>
    <row r="578" customFormat="false" ht="15.75" hidden="false" customHeight="false" outlineLevel="0" collapsed="false">
      <c r="A578" s="116" t="n">
        <f aca="false">'🤖 Reka Flash'!$A$82</f>
        <v>0</v>
      </c>
      <c r="B578" s="3" t="s">
        <v>23</v>
      </c>
      <c r="C578" s="5" t="str">
        <f aca="false">'🤖 Reka Flash'!C83</f>
        <v>CoT</v>
      </c>
      <c r="D578" s="161" t="n">
        <f aca="false">'🤖 Reka Flash'!E83</f>
        <v>0.002427184466</v>
      </c>
      <c r="E578" s="118" t="n">
        <f aca="false">'🤖 Reka Flash'!F83</f>
        <v>0</v>
      </c>
      <c r="F578" s="118" t="n">
        <f aca="false">'🤖 Reka Flash'!G83</f>
        <v>0</v>
      </c>
      <c r="G578" s="118" t="n">
        <f aca="false">'🤖 Reka Flash'!H83</f>
        <v>0</v>
      </c>
      <c r="H578" s="118" t="n">
        <f aca="false">'🤖 Reka Flash'!I83</f>
        <v>0</v>
      </c>
      <c r="I578" s="118" t="n">
        <f aca="false">'🤖 Reka Flash'!J83</f>
        <v>0</v>
      </c>
    </row>
    <row r="579" customFormat="false" ht="15.75" hidden="false" customHeight="false" outlineLevel="0" collapsed="false">
      <c r="A579" s="116" t="n">
        <f aca="false">'🤖 Reka Flash'!$A$82</f>
        <v>0</v>
      </c>
      <c r="B579" s="3" t="s">
        <v>23</v>
      </c>
      <c r="C579" s="5" t="str">
        <f aca="false">'🤖 Reka Flash'!C84</f>
        <v>5W1H</v>
      </c>
      <c r="D579" s="161" t="n">
        <f aca="false">'🤖 Reka Flash'!E84</f>
        <v>0.002427184466</v>
      </c>
      <c r="E579" s="118" t="n">
        <f aca="false">'🤖 Reka Flash'!F84</f>
        <v>0</v>
      </c>
      <c r="F579" s="118" t="n">
        <f aca="false">'🤖 Reka Flash'!G84</f>
        <v>0</v>
      </c>
      <c r="G579" s="118" t="n">
        <f aca="false">'🤖 Reka Flash'!H84</f>
        <v>0</v>
      </c>
      <c r="H579" s="118" t="n">
        <f aca="false">'🤖 Reka Flash'!I84</f>
        <v>0</v>
      </c>
      <c r="I579" s="118" t="n">
        <f aca="false">'🤖 Reka Flash'!J84</f>
        <v>0</v>
      </c>
    </row>
    <row r="580" customFormat="false" ht="15.75" hidden="false" customHeight="false" outlineLevel="0" collapsed="false">
      <c r="A580" s="116" t="n">
        <f aca="false">'🤖 Reka Flash'!$A$82</f>
        <v>0</v>
      </c>
      <c r="B580" s="3" t="s">
        <v>23</v>
      </c>
      <c r="C580" s="5" t="str">
        <f aca="false">'🤖 Reka Flash'!C85</f>
        <v>tldr</v>
      </c>
      <c r="D580" s="161" t="n">
        <f aca="false">'🤖 Reka Flash'!E85</f>
        <v>0.002427184466</v>
      </c>
      <c r="E580" s="118" t="n">
        <f aca="false">'🤖 Reka Flash'!F85</f>
        <v>0</v>
      </c>
      <c r="F580" s="118" t="n">
        <f aca="false">'🤖 Reka Flash'!G85</f>
        <v>0</v>
      </c>
      <c r="G580" s="118" t="n">
        <f aca="false">'🤖 Reka Flash'!H85</f>
        <v>0</v>
      </c>
      <c r="H580" s="118" t="n">
        <f aca="false">'🤖 Reka Flash'!I85</f>
        <v>0</v>
      </c>
      <c r="I580" s="118" t="n">
        <f aca="false">'🤖 Reka Flash'!J85</f>
        <v>0</v>
      </c>
    </row>
    <row r="581" customFormat="false" ht="15.75" hidden="false" customHeight="false" outlineLevel="0" collapsed="false">
      <c r="A581" s="116"/>
      <c r="B581" s="3"/>
      <c r="C581" s="5"/>
      <c r="D581" s="161"/>
      <c r="E581" s="5"/>
      <c r="F581" s="5"/>
      <c r="G581" s="5"/>
      <c r="H581" s="5"/>
      <c r="I581" s="5"/>
    </row>
    <row r="582" customFormat="false" ht="15.75" hidden="false" customHeight="false" outlineLevel="0" collapsed="false">
      <c r="A582" s="116" t="n">
        <f aca="false">'🤖 Reka Flash'!$A$87</f>
        <v>0</v>
      </c>
      <c r="B582" s="3" t="s">
        <v>23</v>
      </c>
      <c r="C582" s="5" t="str">
        <f aca="false">'🤖 Reka Flash'!C87</f>
        <v>Base</v>
      </c>
      <c r="D582" s="161" t="n">
        <f aca="false">'🤖 Reka Flash'!E87</f>
        <v>0.002427184466</v>
      </c>
      <c r="E582" s="118" t="n">
        <f aca="false">'🤖 Reka Flash'!F87</f>
        <v>0</v>
      </c>
      <c r="F582" s="118" t="n">
        <f aca="false">'🤖 Reka Flash'!G87</f>
        <v>0</v>
      </c>
      <c r="G582" s="118" t="n">
        <f aca="false">'🤖 Reka Flash'!H87</f>
        <v>0</v>
      </c>
      <c r="H582" s="118" t="n">
        <f aca="false">'🤖 Reka Flash'!I87</f>
        <v>0</v>
      </c>
      <c r="I582" s="118" t="n">
        <f aca="false">'🤖 Reka Flash'!J87</f>
        <v>0</v>
      </c>
    </row>
    <row r="583" customFormat="false" ht="15.75" hidden="false" customHeight="false" outlineLevel="0" collapsed="false">
      <c r="A583" s="116" t="n">
        <f aca="false">'🤖 Reka Flash'!$A$87</f>
        <v>0</v>
      </c>
      <c r="B583" s="3" t="s">
        <v>23</v>
      </c>
      <c r="C583" s="5" t="str">
        <f aca="false">'🤖 Reka Flash'!C88</f>
        <v>CoT</v>
      </c>
      <c r="D583" s="161" t="n">
        <f aca="false">'🤖 Reka Flash'!E88</f>
        <v>0.002427184466</v>
      </c>
      <c r="E583" s="118" t="n">
        <f aca="false">'🤖 Reka Flash'!F88</f>
        <v>0</v>
      </c>
      <c r="F583" s="118" t="n">
        <f aca="false">'🤖 Reka Flash'!G88</f>
        <v>0</v>
      </c>
      <c r="G583" s="118" t="n">
        <f aca="false">'🤖 Reka Flash'!H88</f>
        <v>0</v>
      </c>
      <c r="H583" s="118" t="n">
        <f aca="false">'🤖 Reka Flash'!I88</f>
        <v>0</v>
      </c>
      <c r="I583" s="118" t="n">
        <f aca="false">'🤖 Reka Flash'!J88</f>
        <v>0</v>
      </c>
    </row>
    <row r="584" customFormat="false" ht="15.75" hidden="false" customHeight="false" outlineLevel="0" collapsed="false">
      <c r="A584" s="116" t="n">
        <f aca="false">'🤖 Reka Flash'!$A$87</f>
        <v>0</v>
      </c>
      <c r="B584" s="3" t="s">
        <v>23</v>
      </c>
      <c r="C584" s="5" t="str">
        <f aca="false">'🤖 Reka Flash'!C89</f>
        <v>5W1H</v>
      </c>
      <c r="D584" s="161" t="n">
        <f aca="false">'🤖 Reka Flash'!E89</f>
        <v>0.002427184466</v>
      </c>
      <c r="E584" s="118" t="n">
        <f aca="false">'🤖 Reka Flash'!F89</f>
        <v>0</v>
      </c>
      <c r="F584" s="118" t="n">
        <f aca="false">'🤖 Reka Flash'!G89</f>
        <v>0</v>
      </c>
      <c r="G584" s="118" t="n">
        <f aca="false">'🤖 Reka Flash'!H89</f>
        <v>0</v>
      </c>
      <c r="H584" s="118" t="n">
        <f aca="false">'🤖 Reka Flash'!I89</f>
        <v>0</v>
      </c>
      <c r="I584" s="118" t="n">
        <f aca="false">'🤖 Reka Flash'!J89</f>
        <v>0</v>
      </c>
    </row>
    <row r="585" customFormat="false" ht="15.75" hidden="false" customHeight="false" outlineLevel="0" collapsed="false">
      <c r="A585" s="116" t="n">
        <f aca="false">'🤖 Reka Flash'!$A$87</f>
        <v>0</v>
      </c>
      <c r="B585" s="3" t="s">
        <v>23</v>
      </c>
      <c r="C585" s="5" t="str">
        <f aca="false">'🤖 Reka Flash'!C90</f>
        <v>tldr</v>
      </c>
      <c r="D585" s="161" t="n">
        <f aca="false">'🤖 Reka Flash'!E90</f>
        <v>0.002427184466</v>
      </c>
      <c r="E585" s="118" t="n">
        <f aca="false">'🤖 Reka Flash'!F90</f>
        <v>0</v>
      </c>
      <c r="F585" s="118" t="n">
        <f aca="false">'🤖 Reka Flash'!G90</f>
        <v>0</v>
      </c>
      <c r="G585" s="118" t="n">
        <f aca="false">'🤖 Reka Flash'!H90</f>
        <v>0</v>
      </c>
      <c r="H585" s="118" t="n">
        <f aca="false">'🤖 Reka Flash'!I90</f>
        <v>0</v>
      </c>
      <c r="I585" s="118" t="n">
        <f aca="false">'🤖 Reka Flash'!J90</f>
        <v>0</v>
      </c>
    </row>
    <row r="586" customFormat="false" ht="15.75" hidden="false" customHeight="false" outlineLevel="0" collapsed="false">
      <c r="A586" s="116"/>
      <c r="B586" s="3"/>
      <c r="C586" s="5"/>
      <c r="D586" s="161"/>
      <c r="E586" s="5"/>
      <c r="F586" s="5"/>
      <c r="G586" s="5"/>
      <c r="H586" s="5"/>
      <c r="I586" s="5"/>
    </row>
    <row r="587" customFormat="false" ht="15.75" hidden="false" customHeight="false" outlineLevel="0" collapsed="false">
      <c r="A587" s="116" t="n">
        <f aca="false">'🤖 Reka Flash'!$A$92</f>
        <v>0</v>
      </c>
      <c r="B587" s="3" t="s">
        <v>23</v>
      </c>
      <c r="C587" s="5" t="str">
        <f aca="false">'🤖 Reka Flash'!C92</f>
        <v>Base</v>
      </c>
      <c r="D587" s="161" t="n">
        <f aca="false">'🤖 Reka Flash'!E92</f>
        <v>0.002427184466</v>
      </c>
      <c r="E587" s="118" t="n">
        <f aca="false">'🤖 Reka Flash'!F92</f>
        <v>0</v>
      </c>
      <c r="F587" s="118" t="n">
        <f aca="false">'🤖 Reka Flash'!G92</f>
        <v>0</v>
      </c>
      <c r="G587" s="118" t="n">
        <f aca="false">'🤖 Reka Flash'!H92</f>
        <v>0</v>
      </c>
      <c r="H587" s="118" t="n">
        <f aca="false">'🤖 Reka Flash'!I92</f>
        <v>0</v>
      </c>
      <c r="I587" s="118" t="n">
        <f aca="false">'🤖 Reka Flash'!J92</f>
        <v>0</v>
      </c>
    </row>
    <row r="588" customFormat="false" ht="15.75" hidden="false" customHeight="false" outlineLevel="0" collapsed="false">
      <c r="A588" s="116" t="n">
        <f aca="false">'🤖 Reka Flash'!$A$92</f>
        <v>0</v>
      </c>
      <c r="B588" s="3" t="s">
        <v>23</v>
      </c>
      <c r="C588" s="5" t="str">
        <f aca="false">'🤖 Reka Flash'!C93</f>
        <v>CoT</v>
      </c>
      <c r="D588" s="161" t="n">
        <f aca="false">'🤖 Reka Flash'!E93</f>
        <v>0.002427184466</v>
      </c>
      <c r="E588" s="118" t="n">
        <f aca="false">'🤖 Reka Flash'!F93</f>
        <v>0</v>
      </c>
      <c r="F588" s="118" t="n">
        <f aca="false">'🤖 Reka Flash'!G93</f>
        <v>0</v>
      </c>
      <c r="G588" s="118" t="n">
        <f aca="false">'🤖 Reka Flash'!H93</f>
        <v>0</v>
      </c>
      <c r="H588" s="118" t="n">
        <f aca="false">'🤖 Reka Flash'!I93</f>
        <v>0</v>
      </c>
      <c r="I588" s="118" t="n">
        <f aca="false">'🤖 Reka Flash'!J93</f>
        <v>0</v>
      </c>
    </row>
    <row r="589" customFormat="false" ht="15.75" hidden="false" customHeight="false" outlineLevel="0" collapsed="false">
      <c r="A589" s="116" t="n">
        <f aca="false">'🤖 Reka Flash'!$A$92</f>
        <v>0</v>
      </c>
      <c r="B589" s="3" t="s">
        <v>23</v>
      </c>
      <c r="C589" s="5" t="str">
        <f aca="false">'🤖 Reka Flash'!C94</f>
        <v>5W1H</v>
      </c>
      <c r="D589" s="161" t="n">
        <f aca="false">'🤖 Reka Flash'!E94</f>
        <v>0.002427184466</v>
      </c>
      <c r="E589" s="118" t="n">
        <f aca="false">'🤖 Reka Flash'!F94</f>
        <v>0</v>
      </c>
      <c r="F589" s="118" t="n">
        <f aca="false">'🤖 Reka Flash'!G94</f>
        <v>0</v>
      </c>
      <c r="G589" s="118" t="n">
        <f aca="false">'🤖 Reka Flash'!H94</f>
        <v>0</v>
      </c>
      <c r="H589" s="118" t="n">
        <f aca="false">'🤖 Reka Flash'!I94</f>
        <v>0</v>
      </c>
      <c r="I589" s="118" t="n">
        <f aca="false">'🤖 Reka Flash'!J94</f>
        <v>0</v>
      </c>
    </row>
    <row r="590" customFormat="false" ht="15.75" hidden="false" customHeight="false" outlineLevel="0" collapsed="false">
      <c r="A590" s="116" t="n">
        <f aca="false">'🤖 Reka Flash'!$A$92</f>
        <v>0</v>
      </c>
      <c r="B590" s="3" t="s">
        <v>23</v>
      </c>
      <c r="C590" s="5" t="str">
        <f aca="false">'🤖 Reka Flash'!C95</f>
        <v>tldr</v>
      </c>
      <c r="D590" s="161" t="n">
        <f aca="false">'🤖 Reka Flash'!E95</f>
        <v>0.002427184466</v>
      </c>
      <c r="E590" s="118" t="n">
        <f aca="false">'🤖 Reka Flash'!F95</f>
        <v>0</v>
      </c>
      <c r="F590" s="118" t="n">
        <f aca="false">'🤖 Reka Flash'!G95</f>
        <v>0</v>
      </c>
      <c r="G590" s="118" t="n">
        <f aca="false">'🤖 Reka Flash'!H95</f>
        <v>0</v>
      </c>
      <c r="H590" s="118" t="n">
        <f aca="false">'🤖 Reka Flash'!I95</f>
        <v>0</v>
      </c>
      <c r="I590" s="118" t="n">
        <f aca="false">'🤖 Reka Flash'!J95</f>
        <v>0</v>
      </c>
    </row>
    <row r="591" customFormat="false" ht="15.75" hidden="false" customHeight="false" outlineLevel="0" collapsed="false">
      <c r="A591" s="116"/>
      <c r="B591" s="3"/>
      <c r="C591" s="5"/>
      <c r="D591" s="161"/>
      <c r="E591" s="5"/>
      <c r="F591" s="5"/>
      <c r="G591" s="5"/>
      <c r="H591" s="5"/>
      <c r="I591" s="5"/>
    </row>
    <row r="592" customFormat="false" ht="15.75" hidden="false" customHeight="false" outlineLevel="0" collapsed="false">
      <c r="A592" s="116" t="n">
        <f aca="false">'🤖 Reka Flash'!$A$97</f>
        <v>0</v>
      </c>
      <c r="B592" s="3" t="s">
        <v>23</v>
      </c>
      <c r="C592" s="5" t="str">
        <f aca="false">'🤖 Reka Flash'!C97</f>
        <v>Base</v>
      </c>
      <c r="D592" s="161" t="n">
        <f aca="false">'🤖 Reka Flash'!E97</f>
        <v>0.002427184466</v>
      </c>
      <c r="E592" s="118" t="n">
        <f aca="false">'🤖 Reka Flash'!F97</f>
        <v>0</v>
      </c>
      <c r="F592" s="118" t="n">
        <f aca="false">'🤖 Reka Flash'!G97</f>
        <v>0</v>
      </c>
      <c r="G592" s="118" t="n">
        <f aca="false">'🤖 Reka Flash'!H97</f>
        <v>0</v>
      </c>
      <c r="H592" s="118" t="n">
        <f aca="false">'🤖 Reka Flash'!I97</f>
        <v>0</v>
      </c>
      <c r="I592" s="118" t="n">
        <f aca="false">'🤖 Reka Flash'!J97</f>
        <v>0</v>
      </c>
    </row>
    <row r="593" customFormat="false" ht="15.75" hidden="false" customHeight="false" outlineLevel="0" collapsed="false">
      <c r="A593" s="116" t="n">
        <f aca="false">'🤖 Reka Flash'!$A$97</f>
        <v>0</v>
      </c>
      <c r="B593" s="3" t="s">
        <v>23</v>
      </c>
      <c r="C593" s="5" t="str">
        <f aca="false">'🤖 Reka Flash'!C98</f>
        <v>CoT</v>
      </c>
      <c r="D593" s="161" t="n">
        <f aca="false">'🤖 Reka Flash'!E98</f>
        <v>0.002427184466</v>
      </c>
      <c r="E593" s="118" t="n">
        <f aca="false">'🤖 Reka Flash'!F98</f>
        <v>0</v>
      </c>
      <c r="F593" s="118" t="n">
        <f aca="false">'🤖 Reka Flash'!G98</f>
        <v>0</v>
      </c>
      <c r="G593" s="118" t="n">
        <f aca="false">'🤖 Reka Flash'!H98</f>
        <v>0</v>
      </c>
      <c r="H593" s="118" t="n">
        <f aca="false">'🤖 Reka Flash'!I98</f>
        <v>0</v>
      </c>
      <c r="I593" s="118" t="n">
        <f aca="false">'🤖 Reka Flash'!J98</f>
        <v>0</v>
      </c>
    </row>
    <row r="594" customFormat="false" ht="15.75" hidden="false" customHeight="false" outlineLevel="0" collapsed="false">
      <c r="A594" s="116" t="n">
        <f aca="false">'🤖 Reka Flash'!$A$97</f>
        <v>0</v>
      </c>
      <c r="B594" s="3" t="s">
        <v>23</v>
      </c>
      <c r="C594" s="5" t="str">
        <f aca="false">'🤖 Reka Flash'!C99</f>
        <v>5W1H</v>
      </c>
      <c r="D594" s="161" t="n">
        <f aca="false">'🤖 Reka Flash'!E99</f>
        <v>0.002427184466</v>
      </c>
      <c r="E594" s="118" t="n">
        <f aca="false">'🤖 Reka Flash'!F99</f>
        <v>0</v>
      </c>
      <c r="F594" s="118" t="n">
        <f aca="false">'🤖 Reka Flash'!G99</f>
        <v>0</v>
      </c>
      <c r="G594" s="118" t="n">
        <f aca="false">'🤖 Reka Flash'!H99</f>
        <v>0</v>
      </c>
      <c r="H594" s="118" t="n">
        <f aca="false">'🤖 Reka Flash'!I99</f>
        <v>0</v>
      </c>
      <c r="I594" s="118" t="n">
        <f aca="false">'🤖 Reka Flash'!J99</f>
        <v>0</v>
      </c>
    </row>
    <row r="595" customFormat="false" ht="15.75" hidden="false" customHeight="false" outlineLevel="0" collapsed="false">
      <c r="A595" s="116" t="n">
        <f aca="false">'🤖 Reka Flash'!$A$97</f>
        <v>0</v>
      </c>
      <c r="B595" s="3" t="s">
        <v>23</v>
      </c>
      <c r="C595" s="5" t="str">
        <f aca="false">'🤖 Reka Flash'!C100</f>
        <v>tldr</v>
      </c>
      <c r="D595" s="161" t="n">
        <f aca="false">'🤖 Reka Flash'!E100</f>
        <v>0.002427184466</v>
      </c>
      <c r="E595" s="118" t="n">
        <f aca="false">'🤖 Reka Flash'!F100</f>
        <v>0</v>
      </c>
      <c r="F595" s="118" t="n">
        <f aca="false">'🤖 Reka Flash'!G100</f>
        <v>0</v>
      </c>
      <c r="G595" s="118" t="n">
        <f aca="false">'🤖 Reka Flash'!H100</f>
        <v>0</v>
      </c>
      <c r="H595" s="118" t="n">
        <f aca="false">'🤖 Reka Flash'!I100</f>
        <v>0</v>
      </c>
      <c r="I595" s="118" t="n">
        <f aca="false">'🤖 Reka Flash'!J100</f>
        <v>0</v>
      </c>
    </row>
    <row r="596" customFormat="false" ht="15.75" hidden="false" customHeight="false" outlineLevel="0" collapsed="false">
      <c r="A596" s="116"/>
      <c r="B596" s="3"/>
      <c r="C596" s="5"/>
      <c r="D596" s="161"/>
      <c r="E596" s="5"/>
      <c r="F596" s="5"/>
      <c r="G596" s="5"/>
      <c r="H596" s="5"/>
      <c r="I596" s="5"/>
    </row>
    <row r="597" customFormat="false" ht="15.75" hidden="false" customHeight="false" outlineLevel="0" collapsed="false">
      <c r="A597" s="116" t="n">
        <f aca="false">'🤖 Reka Flash'!$A$102</f>
        <v>0</v>
      </c>
      <c r="B597" s="3" t="s">
        <v>23</v>
      </c>
      <c r="C597" s="5" t="str">
        <f aca="false">'🤖 Reka Flash'!C102</f>
        <v>Base</v>
      </c>
      <c r="D597" s="161" t="n">
        <f aca="false">'🤖 Reka Flash'!E102</f>
        <v>0.002427184466</v>
      </c>
      <c r="E597" s="118" t="n">
        <f aca="false">'🤖 Reka Flash'!F102</f>
        <v>0</v>
      </c>
      <c r="F597" s="118" t="n">
        <f aca="false">'🤖 Reka Flash'!G102</f>
        <v>0</v>
      </c>
      <c r="G597" s="118" t="n">
        <f aca="false">'🤖 Reka Flash'!H102</f>
        <v>0</v>
      </c>
      <c r="H597" s="118" t="n">
        <f aca="false">'🤖 Reka Flash'!I102</f>
        <v>0</v>
      </c>
      <c r="I597" s="118" t="n">
        <f aca="false">'🤖 Reka Flash'!J102</f>
        <v>0</v>
      </c>
    </row>
    <row r="598" customFormat="false" ht="15.75" hidden="false" customHeight="false" outlineLevel="0" collapsed="false">
      <c r="A598" s="116" t="n">
        <f aca="false">'🤖 Reka Flash'!$A$102</f>
        <v>0</v>
      </c>
      <c r="B598" s="3" t="s">
        <v>23</v>
      </c>
      <c r="C598" s="5" t="str">
        <f aca="false">'🤖 Reka Flash'!C103</f>
        <v>CoT</v>
      </c>
      <c r="D598" s="161" t="n">
        <f aca="false">'🤖 Reka Flash'!E103</f>
        <v>0.002427184466</v>
      </c>
      <c r="E598" s="118" t="n">
        <f aca="false">'🤖 Reka Flash'!F103</f>
        <v>0</v>
      </c>
      <c r="F598" s="118" t="n">
        <f aca="false">'🤖 Reka Flash'!G103</f>
        <v>0</v>
      </c>
      <c r="G598" s="118" t="n">
        <f aca="false">'🤖 Reka Flash'!H103</f>
        <v>0</v>
      </c>
      <c r="H598" s="118" t="n">
        <f aca="false">'🤖 Reka Flash'!I103</f>
        <v>0</v>
      </c>
      <c r="I598" s="118" t="n">
        <f aca="false">'🤖 Reka Flash'!J103</f>
        <v>0</v>
      </c>
    </row>
    <row r="599" customFormat="false" ht="15.75" hidden="false" customHeight="false" outlineLevel="0" collapsed="false">
      <c r="A599" s="116" t="n">
        <f aca="false">'🤖 Reka Flash'!$A$102</f>
        <v>0</v>
      </c>
      <c r="B599" s="3" t="s">
        <v>23</v>
      </c>
      <c r="C599" s="5" t="str">
        <f aca="false">'🤖 Reka Flash'!C104</f>
        <v>5W1H</v>
      </c>
      <c r="D599" s="161" t="n">
        <f aca="false">'🤖 Reka Flash'!E104</f>
        <v>0.002427184466</v>
      </c>
      <c r="E599" s="118" t="n">
        <f aca="false">'🤖 Reka Flash'!F104</f>
        <v>0</v>
      </c>
      <c r="F599" s="118" t="n">
        <f aca="false">'🤖 Reka Flash'!G104</f>
        <v>0</v>
      </c>
      <c r="G599" s="118" t="n">
        <f aca="false">'🤖 Reka Flash'!H104</f>
        <v>0</v>
      </c>
      <c r="H599" s="118" t="n">
        <f aca="false">'🤖 Reka Flash'!I104</f>
        <v>0</v>
      </c>
      <c r="I599" s="118" t="n">
        <f aca="false">'🤖 Reka Flash'!J104</f>
        <v>0</v>
      </c>
    </row>
    <row r="600" customFormat="false" ht="15.75" hidden="false" customHeight="false" outlineLevel="0" collapsed="false">
      <c r="A600" s="116" t="n">
        <f aca="false">'🤖 Reka Flash'!$A$102</f>
        <v>0</v>
      </c>
      <c r="B600" s="3" t="s">
        <v>23</v>
      </c>
      <c r="C600" s="5" t="str">
        <f aca="false">'🤖 Reka Flash'!C105</f>
        <v>tldr</v>
      </c>
      <c r="D600" s="161" t="n">
        <f aca="false">'🤖 Reka Flash'!E105</f>
        <v>0.002427184466</v>
      </c>
      <c r="E600" s="118" t="n">
        <f aca="false">'🤖 Reka Flash'!F105</f>
        <v>0</v>
      </c>
      <c r="F600" s="118" t="n">
        <f aca="false">'🤖 Reka Flash'!G105</f>
        <v>0</v>
      </c>
      <c r="G600" s="118" t="n">
        <f aca="false">'🤖 Reka Flash'!H105</f>
        <v>0</v>
      </c>
      <c r="H600" s="118" t="n">
        <f aca="false">'🤖 Reka Flash'!I105</f>
        <v>0</v>
      </c>
      <c r="I600" s="118" t="n">
        <f aca="false">'🤖 Reka Flash'!J105</f>
        <v>0</v>
      </c>
    </row>
    <row r="601" customFormat="false" ht="15.75" hidden="false" customHeight="false" outlineLevel="0" collapsed="false">
      <c r="A601" s="116"/>
      <c r="B601" s="3"/>
      <c r="C601" s="5"/>
      <c r="D601" s="161"/>
      <c r="E601" s="5"/>
      <c r="F601" s="5"/>
      <c r="G601" s="5"/>
      <c r="H601" s="5"/>
      <c r="I601" s="5"/>
    </row>
    <row r="602" customFormat="false" ht="15.75" hidden="false" customHeight="false" outlineLevel="0" collapsed="false">
      <c r="A602" s="116" t="n">
        <f aca="false">'🤖 Reka Flash'!$A$107</f>
        <v>0</v>
      </c>
      <c r="B602" s="3" t="s">
        <v>23</v>
      </c>
      <c r="C602" s="5" t="str">
        <f aca="false">'🤖 Reka Flash'!C107</f>
        <v>Base</v>
      </c>
      <c r="D602" s="161" t="n">
        <f aca="false">'🤖 Reka Flash'!E107</f>
        <v>0.002427184466</v>
      </c>
      <c r="E602" s="118" t="n">
        <f aca="false">'🤖 Reka Flash'!F107</f>
        <v>0</v>
      </c>
      <c r="F602" s="118" t="n">
        <f aca="false">'🤖 Reka Flash'!G107</f>
        <v>0</v>
      </c>
      <c r="G602" s="118" t="n">
        <f aca="false">'🤖 Reka Flash'!H107</f>
        <v>0</v>
      </c>
      <c r="H602" s="118" t="n">
        <f aca="false">'🤖 Reka Flash'!I107</f>
        <v>0</v>
      </c>
      <c r="I602" s="118" t="n">
        <f aca="false">'🤖 Reka Flash'!J107</f>
        <v>0</v>
      </c>
    </row>
    <row r="603" customFormat="false" ht="15.75" hidden="false" customHeight="false" outlineLevel="0" collapsed="false">
      <c r="A603" s="116" t="n">
        <f aca="false">'🤖 Reka Flash'!$A$107</f>
        <v>0</v>
      </c>
      <c r="B603" s="3" t="s">
        <v>23</v>
      </c>
      <c r="C603" s="5" t="str">
        <f aca="false">'🤖 Reka Flash'!C108</f>
        <v>CoT</v>
      </c>
      <c r="D603" s="161" t="n">
        <f aca="false">'🤖 Reka Flash'!E108</f>
        <v>0.002427184466</v>
      </c>
      <c r="E603" s="118" t="n">
        <f aca="false">'🤖 Reka Flash'!F108</f>
        <v>0</v>
      </c>
      <c r="F603" s="118" t="n">
        <f aca="false">'🤖 Reka Flash'!G108</f>
        <v>0</v>
      </c>
      <c r="G603" s="118" t="n">
        <f aca="false">'🤖 Reka Flash'!H108</f>
        <v>0</v>
      </c>
      <c r="H603" s="118" t="n">
        <f aca="false">'🤖 Reka Flash'!I108</f>
        <v>0</v>
      </c>
      <c r="I603" s="118" t="n">
        <f aca="false">'🤖 Reka Flash'!J108</f>
        <v>0</v>
      </c>
    </row>
    <row r="604" customFormat="false" ht="15.75" hidden="false" customHeight="false" outlineLevel="0" collapsed="false">
      <c r="A604" s="116" t="n">
        <f aca="false">'🤖 Reka Flash'!$A$107</f>
        <v>0</v>
      </c>
      <c r="B604" s="3" t="s">
        <v>23</v>
      </c>
      <c r="C604" s="5" t="str">
        <f aca="false">'🤖 Reka Flash'!C109</f>
        <v>5W1H</v>
      </c>
      <c r="D604" s="161" t="n">
        <f aca="false">'🤖 Reka Flash'!E109</f>
        <v>0.002427184466</v>
      </c>
      <c r="E604" s="118" t="n">
        <f aca="false">'🤖 Reka Flash'!F109</f>
        <v>0</v>
      </c>
      <c r="F604" s="118" t="n">
        <f aca="false">'🤖 Reka Flash'!G109</f>
        <v>0</v>
      </c>
      <c r="G604" s="118" t="n">
        <f aca="false">'🤖 Reka Flash'!H109</f>
        <v>0</v>
      </c>
      <c r="H604" s="118" t="n">
        <f aca="false">'🤖 Reka Flash'!I109</f>
        <v>0</v>
      </c>
      <c r="I604" s="118" t="n">
        <f aca="false">'🤖 Reka Flash'!J109</f>
        <v>0</v>
      </c>
    </row>
    <row r="605" customFormat="false" ht="15.75" hidden="false" customHeight="false" outlineLevel="0" collapsed="false">
      <c r="A605" s="116" t="n">
        <f aca="false">'🤖 Reka Flash'!$A$107</f>
        <v>0</v>
      </c>
      <c r="B605" s="3" t="s">
        <v>23</v>
      </c>
      <c r="C605" s="5" t="str">
        <f aca="false">'🤖 Reka Flash'!C110</f>
        <v>tldr</v>
      </c>
      <c r="D605" s="161" t="n">
        <f aca="false">'🤖 Reka Flash'!E110</f>
        <v>0.002427184466</v>
      </c>
      <c r="E605" s="118" t="n">
        <f aca="false">'🤖 Reka Flash'!F110</f>
        <v>0</v>
      </c>
      <c r="F605" s="118" t="n">
        <f aca="false">'🤖 Reka Flash'!G110</f>
        <v>0</v>
      </c>
      <c r="G605" s="118" t="n">
        <f aca="false">'🤖 Reka Flash'!H110</f>
        <v>0</v>
      </c>
      <c r="H605" s="118" t="n">
        <f aca="false">'🤖 Reka Flash'!I110</f>
        <v>0</v>
      </c>
      <c r="I605" s="118" t="n">
        <f aca="false">'🤖 Reka Flash'!J110</f>
        <v>0</v>
      </c>
    </row>
    <row r="606" customFormat="false" ht="15.75" hidden="false" customHeight="false" outlineLevel="0" collapsed="false">
      <c r="A606" s="116"/>
      <c r="B606" s="3"/>
      <c r="C606" s="5"/>
      <c r="D606" s="161"/>
      <c r="E606" s="5"/>
      <c r="F606" s="5"/>
      <c r="G606" s="5"/>
      <c r="H606" s="5"/>
      <c r="I606" s="5"/>
    </row>
    <row r="607" customFormat="false" ht="15.75" hidden="false" customHeight="false" outlineLevel="0" collapsed="false">
      <c r="A607" s="116" t="n">
        <f aca="false">'🤖 Reka Flash'!$A$112</f>
        <v>0</v>
      </c>
      <c r="B607" s="3" t="s">
        <v>23</v>
      </c>
      <c r="C607" s="5" t="str">
        <f aca="false">'🤖 Reka Flash'!C112</f>
        <v>Base</v>
      </c>
      <c r="D607" s="161" t="n">
        <f aca="false">'🤖 Reka Flash'!E112</f>
        <v>0.002427184466</v>
      </c>
      <c r="E607" s="118" t="n">
        <f aca="false">'🤖 Reka Flash'!F112</f>
        <v>0</v>
      </c>
      <c r="F607" s="118" t="n">
        <f aca="false">'🤖 Reka Flash'!G112</f>
        <v>0</v>
      </c>
      <c r="G607" s="118" t="n">
        <f aca="false">'🤖 Reka Flash'!H112</f>
        <v>0</v>
      </c>
      <c r="H607" s="118" t="n">
        <f aca="false">'🤖 Reka Flash'!I112</f>
        <v>0</v>
      </c>
      <c r="I607" s="118" t="n">
        <f aca="false">'🤖 Reka Flash'!J112</f>
        <v>0</v>
      </c>
    </row>
    <row r="608" customFormat="false" ht="15.75" hidden="false" customHeight="false" outlineLevel="0" collapsed="false">
      <c r="A608" s="116" t="n">
        <f aca="false">'🤖 Reka Flash'!$A$112</f>
        <v>0</v>
      </c>
      <c r="B608" s="3" t="s">
        <v>23</v>
      </c>
      <c r="C608" s="5" t="str">
        <f aca="false">'🤖 Reka Flash'!C113</f>
        <v>CoT</v>
      </c>
      <c r="D608" s="161" t="n">
        <f aca="false">'🤖 Reka Flash'!E113</f>
        <v>0.002427184466</v>
      </c>
      <c r="E608" s="118" t="n">
        <f aca="false">'🤖 Reka Flash'!F113</f>
        <v>0</v>
      </c>
      <c r="F608" s="118" t="n">
        <f aca="false">'🤖 Reka Flash'!G113</f>
        <v>0</v>
      </c>
      <c r="G608" s="118" t="n">
        <f aca="false">'🤖 Reka Flash'!H113</f>
        <v>0</v>
      </c>
      <c r="H608" s="118" t="n">
        <f aca="false">'🤖 Reka Flash'!I113</f>
        <v>0</v>
      </c>
      <c r="I608" s="118" t="n">
        <f aca="false">'🤖 Reka Flash'!J113</f>
        <v>0</v>
      </c>
    </row>
    <row r="609" customFormat="false" ht="15.75" hidden="false" customHeight="false" outlineLevel="0" collapsed="false">
      <c r="A609" s="116" t="n">
        <f aca="false">'🤖 Reka Flash'!$A$112</f>
        <v>0</v>
      </c>
      <c r="B609" s="3" t="s">
        <v>23</v>
      </c>
      <c r="C609" s="5" t="str">
        <f aca="false">'🤖 Reka Flash'!C114</f>
        <v>5W1H</v>
      </c>
      <c r="D609" s="161" t="n">
        <f aca="false">'🤖 Reka Flash'!E114</f>
        <v>0.002427184466</v>
      </c>
      <c r="E609" s="118" t="n">
        <f aca="false">'🤖 Reka Flash'!F114</f>
        <v>0</v>
      </c>
      <c r="F609" s="118" t="n">
        <f aca="false">'🤖 Reka Flash'!G114</f>
        <v>0</v>
      </c>
      <c r="G609" s="118" t="n">
        <f aca="false">'🤖 Reka Flash'!H114</f>
        <v>0</v>
      </c>
      <c r="H609" s="118" t="n">
        <f aca="false">'🤖 Reka Flash'!I114</f>
        <v>0</v>
      </c>
      <c r="I609" s="118" t="n">
        <f aca="false">'🤖 Reka Flash'!J114</f>
        <v>0</v>
      </c>
    </row>
    <row r="610" customFormat="false" ht="15.75" hidden="false" customHeight="false" outlineLevel="0" collapsed="false">
      <c r="A610" s="116" t="n">
        <f aca="false">'🤖 Reka Flash'!$A$112</f>
        <v>0</v>
      </c>
      <c r="B610" s="3" t="s">
        <v>23</v>
      </c>
      <c r="C610" s="5" t="str">
        <f aca="false">'🤖 Reka Flash'!C115</f>
        <v>tldr</v>
      </c>
      <c r="D610" s="161" t="n">
        <f aca="false">'🤖 Reka Flash'!E115</f>
        <v>0.002427184466</v>
      </c>
      <c r="E610" s="118" t="n">
        <f aca="false">'🤖 Reka Flash'!F115</f>
        <v>0</v>
      </c>
      <c r="F610" s="118" t="n">
        <f aca="false">'🤖 Reka Flash'!G115</f>
        <v>0</v>
      </c>
      <c r="G610" s="118" t="n">
        <f aca="false">'🤖 Reka Flash'!H115</f>
        <v>0</v>
      </c>
      <c r="H610" s="118" t="n">
        <f aca="false">'🤖 Reka Flash'!I115</f>
        <v>0</v>
      </c>
      <c r="I610" s="118" t="n">
        <f aca="false">'🤖 Reka Flash'!J115</f>
        <v>0</v>
      </c>
    </row>
    <row r="611" customFormat="false" ht="15.75" hidden="false" customHeight="false" outlineLevel="0" collapsed="false">
      <c r="A611" s="116"/>
      <c r="B611" s="3"/>
      <c r="C611" s="5"/>
      <c r="D611" s="161"/>
      <c r="E611" s="5"/>
      <c r="F611" s="5"/>
      <c r="G611" s="5"/>
      <c r="H611" s="5"/>
      <c r="I611" s="5"/>
    </row>
    <row r="612" customFormat="false" ht="15.75" hidden="false" customHeight="false" outlineLevel="0" collapsed="false">
      <c r="A612" s="116" t="n">
        <f aca="false">'🤖 Reka Flash'!$A$117</f>
        <v>0</v>
      </c>
      <c r="B612" s="3" t="s">
        <v>23</v>
      </c>
      <c r="C612" s="5" t="str">
        <f aca="false">'🤖 Reka Flash'!C117</f>
        <v>Base</v>
      </c>
      <c r="D612" s="161" t="n">
        <f aca="false">'🤖 Reka Flash'!E117</f>
        <v>0.002427184466</v>
      </c>
      <c r="E612" s="118" t="n">
        <f aca="false">'🤖 Reka Flash'!F117</f>
        <v>0</v>
      </c>
      <c r="F612" s="118" t="n">
        <f aca="false">'🤖 Reka Flash'!G117</f>
        <v>0</v>
      </c>
      <c r="G612" s="118" t="n">
        <f aca="false">'🤖 Reka Flash'!H117</f>
        <v>0</v>
      </c>
      <c r="H612" s="118" t="n">
        <f aca="false">'🤖 Reka Flash'!I117</f>
        <v>0</v>
      </c>
      <c r="I612" s="118" t="n">
        <f aca="false">'🤖 Reka Flash'!J117</f>
        <v>0</v>
      </c>
    </row>
    <row r="613" customFormat="false" ht="15.75" hidden="false" customHeight="false" outlineLevel="0" collapsed="false">
      <c r="A613" s="116" t="n">
        <f aca="false">'🤖 Reka Flash'!$A$117</f>
        <v>0</v>
      </c>
      <c r="B613" s="3" t="s">
        <v>23</v>
      </c>
      <c r="C613" s="5" t="str">
        <f aca="false">'🤖 Reka Flash'!C118</f>
        <v>CoT</v>
      </c>
      <c r="D613" s="161" t="n">
        <f aca="false">'🤖 Reka Flash'!E118</f>
        <v>0.002427184466</v>
      </c>
      <c r="E613" s="118" t="n">
        <f aca="false">'🤖 Reka Flash'!F118</f>
        <v>0</v>
      </c>
      <c r="F613" s="118" t="n">
        <f aca="false">'🤖 Reka Flash'!G118</f>
        <v>0</v>
      </c>
      <c r="G613" s="118" t="n">
        <f aca="false">'🤖 Reka Flash'!H118</f>
        <v>0</v>
      </c>
      <c r="H613" s="118" t="n">
        <f aca="false">'🤖 Reka Flash'!I118</f>
        <v>0</v>
      </c>
      <c r="I613" s="118" t="n">
        <f aca="false">'🤖 Reka Flash'!J118</f>
        <v>0</v>
      </c>
    </row>
    <row r="614" customFormat="false" ht="15.75" hidden="false" customHeight="false" outlineLevel="0" collapsed="false">
      <c r="A614" s="116" t="n">
        <f aca="false">'🤖 Reka Flash'!$A$117</f>
        <v>0</v>
      </c>
      <c r="B614" s="3" t="s">
        <v>23</v>
      </c>
      <c r="C614" s="5" t="str">
        <f aca="false">'🤖 Reka Flash'!C119</f>
        <v>5W1H</v>
      </c>
      <c r="D614" s="161" t="n">
        <f aca="false">'🤖 Reka Flash'!E119</f>
        <v>0.002427184466</v>
      </c>
      <c r="E614" s="118" t="n">
        <f aca="false">'🤖 Reka Flash'!F119</f>
        <v>0</v>
      </c>
      <c r="F614" s="118" t="n">
        <f aca="false">'🤖 Reka Flash'!G119</f>
        <v>0</v>
      </c>
      <c r="G614" s="118" t="n">
        <f aca="false">'🤖 Reka Flash'!H119</f>
        <v>0</v>
      </c>
      <c r="H614" s="118" t="n">
        <f aca="false">'🤖 Reka Flash'!I119</f>
        <v>0</v>
      </c>
      <c r="I614" s="118" t="n">
        <f aca="false">'🤖 Reka Flash'!J119</f>
        <v>0</v>
      </c>
    </row>
    <row r="615" customFormat="false" ht="15.75" hidden="false" customHeight="false" outlineLevel="0" collapsed="false">
      <c r="A615" s="116" t="n">
        <f aca="false">'🤖 Reka Flash'!$A$117</f>
        <v>0</v>
      </c>
      <c r="B615" s="3" t="s">
        <v>23</v>
      </c>
      <c r="C615" s="5" t="str">
        <f aca="false">'🤖 Reka Flash'!C120</f>
        <v>tldr</v>
      </c>
      <c r="D615" s="161" t="n">
        <f aca="false">'🤖 Reka Flash'!E120</f>
        <v>0.002427184466</v>
      </c>
      <c r="E615" s="118" t="n">
        <f aca="false">'🤖 Reka Flash'!F120</f>
        <v>0</v>
      </c>
      <c r="F615" s="118" t="n">
        <f aca="false">'🤖 Reka Flash'!G120</f>
        <v>0</v>
      </c>
      <c r="G615" s="118" t="n">
        <f aca="false">'🤖 Reka Flash'!H120</f>
        <v>0</v>
      </c>
      <c r="H615" s="118" t="n">
        <f aca="false">'🤖 Reka Flash'!I120</f>
        <v>0</v>
      </c>
      <c r="I615" s="118" t="n">
        <f aca="false">'🤖 Reka Flash'!J120</f>
        <v>0</v>
      </c>
    </row>
    <row r="616" customFormat="false" ht="15.75" hidden="false" customHeight="false" outlineLevel="0" collapsed="false">
      <c r="A616" s="116"/>
      <c r="B616" s="3"/>
      <c r="C616" s="5"/>
      <c r="D616" s="161"/>
      <c r="E616" s="5"/>
      <c r="F616" s="5"/>
      <c r="G616" s="5"/>
      <c r="H616" s="5"/>
      <c r="I616" s="5"/>
    </row>
    <row r="617" customFormat="false" ht="15.75" hidden="false" customHeight="false" outlineLevel="0" collapsed="false">
      <c r="A617" s="116" t="n">
        <f aca="false">'🤖 Reka Flash'!$A$122</f>
        <v>0</v>
      </c>
      <c r="B617" s="3" t="s">
        <v>23</v>
      </c>
      <c r="C617" s="5" t="str">
        <f aca="false">'🤖 Reka Flash'!C122</f>
        <v>Base</v>
      </c>
      <c r="D617" s="161" t="n">
        <f aca="false">'🤖 Reka Flash'!E122</f>
        <v>0.002427184466</v>
      </c>
      <c r="E617" s="118" t="n">
        <f aca="false">'🤖 Reka Flash'!F122</f>
        <v>0</v>
      </c>
      <c r="F617" s="118" t="n">
        <f aca="false">'🤖 Reka Flash'!G122</f>
        <v>0</v>
      </c>
      <c r="G617" s="118" t="n">
        <f aca="false">'🤖 Reka Flash'!H122</f>
        <v>0</v>
      </c>
      <c r="H617" s="118" t="n">
        <f aca="false">'🤖 Reka Flash'!I122</f>
        <v>0</v>
      </c>
      <c r="I617" s="118" t="n">
        <f aca="false">'🤖 Reka Flash'!J122</f>
        <v>0</v>
      </c>
    </row>
    <row r="618" customFormat="false" ht="15.75" hidden="false" customHeight="false" outlineLevel="0" collapsed="false">
      <c r="A618" s="116" t="n">
        <f aca="false">'🤖 Reka Flash'!$A$122</f>
        <v>0</v>
      </c>
      <c r="B618" s="3" t="s">
        <v>23</v>
      </c>
      <c r="C618" s="5" t="str">
        <f aca="false">'🤖 Reka Flash'!C123</f>
        <v>CoT</v>
      </c>
      <c r="D618" s="161" t="n">
        <f aca="false">'🤖 Reka Flash'!E123</f>
        <v>0.002427184466</v>
      </c>
      <c r="E618" s="118" t="n">
        <f aca="false">'🤖 Reka Flash'!F123</f>
        <v>0</v>
      </c>
      <c r="F618" s="118" t="n">
        <f aca="false">'🤖 Reka Flash'!G123</f>
        <v>0</v>
      </c>
      <c r="G618" s="118" t="n">
        <f aca="false">'🤖 Reka Flash'!H123</f>
        <v>0</v>
      </c>
      <c r="H618" s="118" t="n">
        <f aca="false">'🤖 Reka Flash'!I123</f>
        <v>0</v>
      </c>
      <c r="I618" s="118" t="n">
        <f aca="false">'🤖 Reka Flash'!J123</f>
        <v>0</v>
      </c>
    </row>
    <row r="619" customFormat="false" ht="15.75" hidden="false" customHeight="false" outlineLevel="0" collapsed="false">
      <c r="A619" s="116" t="n">
        <f aca="false">'🤖 Reka Flash'!$A$122</f>
        <v>0</v>
      </c>
      <c r="B619" s="3" t="s">
        <v>23</v>
      </c>
      <c r="C619" s="5" t="str">
        <f aca="false">'🤖 Reka Flash'!C124</f>
        <v>5W1H</v>
      </c>
      <c r="D619" s="161" t="n">
        <f aca="false">'🤖 Reka Flash'!E124</f>
        <v>0.002427184466</v>
      </c>
      <c r="E619" s="118" t="n">
        <f aca="false">'🤖 Reka Flash'!F124</f>
        <v>0</v>
      </c>
      <c r="F619" s="118" t="n">
        <f aca="false">'🤖 Reka Flash'!G124</f>
        <v>0</v>
      </c>
      <c r="G619" s="118" t="n">
        <f aca="false">'🤖 Reka Flash'!H124</f>
        <v>0</v>
      </c>
      <c r="H619" s="118" t="n">
        <f aca="false">'🤖 Reka Flash'!I124</f>
        <v>0</v>
      </c>
      <c r="I619" s="118" t="n">
        <f aca="false">'🤖 Reka Flash'!J124</f>
        <v>0</v>
      </c>
    </row>
    <row r="620" customFormat="false" ht="15.75" hidden="false" customHeight="false" outlineLevel="0" collapsed="false">
      <c r="A620" s="116" t="n">
        <f aca="false">'🤖 Reka Flash'!$A$122</f>
        <v>0</v>
      </c>
      <c r="B620" s="3" t="s">
        <v>23</v>
      </c>
      <c r="C620" s="5" t="str">
        <f aca="false">'🤖 Reka Flash'!C125</f>
        <v>tldr</v>
      </c>
      <c r="D620" s="161" t="n">
        <f aca="false">'🤖 Reka Flash'!E125</f>
        <v>0.002427184466</v>
      </c>
      <c r="E620" s="118" t="n">
        <f aca="false">'🤖 Reka Flash'!F125</f>
        <v>0</v>
      </c>
      <c r="F620" s="118" t="n">
        <f aca="false">'🤖 Reka Flash'!G125</f>
        <v>0</v>
      </c>
      <c r="G620" s="118" t="n">
        <f aca="false">'🤖 Reka Flash'!H125</f>
        <v>0</v>
      </c>
      <c r="H620" s="118" t="n">
        <f aca="false">'🤖 Reka Flash'!I125</f>
        <v>0</v>
      </c>
      <c r="I620" s="118" t="n">
        <f aca="false">'🤖 Reka Flash'!J125</f>
        <v>0</v>
      </c>
    </row>
    <row r="621" customFormat="false" ht="15.75" hidden="false" customHeight="false" outlineLevel="0" collapsed="false">
      <c r="A621" s="116"/>
      <c r="B621" s="3"/>
      <c r="C621" s="5"/>
      <c r="D621" s="161"/>
      <c r="E621" s="5"/>
      <c r="F621" s="5"/>
      <c r="G621" s="5"/>
      <c r="H621" s="5"/>
      <c r="I621" s="5"/>
    </row>
    <row r="622" customFormat="false" ht="15.75" hidden="false" customHeight="false" outlineLevel="0" collapsed="false">
      <c r="A622" s="116" t="n">
        <f aca="false">'🤖 Reka Flash'!$A$127</f>
        <v>0</v>
      </c>
      <c r="B622" s="3" t="s">
        <v>23</v>
      </c>
      <c r="C622" s="5" t="str">
        <f aca="false">'🤖 Reka Flash'!C127</f>
        <v>Base</v>
      </c>
      <c r="D622" s="161" t="n">
        <f aca="false">'🤖 Reka Flash'!E127</f>
        <v>0.002427184466</v>
      </c>
      <c r="E622" s="118" t="n">
        <f aca="false">'🤖 Reka Flash'!F127</f>
        <v>0</v>
      </c>
      <c r="F622" s="118" t="n">
        <f aca="false">'🤖 Reka Flash'!G127</f>
        <v>0</v>
      </c>
      <c r="G622" s="118" t="n">
        <f aca="false">'🤖 Reka Flash'!H127</f>
        <v>0</v>
      </c>
      <c r="H622" s="118" t="n">
        <f aca="false">'🤖 Reka Flash'!I127</f>
        <v>0</v>
      </c>
      <c r="I622" s="118" t="n">
        <f aca="false">'🤖 Reka Flash'!J127</f>
        <v>0</v>
      </c>
    </row>
    <row r="623" customFormat="false" ht="15.75" hidden="false" customHeight="false" outlineLevel="0" collapsed="false">
      <c r="A623" s="116" t="n">
        <f aca="false">'🤖 Reka Flash'!$A$127</f>
        <v>0</v>
      </c>
      <c r="B623" s="3" t="s">
        <v>23</v>
      </c>
      <c r="C623" s="5" t="str">
        <f aca="false">'🤖 Reka Flash'!C128</f>
        <v>CoT</v>
      </c>
      <c r="D623" s="161" t="n">
        <f aca="false">'🤖 Reka Flash'!E128</f>
        <v>0.002427184466</v>
      </c>
      <c r="E623" s="118" t="n">
        <f aca="false">'🤖 Reka Flash'!F128</f>
        <v>0</v>
      </c>
      <c r="F623" s="118" t="n">
        <f aca="false">'🤖 Reka Flash'!G128</f>
        <v>0</v>
      </c>
      <c r="G623" s="118" t="n">
        <f aca="false">'🤖 Reka Flash'!H128</f>
        <v>0</v>
      </c>
      <c r="H623" s="118" t="n">
        <f aca="false">'🤖 Reka Flash'!I128</f>
        <v>0</v>
      </c>
      <c r="I623" s="118" t="n">
        <f aca="false">'🤖 Reka Flash'!J128</f>
        <v>0</v>
      </c>
    </row>
    <row r="624" customFormat="false" ht="15.75" hidden="false" customHeight="false" outlineLevel="0" collapsed="false">
      <c r="A624" s="116" t="n">
        <f aca="false">'🤖 Reka Flash'!$A$127</f>
        <v>0</v>
      </c>
      <c r="B624" s="3" t="s">
        <v>23</v>
      </c>
      <c r="C624" s="5" t="str">
        <f aca="false">'🤖 Reka Flash'!C129</f>
        <v>5W1H</v>
      </c>
      <c r="D624" s="161" t="n">
        <f aca="false">'🤖 Reka Flash'!E129</f>
        <v>0.002427184466</v>
      </c>
      <c r="E624" s="118" t="n">
        <f aca="false">'🤖 Reka Flash'!F129</f>
        <v>0</v>
      </c>
      <c r="F624" s="118" t="n">
        <f aca="false">'🤖 Reka Flash'!G129</f>
        <v>0</v>
      </c>
      <c r="G624" s="118" t="n">
        <f aca="false">'🤖 Reka Flash'!H129</f>
        <v>0</v>
      </c>
      <c r="H624" s="118" t="n">
        <f aca="false">'🤖 Reka Flash'!I129</f>
        <v>0</v>
      </c>
      <c r="I624" s="118" t="n">
        <f aca="false">'🤖 Reka Flash'!J129</f>
        <v>0</v>
      </c>
    </row>
    <row r="625" customFormat="false" ht="15.75" hidden="false" customHeight="false" outlineLevel="0" collapsed="false">
      <c r="A625" s="116" t="n">
        <f aca="false">'🤖 Reka Flash'!$A$127</f>
        <v>0</v>
      </c>
      <c r="B625" s="3" t="s">
        <v>23</v>
      </c>
      <c r="C625" s="5" t="str">
        <f aca="false">'🤖 Reka Flash'!C130</f>
        <v>tldr</v>
      </c>
      <c r="D625" s="161" t="n">
        <f aca="false">'🤖 Reka Flash'!E130</f>
        <v>0.002427184466</v>
      </c>
      <c r="E625" s="118" t="n">
        <f aca="false">'🤖 Reka Flash'!F130</f>
        <v>0</v>
      </c>
      <c r="F625" s="118" t="n">
        <f aca="false">'🤖 Reka Flash'!G130</f>
        <v>0</v>
      </c>
      <c r="G625" s="118" t="n">
        <f aca="false">'🤖 Reka Flash'!H130</f>
        <v>0</v>
      </c>
      <c r="H625" s="118" t="n">
        <f aca="false">'🤖 Reka Flash'!I130</f>
        <v>0</v>
      </c>
      <c r="I625" s="118" t="n">
        <f aca="false">'🤖 Reka Flash'!J130</f>
        <v>0</v>
      </c>
    </row>
    <row r="626" customFormat="false" ht="15.75" hidden="false" customHeight="false" outlineLevel="0" collapsed="false">
      <c r="A626" s="116"/>
      <c r="B626" s="3"/>
      <c r="C626" s="5"/>
      <c r="D626" s="161"/>
      <c r="E626" s="5"/>
      <c r="F626" s="5"/>
      <c r="G626" s="5"/>
      <c r="H626" s="5"/>
      <c r="I626" s="5"/>
    </row>
    <row r="627" customFormat="false" ht="15.75" hidden="false" customHeight="false" outlineLevel="0" collapsed="false">
      <c r="A627" s="116" t="n">
        <f aca="false">'🤖 Reka Flash'!$A$132</f>
        <v>0</v>
      </c>
      <c r="B627" s="3" t="s">
        <v>23</v>
      </c>
      <c r="C627" s="5" t="str">
        <f aca="false">'🤖 Reka Flash'!C132</f>
        <v>Base</v>
      </c>
      <c r="D627" s="161" t="n">
        <f aca="false">'🤖 Reka Flash'!E132</f>
        <v>0.002427184466</v>
      </c>
      <c r="E627" s="118" t="n">
        <f aca="false">'🤖 Reka Flash'!F132</f>
        <v>0</v>
      </c>
      <c r="F627" s="118" t="n">
        <f aca="false">'🤖 Reka Flash'!G132</f>
        <v>0</v>
      </c>
      <c r="G627" s="118" t="n">
        <f aca="false">'🤖 Reka Flash'!H132</f>
        <v>0</v>
      </c>
      <c r="H627" s="118" t="n">
        <f aca="false">'🤖 Reka Flash'!I132</f>
        <v>0</v>
      </c>
      <c r="I627" s="118" t="n">
        <f aca="false">'🤖 Reka Flash'!J132</f>
        <v>0</v>
      </c>
    </row>
    <row r="628" customFormat="false" ht="15.75" hidden="false" customHeight="false" outlineLevel="0" collapsed="false">
      <c r="A628" s="116" t="n">
        <f aca="false">'🤖 Reka Flash'!$A$132</f>
        <v>0</v>
      </c>
      <c r="B628" s="3" t="s">
        <v>23</v>
      </c>
      <c r="C628" s="5" t="str">
        <f aca="false">'🤖 Reka Flash'!C133</f>
        <v>CoT</v>
      </c>
      <c r="D628" s="161" t="n">
        <f aca="false">'🤖 Reka Flash'!E133</f>
        <v>0.002427184466</v>
      </c>
      <c r="E628" s="118" t="n">
        <f aca="false">'🤖 Reka Flash'!F133</f>
        <v>0</v>
      </c>
      <c r="F628" s="118" t="n">
        <f aca="false">'🤖 Reka Flash'!G133</f>
        <v>0</v>
      </c>
      <c r="G628" s="118" t="n">
        <f aca="false">'🤖 Reka Flash'!H133</f>
        <v>0</v>
      </c>
      <c r="H628" s="118" t="n">
        <f aca="false">'🤖 Reka Flash'!I133</f>
        <v>0</v>
      </c>
      <c r="I628" s="118" t="n">
        <f aca="false">'🤖 Reka Flash'!J133</f>
        <v>0</v>
      </c>
    </row>
    <row r="629" customFormat="false" ht="15.75" hidden="false" customHeight="false" outlineLevel="0" collapsed="false">
      <c r="A629" s="116" t="n">
        <f aca="false">'🤖 Reka Flash'!$A$132</f>
        <v>0</v>
      </c>
      <c r="B629" s="3" t="s">
        <v>23</v>
      </c>
      <c r="C629" s="5" t="str">
        <f aca="false">'🤖 Reka Flash'!C134</f>
        <v>5W1H</v>
      </c>
      <c r="D629" s="161" t="n">
        <f aca="false">'🤖 Reka Flash'!E134</f>
        <v>0.002427184466</v>
      </c>
      <c r="E629" s="118" t="n">
        <f aca="false">'🤖 Reka Flash'!F134</f>
        <v>0</v>
      </c>
      <c r="F629" s="118" t="n">
        <f aca="false">'🤖 Reka Flash'!G134</f>
        <v>0</v>
      </c>
      <c r="G629" s="118" t="n">
        <f aca="false">'🤖 Reka Flash'!H134</f>
        <v>0</v>
      </c>
      <c r="H629" s="118" t="n">
        <f aca="false">'🤖 Reka Flash'!I134</f>
        <v>0</v>
      </c>
      <c r="I629" s="118" t="n">
        <f aca="false">'🤖 Reka Flash'!J134</f>
        <v>0</v>
      </c>
    </row>
    <row r="630" customFormat="false" ht="15.75" hidden="false" customHeight="false" outlineLevel="0" collapsed="false">
      <c r="A630" s="116" t="n">
        <f aca="false">'🤖 Reka Flash'!$A$132</f>
        <v>0</v>
      </c>
      <c r="B630" s="3" t="s">
        <v>23</v>
      </c>
      <c r="C630" s="5" t="str">
        <f aca="false">'🤖 Reka Flash'!C135</f>
        <v>tldr</v>
      </c>
      <c r="D630" s="161" t="n">
        <f aca="false">'🤖 Reka Flash'!E135</f>
        <v>0.002427184466</v>
      </c>
      <c r="E630" s="118" t="n">
        <f aca="false">'🤖 Reka Flash'!F135</f>
        <v>0</v>
      </c>
      <c r="F630" s="118" t="n">
        <f aca="false">'🤖 Reka Flash'!G135</f>
        <v>0</v>
      </c>
      <c r="G630" s="118" t="n">
        <f aca="false">'🤖 Reka Flash'!H135</f>
        <v>0</v>
      </c>
      <c r="H630" s="118" t="n">
        <f aca="false">'🤖 Reka Flash'!I135</f>
        <v>0</v>
      </c>
      <c r="I630" s="118" t="n">
        <f aca="false">'🤖 Reka Flash'!J135</f>
        <v>0</v>
      </c>
    </row>
    <row r="631" customFormat="false" ht="15.75" hidden="false" customHeight="false" outlineLevel="0" collapsed="false">
      <c r="A631" s="116"/>
      <c r="B631" s="3"/>
      <c r="C631" s="5"/>
      <c r="D631" s="161"/>
      <c r="E631" s="5"/>
      <c r="F631" s="5"/>
      <c r="G631" s="5"/>
      <c r="H631" s="5"/>
      <c r="I631" s="5"/>
    </row>
    <row r="632" customFormat="false" ht="15.75" hidden="false" customHeight="false" outlineLevel="0" collapsed="false">
      <c r="A632" s="116" t="n">
        <f aca="false">'🤖 Reka Flash'!$A$137</f>
        <v>0</v>
      </c>
      <c r="B632" s="3" t="s">
        <v>23</v>
      </c>
      <c r="C632" s="5" t="str">
        <f aca="false">'🤖 Reka Flash'!C137</f>
        <v>Base</v>
      </c>
      <c r="D632" s="161" t="n">
        <f aca="false">'🤖 Reka Flash'!E137</f>
        <v>0.002427184466</v>
      </c>
      <c r="E632" s="118" t="n">
        <f aca="false">'🤖 Reka Flash'!F137</f>
        <v>0</v>
      </c>
      <c r="F632" s="118" t="n">
        <f aca="false">'🤖 Reka Flash'!G137</f>
        <v>0</v>
      </c>
      <c r="G632" s="118" t="n">
        <f aca="false">'🤖 Reka Flash'!H137</f>
        <v>0</v>
      </c>
      <c r="H632" s="118" t="n">
        <f aca="false">'🤖 Reka Flash'!I137</f>
        <v>0</v>
      </c>
      <c r="I632" s="118" t="n">
        <f aca="false">'🤖 Reka Flash'!J137</f>
        <v>0</v>
      </c>
    </row>
    <row r="633" customFormat="false" ht="15.75" hidden="false" customHeight="false" outlineLevel="0" collapsed="false">
      <c r="A633" s="116" t="n">
        <f aca="false">'🤖 Reka Flash'!$A$137</f>
        <v>0</v>
      </c>
      <c r="B633" s="3" t="s">
        <v>23</v>
      </c>
      <c r="C633" s="5" t="str">
        <f aca="false">'🤖 Reka Flash'!C138</f>
        <v>CoT</v>
      </c>
      <c r="D633" s="161" t="n">
        <f aca="false">'🤖 Reka Flash'!E138</f>
        <v>0.002427184466</v>
      </c>
      <c r="E633" s="118" t="n">
        <f aca="false">'🤖 Reka Flash'!F138</f>
        <v>0</v>
      </c>
      <c r="F633" s="118" t="n">
        <f aca="false">'🤖 Reka Flash'!G138</f>
        <v>0</v>
      </c>
      <c r="G633" s="118" t="n">
        <f aca="false">'🤖 Reka Flash'!H138</f>
        <v>0</v>
      </c>
      <c r="H633" s="118" t="n">
        <f aca="false">'🤖 Reka Flash'!I138</f>
        <v>0</v>
      </c>
      <c r="I633" s="118" t="n">
        <f aca="false">'🤖 Reka Flash'!J138</f>
        <v>0</v>
      </c>
    </row>
    <row r="634" customFormat="false" ht="15.75" hidden="false" customHeight="false" outlineLevel="0" collapsed="false">
      <c r="A634" s="116" t="n">
        <f aca="false">'🤖 Reka Flash'!$A$137</f>
        <v>0</v>
      </c>
      <c r="B634" s="3" t="s">
        <v>23</v>
      </c>
      <c r="C634" s="5" t="str">
        <f aca="false">'🤖 Reka Flash'!C139</f>
        <v>5W1H</v>
      </c>
      <c r="D634" s="161" t="n">
        <f aca="false">'🤖 Reka Flash'!E139</f>
        <v>0.002427184466</v>
      </c>
      <c r="E634" s="118" t="n">
        <f aca="false">'🤖 Reka Flash'!F139</f>
        <v>0</v>
      </c>
      <c r="F634" s="118" t="n">
        <f aca="false">'🤖 Reka Flash'!G139</f>
        <v>0</v>
      </c>
      <c r="G634" s="118" t="n">
        <f aca="false">'🤖 Reka Flash'!H139</f>
        <v>0</v>
      </c>
      <c r="H634" s="118" t="n">
        <f aca="false">'🤖 Reka Flash'!I139</f>
        <v>0</v>
      </c>
      <c r="I634" s="118" t="n">
        <f aca="false">'🤖 Reka Flash'!J139</f>
        <v>0</v>
      </c>
    </row>
    <row r="635" customFormat="false" ht="15.75" hidden="false" customHeight="false" outlineLevel="0" collapsed="false">
      <c r="A635" s="116" t="n">
        <f aca="false">'🤖 Reka Flash'!$A$137</f>
        <v>0</v>
      </c>
      <c r="B635" s="3" t="s">
        <v>23</v>
      </c>
      <c r="C635" s="5" t="str">
        <f aca="false">'🤖 Reka Flash'!C140</f>
        <v>tldr</v>
      </c>
      <c r="D635" s="161" t="n">
        <f aca="false">'🤖 Reka Flash'!E140</f>
        <v>0.002427184466</v>
      </c>
      <c r="E635" s="118" t="n">
        <f aca="false">'🤖 Reka Flash'!F140</f>
        <v>0</v>
      </c>
      <c r="F635" s="118" t="n">
        <f aca="false">'🤖 Reka Flash'!G140</f>
        <v>0</v>
      </c>
      <c r="G635" s="118" t="n">
        <f aca="false">'🤖 Reka Flash'!H140</f>
        <v>0</v>
      </c>
      <c r="H635" s="118" t="n">
        <f aca="false">'🤖 Reka Flash'!I140</f>
        <v>0</v>
      </c>
      <c r="I635" s="118" t="n">
        <f aca="false">'🤖 Reka Flash'!J140</f>
        <v>0</v>
      </c>
    </row>
    <row r="636" customFormat="false" ht="15.75" hidden="false" customHeight="false" outlineLevel="0" collapsed="false">
      <c r="A636" s="116"/>
      <c r="B636" s="3"/>
      <c r="C636" s="5"/>
      <c r="D636" s="161"/>
      <c r="E636" s="5"/>
      <c r="F636" s="5"/>
      <c r="G636" s="5"/>
      <c r="H636" s="5"/>
      <c r="I636" s="5"/>
    </row>
    <row r="637" customFormat="false" ht="15.75" hidden="false" customHeight="false" outlineLevel="0" collapsed="false">
      <c r="A637" s="116" t="n">
        <f aca="false">'🤖 Reka Flash'!$A$142</f>
        <v>0</v>
      </c>
      <c r="B637" s="3" t="s">
        <v>23</v>
      </c>
      <c r="C637" s="5" t="str">
        <f aca="false">'🤖 Reka Flash'!C142</f>
        <v>Base</v>
      </c>
      <c r="D637" s="161" t="n">
        <f aca="false">'🤖 Reka Flash'!E142</f>
        <v>0.002427184466</v>
      </c>
      <c r="E637" s="118" t="n">
        <f aca="false">'🤖 Reka Flash'!F142</f>
        <v>0</v>
      </c>
      <c r="F637" s="118" t="n">
        <f aca="false">'🤖 Reka Flash'!G142</f>
        <v>0</v>
      </c>
      <c r="G637" s="118" t="n">
        <f aca="false">'🤖 Reka Flash'!H142</f>
        <v>0</v>
      </c>
      <c r="H637" s="118" t="n">
        <f aca="false">'🤖 Reka Flash'!I142</f>
        <v>0</v>
      </c>
      <c r="I637" s="118" t="n">
        <f aca="false">'🤖 Reka Flash'!J142</f>
        <v>0</v>
      </c>
    </row>
    <row r="638" customFormat="false" ht="15.75" hidden="false" customHeight="false" outlineLevel="0" collapsed="false">
      <c r="A638" s="116" t="n">
        <f aca="false">'🤖 Reka Flash'!$A$142</f>
        <v>0</v>
      </c>
      <c r="B638" s="3" t="s">
        <v>23</v>
      </c>
      <c r="C638" s="5" t="str">
        <f aca="false">'🤖 Reka Flash'!C143</f>
        <v>CoT</v>
      </c>
      <c r="D638" s="161" t="n">
        <f aca="false">'🤖 Reka Flash'!E143</f>
        <v>0.002427184466</v>
      </c>
      <c r="E638" s="118" t="n">
        <f aca="false">'🤖 Reka Flash'!F143</f>
        <v>0</v>
      </c>
      <c r="F638" s="118" t="n">
        <f aca="false">'🤖 Reka Flash'!G143</f>
        <v>0</v>
      </c>
      <c r="G638" s="118" t="n">
        <f aca="false">'🤖 Reka Flash'!H143</f>
        <v>0</v>
      </c>
      <c r="H638" s="118" t="n">
        <f aca="false">'🤖 Reka Flash'!I143</f>
        <v>0</v>
      </c>
      <c r="I638" s="118" t="n">
        <f aca="false">'🤖 Reka Flash'!J143</f>
        <v>0</v>
      </c>
    </row>
    <row r="639" customFormat="false" ht="15.75" hidden="false" customHeight="false" outlineLevel="0" collapsed="false">
      <c r="A639" s="116" t="n">
        <f aca="false">'🤖 Reka Flash'!$A$142</f>
        <v>0</v>
      </c>
      <c r="B639" s="3" t="s">
        <v>23</v>
      </c>
      <c r="C639" s="5" t="str">
        <f aca="false">'🤖 Reka Flash'!C144</f>
        <v>5W1H</v>
      </c>
      <c r="D639" s="161" t="n">
        <f aca="false">'🤖 Reka Flash'!E144</f>
        <v>0.002427184466</v>
      </c>
      <c r="E639" s="118" t="n">
        <f aca="false">'🤖 Reka Flash'!F144</f>
        <v>0</v>
      </c>
      <c r="F639" s="118" t="n">
        <f aca="false">'🤖 Reka Flash'!G144</f>
        <v>0</v>
      </c>
      <c r="G639" s="118" t="n">
        <f aca="false">'🤖 Reka Flash'!H144</f>
        <v>0</v>
      </c>
      <c r="H639" s="118" t="n">
        <f aca="false">'🤖 Reka Flash'!I144</f>
        <v>0</v>
      </c>
      <c r="I639" s="118" t="n">
        <f aca="false">'🤖 Reka Flash'!J144</f>
        <v>0</v>
      </c>
    </row>
    <row r="640" customFormat="false" ht="15.75" hidden="false" customHeight="false" outlineLevel="0" collapsed="false">
      <c r="A640" s="116" t="n">
        <f aca="false">'🤖 Reka Flash'!$A$142</f>
        <v>0</v>
      </c>
      <c r="B640" s="3" t="s">
        <v>23</v>
      </c>
      <c r="C640" s="5" t="str">
        <f aca="false">'🤖 Reka Flash'!C145</f>
        <v>tldr</v>
      </c>
      <c r="D640" s="161" t="n">
        <f aca="false">'🤖 Reka Flash'!E145</f>
        <v>0.002427184466</v>
      </c>
      <c r="E640" s="118" t="n">
        <f aca="false">'🤖 Reka Flash'!F145</f>
        <v>0</v>
      </c>
      <c r="F640" s="118" t="n">
        <f aca="false">'🤖 Reka Flash'!G145</f>
        <v>0</v>
      </c>
      <c r="G640" s="118" t="n">
        <f aca="false">'🤖 Reka Flash'!H145</f>
        <v>0</v>
      </c>
      <c r="H640" s="118" t="n">
        <f aca="false">'🤖 Reka Flash'!I145</f>
        <v>0</v>
      </c>
      <c r="I640" s="118" t="n">
        <f aca="false">'🤖 Reka Flash'!J145</f>
        <v>0</v>
      </c>
    </row>
    <row r="641" customFormat="false" ht="15.75" hidden="false" customHeight="false" outlineLevel="0" collapsed="false">
      <c r="A641" s="116"/>
      <c r="B641" s="3"/>
      <c r="C641" s="5"/>
      <c r="D641" s="161"/>
      <c r="E641" s="5"/>
      <c r="F641" s="5"/>
      <c r="G641" s="5"/>
      <c r="H641" s="5"/>
      <c r="I641" s="5"/>
    </row>
    <row r="642" customFormat="false" ht="15.75" hidden="false" customHeight="false" outlineLevel="0" collapsed="false">
      <c r="A642" s="116" t="n">
        <f aca="false">'🤖 Reka Flash'!$A$147</f>
        <v>0</v>
      </c>
      <c r="B642" s="3" t="s">
        <v>23</v>
      </c>
      <c r="C642" s="5" t="str">
        <f aca="false">'🤖 Reka Flash'!C147</f>
        <v>Base</v>
      </c>
      <c r="D642" s="161" t="n">
        <f aca="false">'🤖 Reka Flash'!E147</f>
        <v>0.002427184466</v>
      </c>
      <c r="E642" s="118" t="n">
        <f aca="false">'🤖 Reka Flash'!F147</f>
        <v>0</v>
      </c>
      <c r="F642" s="118" t="n">
        <f aca="false">'🤖 Reka Flash'!G147</f>
        <v>0</v>
      </c>
      <c r="G642" s="118" t="n">
        <f aca="false">'🤖 Reka Flash'!H147</f>
        <v>0</v>
      </c>
      <c r="H642" s="118" t="n">
        <f aca="false">'🤖 Reka Flash'!I147</f>
        <v>0</v>
      </c>
      <c r="I642" s="118" t="n">
        <f aca="false">'🤖 Reka Flash'!J147</f>
        <v>0</v>
      </c>
    </row>
    <row r="643" customFormat="false" ht="15.75" hidden="false" customHeight="false" outlineLevel="0" collapsed="false">
      <c r="A643" s="116" t="n">
        <f aca="false">'🤖 Reka Flash'!$A$147</f>
        <v>0</v>
      </c>
      <c r="B643" s="3" t="s">
        <v>23</v>
      </c>
      <c r="C643" s="5" t="str">
        <f aca="false">'🤖 Reka Flash'!C148</f>
        <v>CoT</v>
      </c>
      <c r="D643" s="161" t="n">
        <f aca="false">'🤖 Reka Flash'!E148</f>
        <v>0.002427184466</v>
      </c>
      <c r="E643" s="118" t="n">
        <f aca="false">'🤖 Reka Flash'!F148</f>
        <v>0</v>
      </c>
      <c r="F643" s="118" t="n">
        <f aca="false">'🤖 Reka Flash'!G148</f>
        <v>0</v>
      </c>
      <c r="G643" s="118" t="n">
        <f aca="false">'🤖 Reka Flash'!H148</f>
        <v>0</v>
      </c>
      <c r="H643" s="118" t="n">
        <f aca="false">'🤖 Reka Flash'!I148</f>
        <v>0</v>
      </c>
      <c r="I643" s="118" t="n">
        <f aca="false">'🤖 Reka Flash'!J148</f>
        <v>0</v>
      </c>
    </row>
    <row r="644" customFormat="false" ht="15.75" hidden="false" customHeight="false" outlineLevel="0" collapsed="false">
      <c r="A644" s="116" t="n">
        <f aca="false">'🤖 Reka Flash'!$A$147</f>
        <v>0</v>
      </c>
      <c r="B644" s="3" t="s">
        <v>23</v>
      </c>
      <c r="C644" s="5" t="str">
        <f aca="false">'🤖 Reka Flash'!C149</f>
        <v>5W1H</v>
      </c>
      <c r="D644" s="161" t="n">
        <f aca="false">'🤖 Reka Flash'!E149</f>
        <v>0.002427184466</v>
      </c>
      <c r="E644" s="118" t="n">
        <f aca="false">'🤖 Reka Flash'!F149</f>
        <v>0</v>
      </c>
      <c r="F644" s="118" t="n">
        <f aca="false">'🤖 Reka Flash'!G149</f>
        <v>0</v>
      </c>
      <c r="G644" s="118" t="n">
        <f aca="false">'🤖 Reka Flash'!H149</f>
        <v>0</v>
      </c>
      <c r="H644" s="118" t="n">
        <f aca="false">'🤖 Reka Flash'!I149</f>
        <v>0</v>
      </c>
      <c r="I644" s="118" t="n">
        <f aca="false">'🤖 Reka Flash'!J149</f>
        <v>0</v>
      </c>
    </row>
    <row r="645" customFormat="false" ht="15.75" hidden="false" customHeight="false" outlineLevel="0" collapsed="false">
      <c r="A645" s="116" t="n">
        <f aca="false">'🤖 Reka Flash'!$A$147</f>
        <v>0</v>
      </c>
      <c r="B645" s="3" t="s">
        <v>23</v>
      </c>
      <c r="C645" s="5" t="str">
        <f aca="false">'🤖 Reka Flash'!C150</f>
        <v>tldr</v>
      </c>
      <c r="D645" s="161" t="n">
        <f aca="false">'🤖 Reka Flash'!E150</f>
        <v>0.002427184466</v>
      </c>
      <c r="E645" s="118" t="n">
        <f aca="false">'🤖 Reka Flash'!F150</f>
        <v>0</v>
      </c>
      <c r="F645" s="118" t="n">
        <f aca="false">'🤖 Reka Flash'!G150</f>
        <v>0</v>
      </c>
      <c r="G645" s="118" t="n">
        <f aca="false">'🤖 Reka Flash'!H150</f>
        <v>0</v>
      </c>
      <c r="H645" s="118" t="n">
        <f aca="false">'🤖 Reka Flash'!I150</f>
        <v>0</v>
      </c>
      <c r="I645" s="118" t="n">
        <f aca="false">'🤖 Reka Flash'!J150</f>
        <v>0</v>
      </c>
    </row>
    <row r="646" customFormat="false" ht="15.75" hidden="false" customHeight="false" outlineLevel="0" collapsed="false">
      <c r="A646" s="116"/>
      <c r="B646" s="3"/>
      <c r="C646" s="5"/>
      <c r="D646" s="161"/>
      <c r="E646" s="5"/>
      <c r="F646" s="5"/>
      <c r="G646" s="5"/>
      <c r="H646" s="5"/>
      <c r="I646" s="5"/>
    </row>
    <row r="647" customFormat="false" ht="15.75" hidden="false" customHeight="false" outlineLevel="0" collapsed="false">
      <c r="A647" s="116" t="n">
        <f aca="false">'🤖 Reka Flash'!$A$152</f>
        <v>0</v>
      </c>
      <c r="B647" s="3" t="s">
        <v>23</v>
      </c>
      <c r="C647" s="5" t="str">
        <f aca="false">'🤖 Reka Flash'!C152</f>
        <v>Base</v>
      </c>
      <c r="D647" s="161" t="n">
        <f aca="false">'🤖 Reka Flash'!E152</f>
        <v>0.002427184466</v>
      </c>
      <c r="E647" s="118" t="n">
        <f aca="false">'🤖 Reka Flash'!F152</f>
        <v>0</v>
      </c>
      <c r="F647" s="118" t="n">
        <f aca="false">'🤖 Reka Flash'!G152</f>
        <v>0</v>
      </c>
      <c r="G647" s="118" t="n">
        <f aca="false">'🤖 Reka Flash'!H152</f>
        <v>0</v>
      </c>
      <c r="H647" s="118" t="n">
        <f aca="false">'🤖 Reka Flash'!I152</f>
        <v>0</v>
      </c>
      <c r="I647" s="118" t="n">
        <f aca="false">'🤖 Reka Flash'!J152</f>
        <v>0</v>
      </c>
    </row>
    <row r="648" customFormat="false" ht="15.75" hidden="false" customHeight="false" outlineLevel="0" collapsed="false">
      <c r="A648" s="116" t="n">
        <f aca="false">'🤖 Reka Flash'!$A$152</f>
        <v>0</v>
      </c>
      <c r="B648" s="3" t="s">
        <v>23</v>
      </c>
      <c r="C648" s="5" t="str">
        <f aca="false">'🤖 Reka Flash'!C153</f>
        <v>CoT</v>
      </c>
      <c r="D648" s="161" t="n">
        <f aca="false">'🤖 Reka Flash'!E153</f>
        <v>0.002427184466</v>
      </c>
      <c r="E648" s="118" t="n">
        <f aca="false">'🤖 Reka Flash'!F153</f>
        <v>0</v>
      </c>
      <c r="F648" s="118" t="n">
        <f aca="false">'🤖 Reka Flash'!G153</f>
        <v>0</v>
      </c>
      <c r="G648" s="118" t="n">
        <f aca="false">'🤖 Reka Flash'!H153</f>
        <v>0</v>
      </c>
      <c r="H648" s="118" t="n">
        <f aca="false">'🤖 Reka Flash'!I153</f>
        <v>0</v>
      </c>
      <c r="I648" s="118" t="n">
        <f aca="false">'🤖 Reka Flash'!J153</f>
        <v>0</v>
      </c>
    </row>
    <row r="649" customFormat="false" ht="15.75" hidden="false" customHeight="false" outlineLevel="0" collapsed="false">
      <c r="A649" s="116" t="n">
        <f aca="false">'🤖 Reka Flash'!$A$152</f>
        <v>0</v>
      </c>
      <c r="B649" s="3" t="s">
        <v>23</v>
      </c>
      <c r="C649" s="5" t="str">
        <f aca="false">'🤖 Reka Flash'!C154</f>
        <v>5W1H</v>
      </c>
      <c r="D649" s="161" t="n">
        <f aca="false">'🤖 Reka Flash'!E154</f>
        <v>0.002427184466</v>
      </c>
      <c r="E649" s="118" t="n">
        <f aca="false">'🤖 Reka Flash'!F154</f>
        <v>0</v>
      </c>
      <c r="F649" s="118" t="n">
        <f aca="false">'🤖 Reka Flash'!G154</f>
        <v>0</v>
      </c>
      <c r="G649" s="118" t="n">
        <f aca="false">'🤖 Reka Flash'!H154</f>
        <v>0</v>
      </c>
      <c r="H649" s="118" t="n">
        <f aca="false">'🤖 Reka Flash'!I154</f>
        <v>0</v>
      </c>
      <c r="I649" s="118" t="n">
        <f aca="false">'🤖 Reka Flash'!J154</f>
        <v>0</v>
      </c>
    </row>
    <row r="650" customFormat="false" ht="15.75" hidden="false" customHeight="false" outlineLevel="0" collapsed="false">
      <c r="A650" s="116" t="n">
        <f aca="false">'🤖 Reka Flash'!$A$152</f>
        <v>0</v>
      </c>
      <c r="B650" s="3" t="s">
        <v>23</v>
      </c>
      <c r="C650" s="5" t="str">
        <f aca="false">'🤖 Reka Flash'!C155</f>
        <v>tldr</v>
      </c>
      <c r="D650" s="161" t="n">
        <f aca="false">'🤖 Reka Flash'!E155</f>
        <v>0.002427184466</v>
      </c>
      <c r="E650" s="118" t="n">
        <f aca="false">'🤖 Reka Flash'!F155</f>
        <v>0</v>
      </c>
      <c r="F650" s="118" t="n">
        <f aca="false">'🤖 Reka Flash'!G155</f>
        <v>0</v>
      </c>
      <c r="G650" s="118" t="n">
        <f aca="false">'🤖 Reka Flash'!H155</f>
        <v>0</v>
      </c>
      <c r="H650" s="118" t="n">
        <f aca="false">'🤖 Reka Flash'!I155</f>
        <v>0</v>
      </c>
      <c r="I650" s="118" t="n">
        <f aca="false">'🤖 Reka Flash'!J155</f>
        <v>0</v>
      </c>
    </row>
    <row r="651" customFormat="false" ht="15.75" hidden="false" customHeight="false" outlineLevel="0" collapsed="false">
      <c r="A651" s="116"/>
      <c r="B651" s="3"/>
      <c r="C651" s="5"/>
      <c r="D651" s="161"/>
      <c r="E651" s="5"/>
      <c r="F651" s="5"/>
      <c r="G651" s="5"/>
      <c r="H651" s="5"/>
      <c r="I651" s="5"/>
    </row>
    <row r="652" customFormat="false" ht="15.75" hidden="false" customHeight="false" outlineLevel="0" collapsed="false">
      <c r="A652" s="116" t="n">
        <f aca="false">'🤖 Reka Flash'!$A$157</f>
        <v>0</v>
      </c>
      <c r="B652" s="3" t="s">
        <v>23</v>
      </c>
      <c r="C652" s="5" t="str">
        <f aca="false">'🤖 Reka Flash'!C157</f>
        <v>Base</v>
      </c>
      <c r="D652" s="161" t="n">
        <f aca="false">'🤖 Reka Flash'!E157</f>
        <v>0.002427184466</v>
      </c>
      <c r="E652" s="118" t="n">
        <f aca="false">'🤖 Reka Flash'!F157</f>
        <v>0</v>
      </c>
      <c r="F652" s="118" t="n">
        <f aca="false">'🤖 Reka Flash'!G157</f>
        <v>0</v>
      </c>
      <c r="G652" s="118" t="n">
        <f aca="false">'🤖 Reka Flash'!H157</f>
        <v>0</v>
      </c>
      <c r="H652" s="118" t="n">
        <f aca="false">'🤖 Reka Flash'!I157</f>
        <v>0</v>
      </c>
      <c r="I652" s="118" t="n">
        <f aca="false">'🤖 Reka Flash'!J157</f>
        <v>0</v>
      </c>
    </row>
    <row r="653" customFormat="false" ht="15.75" hidden="false" customHeight="false" outlineLevel="0" collapsed="false">
      <c r="A653" s="116" t="n">
        <f aca="false">'🤖 Reka Flash'!$A$157</f>
        <v>0</v>
      </c>
      <c r="B653" s="3" t="s">
        <v>23</v>
      </c>
      <c r="C653" s="5" t="str">
        <f aca="false">'🤖 Reka Flash'!C158</f>
        <v>CoT</v>
      </c>
      <c r="D653" s="161" t="n">
        <f aca="false">'🤖 Reka Flash'!E158</f>
        <v>0.002427184466</v>
      </c>
      <c r="E653" s="118" t="n">
        <f aca="false">'🤖 Reka Flash'!F158</f>
        <v>0</v>
      </c>
      <c r="F653" s="118" t="n">
        <f aca="false">'🤖 Reka Flash'!G158</f>
        <v>0</v>
      </c>
      <c r="G653" s="118" t="n">
        <f aca="false">'🤖 Reka Flash'!H158</f>
        <v>0</v>
      </c>
      <c r="H653" s="118" t="n">
        <f aca="false">'🤖 Reka Flash'!I158</f>
        <v>0</v>
      </c>
      <c r="I653" s="118" t="n">
        <f aca="false">'🤖 Reka Flash'!J158</f>
        <v>0</v>
      </c>
    </row>
    <row r="654" customFormat="false" ht="15.75" hidden="false" customHeight="false" outlineLevel="0" collapsed="false">
      <c r="A654" s="116" t="n">
        <f aca="false">'🤖 Reka Flash'!$A$157</f>
        <v>0</v>
      </c>
      <c r="B654" s="3" t="s">
        <v>23</v>
      </c>
      <c r="C654" s="5" t="str">
        <f aca="false">'🤖 Reka Flash'!C159</f>
        <v>5W1H</v>
      </c>
      <c r="D654" s="161" t="n">
        <f aca="false">'🤖 Reka Flash'!E159</f>
        <v>0.002427184466</v>
      </c>
      <c r="E654" s="118" t="n">
        <f aca="false">'🤖 Reka Flash'!F159</f>
        <v>0</v>
      </c>
      <c r="F654" s="118" t="n">
        <f aca="false">'🤖 Reka Flash'!G159</f>
        <v>0</v>
      </c>
      <c r="G654" s="118" t="n">
        <f aca="false">'🤖 Reka Flash'!H159</f>
        <v>0</v>
      </c>
      <c r="H654" s="118" t="n">
        <f aca="false">'🤖 Reka Flash'!I159</f>
        <v>0</v>
      </c>
      <c r="I654" s="118" t="n">
        <f aca="false">'🤖 Reka Flash'!J159</f>
        <v>0</v>
      </c>
    </row>
    <row r="655" customFormat="false" ht="15.75" hidden="false" customHeight="false" outlineLevel="0" collapsed="false">
      <c r="A655" s="116" t="n">
        <f aca="false">'🤖 Reka Flash'!$A$157</f>
        <v>0</v>
      </c>
      <c r="B655" s="3" t="s">
        <v>23</v>
      </c>
      <c r="C655" s="5" t="str">
        <f aca="false">'🤖 Reka Flash'!C160</f>
        <v>tldr</v>
      </c>
      <c r="D655" s="161" t="n">
        <f aca="false">'🤖 Reka Flash'!E160</f>
        <v>0.002427184466</v>
      </c>
      <c r="E655" s="118" t="n">
        <f aca="false">'🤖 Reka Flash'!F160</f>
        <v>0</v>
      </c>
      <c r="F655" s="118" t="n">
        <f aca="false">'🤖 Reka Flash'!G160</f>
        <v>0</v>
      </c>
      <c r="G655" s="118" t="n">
        <f aca="false">'🤖 Reka Flash'!H160</f>
        <v>0</v>
      </c>
      <c r="H655" s="118" t="n">
        <f aca="false">'🤖 Reka Flash'!I160</f>
        <v>0</v>
      </c>
      <c r="I655" s="118" t="n">
        <f aca="false">'🤖 Reka Flash'!J160</f>
        <v>0</v>
      </c>
    </row>
    <row r="656" customFormat="false" ht="15.75" hidden="false" customHeight="false" outlineLevel="0" collapsed="false">
      <c r="A656" s="116"/>
      <c r="B656" s="3"/>
      <c r="C656" s="5"/>
      <c r="D656" s="161"/>
      <c r="E656" s="5"/>
      <c r="F656" s="5"/>
      <c r="G656" s="5"/>
      <c r="H656" s="5"/>
      <c r="I656" s="5"/>
    </row>
    <row r="657" customFormat="false" ht="15.75" hidden="false" customHeight="false" outlineLevel="0" collapsed="false">
      <c r="A657" s="116" t="n">
        <f aca="false">'🤖 Reka Flash'!$A$162</f>
        <v>0</v>
      </c>
      <c r="B657" s="3" t="s">
        <v>23</v>
      </c>
      <c r="C657" s="5" t="str">
        <f aca="false">'🤖 Reka Flash'!C162</f>
        <v>Base</v>
      </c>
      <c r="D657" s="161" t="n">
        <f aca="false">'🤖 Reka Flash'!E162</f>
        <v>0.002427184466</v>
      </c>
      <c r="E657" s="118" t="n">
        <f aca="false">'🤖 Reka Flash'!F162</f>
        <v>0</v>
      </c>
      <c r="F657" s="118" t="n">
        <f aca="false">'🤖 Reka Flash'!G162</f>
        <v>0</v>
      </c>
      <c r="G657" s="118" t="n">
        <f aca="false">'🤖 Reka Flash'!H162</f>
        <v>0</v>
      </c>
      <c r="H657" s="118" t="n">
        <f aca="false">'🤖 Reka Flash'!I162</f>
        <v>0</v>
      </c>
      <c r="I657" s="118" t="n">
        <f aca="false">'🤖 Reka Flash'!J162</f>
        <v>0</v>
      </c>
    </row>
    <row r="658" customFormat="false" ht="15.75" hidden="false" customHeight="false" outlineLevel="0" collapsed="false">
      <c r="A658" s="116" t="n">
        <f aca="false">'🤖 Reka Flash'!$A$162</f>
        <v>0</v>
      </c>
      <c r="B658" s="3" t="s">
        <v>23</v>
      </c>
      <c r="C658" s="5" t="str">
        <f aca="false">'🤖 Reka Flash'!C163</f>
        <v>CoT</v>
      </c>
      <c r="D658" s="161" t="n">
        <f aca="false">'🤖 Reka Flash'!E163</f>
        <v>0.002427184466</v>
      </c>
      <c r="E658" s="118" t="n">
        <f aca="false">'🤖 Reka Flash'!F163</f>
        <v>0</v>
      </c>
      <c r="F658" s="118" t="n">
        <f aca="false">'🤖 Reka Flash'!G163</f>
        <v>0</v>
      </c>
      <c r="G658" s="118" t="n">
        <f aca="false">'🤖 Reka Flash'!H163</f>
        <v>0</v>
      </c>
      <c r="H658" s="118" t="n">
        <f aca="false">'🤖 Reka Flash'!I163</f>
        <v>0</v>
      </c>
      <c r="I658" s="118" t="n">
        <f aca="false">'🤖 Reka Flash'!J163</f>
        <v>0</v>
      </c>
    </row>
    <row r="659" customFormat="false" ht="15.75" hidden="false" customHeight="false" outlineLevel="0" collapsed="false">
      <c r="A659" s="116" t="n">
        <f aca="false">'🤖 Reka Flash'!$A$162</f>
        <v>0</v>
      </c>
      <c r="B659" s="3" t="s">
        <v>23</v>
      </c>
      <c r="C659" s="5" t="str">
        <f aca="false">'🤖 Reka Flash'!C164</f>
        <v>5W1H</v>
      </c>
      <c r="D659" s="161" t="n">
        <f aca="false">'🤖 Reka Flash'!E164</f>
        <v>0.002427184466</v>
      </c>
      <c r="E659" s="118" t="n">
        <f aca="false">'🤖 Reka Flash'!F164</f>
        <v>0</v>
      </c>
      <c r="F659" s="118" t="n">
        <f aca="false">'🤖 Reka Flash'!G164</f>
        <v>0</v>
      </c>
      <c r="G659" s="118" t="n">
        <f aca="false">'🤖 Reka Flash'!H164</f>
        <v>0</v>
      </c>
      <c r="H659" s="118" t="n">
        <f aca="false">'🤖 Reka Flash'!I164</f>
        <v>0</v>
      </c>
      <c r="I659" s="118" t="n">
        <f aca="false">'🤖 Reka Flash'!J164</f>
        <v>0</v>
      </c>
    </row>
    <row r="660" customFormat="false" ht="15.75" hidden="false" customHeight="false" outlineLevel="0" collapsed="false">
      <c r="A660" s="116" t="n">
        <f aca="false">'🤖 Reka Flash'!$A$162</f>
        <v>0</v>
      </c>
      <c r="B660" s="3" t="s">
        <v>23</v>
      </c>
      <c r="C660" s="5" t="str">
        <f aca="false">'🤖 Reka Flash'!C165</f>
        <v>tldr</v>
      </c>
      <c r="D660" s="161" t="n">
        <f aca="false">'🤖 Reka Flash'!E165</f>
        <v>0.002427184466</v>
      </c>
      <c r="E660" s="118" t="n">
        <f aca="false">'🤖 Reka Flash'!F165</f>
        <v>0</v>
      </c>
      <c r="F660" s="118" t="n">
        <f aca="false">'🤖 Reka Flash'!G165</f>
        <v>0</v>
      </c>
      <c r="G660" s="118" t="n">
        <f aca="false">'🤖 Reka Flash'!H165</f>
        <v>0</v>
      </c>
      <c r="H660" s="118" t="n">
        <f aca="false">'🤖 Reka Flash'!I165</f>
        <v>0</v>
      </c>
      <c r="I660" s="118" t="n">
        <f aca="false">'🤖 Reka Flash'!J165</f>
        <v>0</v>
      </c>
    </row>
    <row r="661" customFormat="false" ht="15.75" hidden="false" customHeight="false" outlineLevel="0" collapsed="false">
      <c r="A661" s="8"/>
      <c r="B661" s="8"/>
      <c r="C661" s="8"/>
      <c r="D661" s="8"/>
      <c r="E661" s="8"/>
      <c r="F661" s="8"/>
      <c r="G661" s="8"/>
      <c r="H661" s="8"/>
      <c r="I661" s="8"/>
    </row>
    <row r="662" customFormat="false" ht="15.75" hidden="false" customHeight="false" outlineLevel="0" collapsed="false">
      <c r="A662" s="116" t="str">
        <f aca="false">'🖐🏾 Human'!$A$2</f>
        <v>https://www.berria.eus/mundua/aragonesek-lehen-lerro-politikoa-utziko-du_2125045_102.html</v>
      </c>
      <c r="B662" s="3" t="s">
        <v>15</v>
      </c>
      <c r="C662" s="5" t="str">
        <f aca="false">'🖐🏾 Human'!C2</f>
        <v>Heading</v>
      </c>
      <c r="D662" s="156" t="n">
        <f aca="false">'🖐🏾 Human'!E2</f>
        <v>0.03545232274</v>
      </c>
      <c r="E662" s="118" t="n">
        <f aca="false">'🖐🏾 Human'!F2</f>
        <v>5</v>
      </c>
      <c r="F662" s="118" t="n">
        <f aca="false">'🖐🏾 Human'!G2</f>
        <v>4</v>
      </c>
      <c r="G662" s="118" t="n">
        <f aca="false">'🖐🏾 Human'!H2</f>
        <v>5</v>
      </c>
      <c r="H662" s="118" t="n">
        <f aca="false">'🖐🏾 Human'!I2</f>
        <v>5</v>
      </c>
      <c r="I662" s="118" t="n">
        <f aca="false">'🖐🏾 Human'!J2</f>
        <v>3</v>
      </c>
    </row>
    <row r="663" customFormat="false" ht="15.75" hidden="false" customHeight="false" outlineLevel="0" collapsed="false">
      <c r="A663" s="116" t="str">
        <f aca="false">'🖐🏾 Human'!$A$2</f>
        <v>https://www.berria.eus/mundua/aragonesek-lehen-lerro-politikoa-utziko-du_2125045_102.html</v>
      </c>
      <c r="B663" s="3" t="s">
        <v>15</v>
      </c>
      <c r="C663" s="5" t="str">
        <f aca="false">'🖐🏾 Human'!C3</f>
        <v>Begoña</v>
      </c>
      <c r="D663" s="156" t="n">
        <f aca="false">'🖐🏾 Human'!E3</f>
        <v>0.1601466993</v>
      </c>
      <c r="E663" s="118" t="n">
        <f aca="false">'🖐🏾 Human'!F3</f>
        <v>0</v>
      </c>
      <c r="F663" s="118" t="n">
        <f aca="false">'🖐🏾 Human'!G3</f>
        <v>0</v>
      </c>
      <c r="G663" s="118" t="n">
        <f aca="false">'🖐🏾 Human'!H3</f>
        <v>0</v>
      </c>
      <c r="H663" s="118" t="n">
        <f aca="false">'🖐🏾 Human'!I3</f>
        <v>0</v>
      </c>
      <c r="I663" s="118" t="n">
        <f aca="false">'🖐🏾 Human'!J3</f>
        <v>0</v>
      </c>
    </row>
    <row r="664" customFormat="false" ht="15.75" hidden="false" customHeight="false" outlineLevel="0" collapsed="false">
      <c r="A664" s="116" t="str">
        <f aca="false">'🖐🏾 Human'!$A$2</f>
        <v>https://www.berria.eus/mundua/aragonesek-lehen-lerro-politikoa-utziko-du_2125045_102.html</v>
      </c>
      <c r="B664" s="3" t="s">
        <v>15</v>
      </c>
      <c r="C664" s="5" t="n">
        <f aca="false">'🖐🏾 Human'!C4</f>
        <v>0</v>
      </c>
      <c r="D664" s="156" t="n">
        <f aca="false">'🖐🏾 Human'!E4</f>
        <v>0.001222493888</v>
      </c>
      <c r="E664" s="118" t="n">
        <f aca="false">'🖐🏾 Human'!F4</f>
        <v>0</v>
      </c>
      <c r="F664" s="118" t="n">
        <f aca="false">'🖐🏾 Human'!G4</f>
        <v>0</v>
      </c>
      <c r="G664" s="118" t="n">
        <f aca="false">'🖐🏾 Human'!H4</f>
        <v>0</v>
      </c>
      <c r="H664" s="118" t="n">
        <f aca="false">'🖐🏾 Human'!I4</f>
        <v>0</v>
      </c>
      <c r="I664" s="118" t="n">
        <f aca="false">'🖐🏾 Human'!J4</f>
        <v>0</v>
      </c>
    </row>
    <row r="665" customFormat="false" ht="15.75" hidden="false" customHeight="false" outlineLevel="0" collapsed="false">
      <c r="A665" s="116" t="str">
        <f aca="false">'🖐🏾 Human'!$A$2</f>
        <v>https://www.berria.eus/mundua/aragonesek-lehen-lerro-politikoa-utziko-du_2125045_102.html</v>
      </c>
      <c r="B665" s="3" t="s">
        <v>15</v>
      </c>
      <c r="C665" s="5" t="n">
        <f aca="false">'🖐🏾 Human'!C5</f>
        <v>0</v>
      </c>
      <c r="D665" s="156" t="n">
        <f aca="false">'🖐🏾 Human'!E5</f>
        <v>0.001222493888</v>
      </c>
      <c r="E665" s="118" t="n">
        <f aca="false">'🖐🏾 Human'!F5</f>
        <v>0</v>
      </c>
      <c r="F665" s="118" t="n">
        <f aca="false">'🖐🏾 Human'!G5</f>
        <v>0</v>
      </c>
      <c r="G665" s="118" t="n">
        <f aca="false">'🖐🏾 Human'!H5</f>
        <v>0</v>
      </c>
      <c r="H665" s="118" t="n">
        <f aca="false">'🖐🏾 Human'!I5</f>
        <v>0</v>
      </c>
      <c r="I665" s="118" t="n">
        <f aca="false">'🖐🏾 Human'!J5</f>
        <v>0</v>
      </c>
    </row>
    <row r="666" customFormat="false" ht="15.75" hidden="false" customHeight="false" outlineLevel="0" collapsed="false">
      <c r="A666" s="8"/>
      <c r="B666" s="3"/>
      <c r="C666" s="5"/>
      <c r="D666" s="156"/>
      <c r="E666" s="5"/>
      <c r="F666" s="5"/>
      <c r="G666" s="5"/>
      <c r="H666" s="5"/>
      <c r="I666" s="5"/>
    </row>
    <row r="667" customFormat="false" ht="15.75" hidden="false" customHeight="false" outlineLevel="0" collapsed="false">
      <c r="A667" s="116" t="str">
        <f aca="false">'🖐🏾 Human'!$A$7</f>
        <v>https://www.berria.eus/kirola/derbi-bikoitza_2118881_102.html</v>
      </c>
      <c r="B667" s="3" t="s">
        <v>15</v>
      </c>
      <c r="C667" s="5" t="str">
        <f aca="false">'🖐🏾 Human'!C7</f>
        <v>Heading</v>
      </c>
      <c r="D667" s="156" t="n">
        <f aca="false">'🖐🏾 Human'!E7</f>
        <v>0.0875</v>
      </c>
      <c r="E667" s="118" t="n">
        <f aca="false">'🖐🏾 Human'!F7</f>
        <v>3</v>
      </c>
      <c r="F667" s="118" t="n">
        <f aca="false">'🖐🏾 Human'!G7</f>
        <v>5</v>
      </c>
      <c r="G667" s="118" t="n">
        <f aca="false">'🖐🏾 Human'!H7</f>
        <v>5</v>
      </c>
      <c r="H667" s="118" t="n">
        <f aca="false">'🖐🏾 Human'!I7</f>
        <v>5</v>
      </c>
      <c r="I667" s="118" t="n">
        <f aca="false">'🖐🏾 Human'!J7</f>
        <v>3</v>
      </c>
    </row>
    <row r="668" customFormat="false" ht="15.75" hidden="false" customHeight="false" outlineLevel="0" collapsed="false">
      <c r="A668" s="116" t="str">
        <f aca="false">'🖐🏾 Human'!$A$7</f>
        <v>https://www.berria.eus/kirola/derbi-bikoitza_2118881_102.html</v>
      </c>
      <c r="B668" s="3" t="s">
        <v>15</v>
      </c>
      <c r="C668" s="5" t="str">
        <f aca="false">'🖐🏾 Human'!C8</f>
        <v>Begoña</v>
      </c>
      <c r="D668" s="156" t="n">
        <f aca="false">'🖐🏾 Human'!E8</f>
        <v>0.1791666667</v>
      </c>
      <c r="E668" s="118" t="n">
        <f aca="false">'🖐🏾 Human'!F8</f>
        <v>0</v>
      </c>
      <c r="F668" s="118" t="n">
        <f aca="false">'🖐🏾 Human'!G8</f>
        <v>0</v>
      </c>
      <c r="G668" s="118" t="n">
        <f aca="false">'🖐🏾 Human'!H8</f>
        <v>0</v>
      </c>
      <c r="H668" s="118" t="n">
        <f aca="false">'🖐🏾 Human'!I8</f>
        <v>0</v>
      </c>
      <c r="I668" s="118" t="n">
        <f aca="false">'🖐🏾 Human'!J8</f>
        <v>0</v>
      </c>
    </row>
    <row r="669" customFormat="false" ht="15.75" hidden="false" customHeight="false" outlineLevel="0" collapsed="false">
      <c r="A669" s="116" t="str">
        <f aca="false">'🖐🏾 Human'!$A$7</f>
        <v>https://www.berria.eus/kirola/derbi-bikoitza_2118881_102.html</v>
      </c>
      <c r="B669" s="3" t="s">
        <v>15</v>
      </c>
      <c r="C669" s="5" t="n">
        <f aca="false">'🖐🏾 Human'!C9</f>
        <v>0</v>
      </c>
      <c r="D669" s="156" t="n">
        <f aca="false">'🖐🏾 Human'!E9</f>
        <v>0.004166666667</v>
      </c>
      <c r="E669" s="118" t="n">
        <f aca="false">'🖐🏾 Human'!F9</f>
        <v>0</v>
      </c>
      <c r="F669" s="118" t="n">
        <f aca="false">'🖐🏾 Human'!G9</f>
        <v>0</v>
      </c>
      <c r="G669" s="118" t="n">
        <f aca="false">'🖐🏾 Human'!H9</f>
        <v>0</v>
      </c>
      <c r="H669" s="118" t="n">
        <f aca="false">'🖐🏾 Human'!I9</f>
        <v>0</v>
      </c>
      <c r="I669" s="118" t="n">
        <f aca="false">'🖐🏾 Human'!J9</f>
        <v>0</v>
      </c>
    </row>
    <row r="670" customFormat="false" ht="15.75" hidden="false" customHeight="false" outlineLevel="0" collapsed="false">
      <c r="A670" s="116" t="str">
        <f aca="false">'🖐🏾 Human'!$A$7</f>
        <v>https://www.berria.eus/kirola/derbi-bikoitza_2118881_102.html</v>
      </c>
      <c r="B670" s="3" t="s">
        <v>15</v>
      </c>
      <c r="C670" s="5" t="n">
        <f aca="false">'🖐🏾 Human'!C10</f>
        <v>0</v>
      </c>
      <c r="D670" s="156" t="n">
        <f aca="false">'🖐🏾 Human'!E10</f>
        <v>0.004166666667</v>
      </c>
      <c r="E670" s="118" t="n">
        <f aca="false">'🖐🏾 Human'!F10</f>
        <v>0</v>
      </c>
      <c r="F670" s="118" t="n">
        <f aca="false">'🖐🏾 Human'!G10</f>
        <v>0</v>
      </c>
      <c r="G670" s="118" t="n">
        <f aca="false">'🖐🏾 Human'!H10</f>
        <v>0</v>
      </c>
      <c r="H670" s="118" t="n">
        <f aca="false">'🖐🏾 Human'!I10</f>
        <v>0</v>
      </c>
      <c r="I670" s="118" t="n">
        <f aca="false">'🖐🏾 Human'!J10</f>
        <v>0</v>
      </c>
    </row>
    <row r="671" customFormat="false" ht="15.75" hidden="false" customHeight="false" outlineLevel="0" collapsed="false">
      <c r="A671" s="8"/>
      <c r="B671" s="3"/>
      <c r="C671" s="5"/>
      <c r="D671" s="156"/>
      <c r="E671" s="5"/>
      <c r="F671" s="5"/>
      <c r="G671" s="5"/>
      <c r="H671" s="5"/>
      <c r="I671" s="5"/>
    </row>
    <row r="672" customFormat="false" ht="15.75" hidden="false" customHeight="false" outlineLevel="0" collapsed="false">
      <c r="A672" s="116" t="str">
        <f aca="false">'🖐🏾 Human'!$A$12</f>
        <v>https://www.berria.eus/kirola/berriro-etxean-sentitzeko_2117830_102.html</v>
      </c>
      <c r="B672" s="3" t="s">
        <v>15</v>
      </c>
      <c r="C672" s="5" t="str">
        <f aca="false">'🖐🏾 Human'!C12</f>
        <v>Heading</v>
      </c>
      <c r="D672" s="156" t="n">
        <f aca="false">'🖐🏾 Human'!E12</f>
        <v>0.07454545455</v>
      </c>
      <c r="E672" s="118" t="n">
        <f aca="false">'🖐🏾 Human'!F12</f>
        <v>4</v>
      </c>
      <c r="F672" s="118" t="n">
        <f aca="false">'🖐🏾 Human'!G12</f>
        <v>5</v>
      </c>
      <c r="G672" s="118" t="n">
        <f aca="false">'🖐🏾 Human'!H12</f>
        <v>5</v>
      </c>
      <c r="H672" s="118" t="n">
        <f aca="false">'🖐🏾 Human'!I12</f>
        <v>5</v>
      </c>
      <c r="I672" s="118" t="n">
        <f aca="false">'🖐🏾 Human'!J12</f>
        <v>4</v>
      </c>
    </row>
    <row r="673" customFormat="false" ht="15.75" hidden="false" customHeight="false" outlineLevel="0" collapsed="false">
      <c r="A673" s="116" t="str">
        <f aca="false">'🖐🏾 Human'!$A$12</f>
        <v>https://www.berria.eus/kirola/berriro-etxean-sentitzeko_2117830_102.html</v>
      </c>
      <c r="B673" s="3" t="s">
        <v>15</v>
      </c>
      <c r="C673" s="5" t="str">
        <f aca="false">'🖐🏾 Human'!C13</f>
        <v>Begoña</v>
      </c>
      <c r="D673" s="156" t="n">
        <f aca="false">'🖐🏾 Human'!E13</f>
        <v>0.2563636364</v>
      </c>
      <c r="E673" s="118" t="n">
        <f aca="false">'🖐🏾 Human'!F13</f>
        <v>0</v>
      </c>
      <c r="F673" s="118" t="n">
        <f aca="false">'🖐🏾 Human'!G13</f>
        <v>0</v>
      </c>
      <c r="G673" s="118" t="n">
        <f aca="false">'🖐🏾 Human'!H13</f>
        <v>0</v>
      </c>
      <c r="H673" s="118" t="n">
        <f aca="false">'🖐🏾 Human'!I13</f>
        <v>0</v>
      </c>
      <c r="I673" s="118" t="n">
        <f aca="false">'🖐🏾 Human'!J13</f>
        <v>0</v>
      </c>
    </row>
    <row r="674" customFormat="false" ht="15.75" hidden="false" customHeight="false" outlineLevel="0" collapsed="false">
      <c r="A674" s="116" t="str">
        <f aca="false">'🖐🏾 Human'!$A$12</f>
        <v>https://www.berria.eus/kirola/berriro-etxean-sentitzeko_2117830_102.html</v>
      </c>
      <c r="B674" s="3" t="s">
        <v>15</v>
      </c>
      <c r="C674" s="5" t="n">
        <f aca="false">'🖐🏾 Human'!C14</f>
        <v>0</v>
      </c>
      <c r="D674" s="156" t="n">
        <f aca="false">'🖐🏾 Human'!E14</f>
        <v>0.001818181818</v>
      </c>
      <c r="E674" s="118" t="n">
        <f aca="false">'🖐🏾 Human'!F14</f>
        <v>0</v>
      </c>
      <c r="F674" s="118" t="n">
        <f aca="false">'🖐🏾 Human'!G14</f>
        <v>0</v>
      </c>
      <c r="G674" s="118" t="n">
        <f aca="false">'🖐🏾 Human'!H14</f>
        <v>0</v>
      </c>
      <c r="H674" s="118" t="n">
        <f aca="false">'🖐🏾 Human'!I14</f>
        <v>0</v>
      </c>
      <c r="I674" s="118" t="n">
        <f aca="false">'🖐🏾 Human'!J14</f>
        <v>0</v>
      </c>
    </row>
    <row r="675" customFormat="false" ht="15.75" hidden="false" customHeight="false" outlineLevel="0" collapsed="false">
      <c r="A675" s="116" t="str">
        <f aca="false">'🖐🏾 Human'!$A$12</f>
        <v>https://www.berria.eus/kirola/berriro-etxean-sentitzeko_2117830_102.html</v>
      </c>
      <c r="B675" s="3" t="s">
        <v>15</v>
      </c>
      <c r="C675" s="5" t="n">
        <f aca="false">'🖐🏾 Human'!C15</f>
        <v>0</v>
      </c>
      <c r="D675" s="156" t="n">
        <f aca="false">'🖐🏾 Human'!E15</f>
        <v>0.001818181818</v>
      </c>
      <c r="E675" s="118" t="n">
        <f aca="false">'🖐🏾 Human'!F15</f>
        <v>0</v>
      </c>
      <c r="F675" s="118" t="n">
        <f aca="false">'🖐🏾 Human'!G15</f>
        <v>0</v>
      </c>
      <c r="G675" s="118" t="n">
        <f aca="false">'🖐🏾 Human'!H15</f>
        <v>0</v>
      </c>
      <c r="H675" s="118" t="n">
        <f aca="false">'🖐🏾 Human'!I15</f>
        <v>0</v>
      </c>
      <c r="I675" s="118" t="n">
        <f aca="false">'🖐🏾 Human'!J15</f>
        <v>0</v>
      </c>
    </row>
    <row r="676" customFormat="false" ht="15.75" hidden="false" customHeight="false" outlineLevel="0" collapsed="false">
      <c r="A676" s="8"/>
      <c r="B676" s="3"/>
      <c r="C676" s="5"/>
      <c r="D676" s="156"/>
      <c r="E676" s="5"/>
      <c r="F676" s="5"/>
      <c r="G676" s="5"/>
      <c r="H676" s="5"/>
      <c r="I676" s="5"/>
    </row>
    <row r="677" customFormat="false" ht="15.75" hidden="false" customHeight="false" outlineLevel="0" collapsed="false">
      <c r="A677" s="116" t="str">
        <f aca="false">'🖐🏾 Human'!$A$17</f>
        <v>https://www.berria.eus/komunikazioa/generacion-porno-dokumental-saioa-egin-dute-etbk-eta-tv3ek_1341518_102.html</v>
      </c>
      <c r="B677" s="3" t="s">
        <v>15</v>
      </c>
      <c r="C677" s="5" t="str">
        <f aca="false">'🖐🏾 Human'!C17</f>
        <v>Heading</v>
      </c>
      <c r="D677" s="156" t="n">
        <f aca="false">'🖐🏾 Human'!E17</f>
        <v>0.06158357771</v>
      </c>
      <c r="E677" s="118" t="n">
        <f aca="false">'🖐🏾 Human'!F17</f>
        <v>3</v>
      </c>
      <c r="F677" s="118" t="n">
        <f aca="false">'🖐🏾 Human'!G17</f>
        <v>5</v>
      </c>
      <c r="G677" s="118" t="n">
        <f aca="false">'🖐🏾 Human'!H17</f>
        <v>5</v>
      </c>
      <c r="H677" s="118" t="n">
        <f aca="false">'🖐🏾 Human'!I17</f>
        <v>5</v>
      </c>
      <c r="I677" s="118" t="n">
        <f aca="false">'🖐🏾 Human'!J17</f>
        <v>3</v>
      </c>
    </row>
    <row r="678" customFormat="false" ht="15.75" hidden="false" customHeight="false" outlineLevel="0" collapsed="false">
      <c r="A678" s="116" t="str">
        <f aca="false">'🖐🏾 Human'!$A$17</f>
        <v>https://www.berria.eus/komunikazioa/generacion-porno-dokumental-saioa-egin-dute-etbk-eta-tv3ek_1341518_102.html</v>
      </c>
      <c r="B678" s="3" t="s">
        <v>15</v>
      </c>
      <c r="C678" s="5" t="str">
        <f aca="false">'🖐🏾 Human'!C18</f>
        <v>Begoña</v>
      </c>
      <c r="D678" s="156" t="n">
        <f aca="false">'🖐🏾 Human'!E18</f>
        <v>0.4428152493</v>
      </c>
      <c r="E678" s="118" t="n">
        <f aca="false">'🖐🏾 Human'!F18</f>
        <v>0</v>
      </c>
      <c r="F678" s="118" t="n">
        <f aca="false">'🖐🏾 Human'!G18</f>
        <v>0</v>
      </c>
      <c r="G678" s="118" t="n">
        <f aca="false">'🖐🏾 Human'!H18</f>
        <v>0</v>
      </c>
      <c r="H678" s="118" t="n">
        <f aca="false">'🖐🏾 Human'!I18</f>
        <v>0</v>
      </c>
      <c r="I678" s="118" t="n">
        <f aca="false">'🖐🏾 Human'!J18</f>
        <v>0</v>
      </c>
    </row>
    <row r="679" customFormat="false" ht="15.75" hidden="false" customHeight="false" outlineLevel="0" collapsed="false">
      <c r="A679" s="116" t="str">
        <f aca="false">'🖐🏾 Human'!$A$17</f>
        <v>https://www.berria.eus/komunikazioa/generacion-porno-dokumental-saioa-egin-dute-etbk-eta-tv3ek_1341518_102.html</v>
      </c>
      <c r="B679" s="3" t="s">
        <v>15</v>
      </c>
      <c r="C679" s="5" t="n">
        <f aca="false">'🖐🏾 Human'!C19</f>
        <v>0</v>
      </c>
      <c r="D679" s="156" t="n">
        <f aca="false">'🖐🏾 Human'!E19</f>
        <v>0.00293255132</v>
      </c>
      <c r="E679" s="118" t="n">
        <f aca="false">'🖐🏾 Human'!F19</f>
        <v>0</v>
      </c>
      <c r="F679" s="118" t="n">
        <f aca="false">'🖐🏾 Human'!G19</f>
        <v>0</v>
      </c>
      <c r="G679" s="118" t="n">
        <f aca="false">'🖐🏾 Human'!H19</f>
        <v>0</v>
      </c>
      <c r="H679" s="118" t="n">
        <f aca="false">'🖐🏾 Human'!I19</f>
        <v>0</v>
      </c>
      <c r="I679" s="118" t="n">
        <f aca="false">'🖐🏾 Human'!J19</f>
        <v>0</v>
      </c>
    </row>
    <row r="680" customFormat="false" ht="15.75" hidden="false" customHeight="false" outlineLevel="0" collapsed="false">
      <c r="A680" s="116" t="str">
        <f aca="false">'🖐🏾 Human'!$A$17</f>
        <v>https://www.berria.eus/komunikazioa/generacion-porno-dokumental-saioa-egin-dute-etbk-eta-tv3ek_1341518_102.html</v>
      </c>
      <c r="B680" s="3" t="s">
        <v>15</v>
      </c>
      <c r="C680" s="5" t="n">
        <f aca="false">'🖐🏾 Human'!C20</f>
        <v>0</v>
      </c>
      <c r="D680" s="156" t="n">
        <f aca="false">'🖐🏾 Human'!E20</f>
        <v>0.00293255132</v>
      </c>
      <c r="E680" s="118" t="n">
        <f aca="false">'🖐🏾 Human'!F20</f>
        <v>0</v>
      </c>
      <c r="F680" s="118" t="n">
        <f aca="false">'🖐🏾 Human'!G20</f>
        <v>0</v>
      </c>
      <c r="G680" s="118" t="n">
        <f aca="false">'🖐🏾 Human'!H20</f>
        <v>0</v>
      </c>
      <c r="H680" s="118" t="n">
        <f aca="false">'🖐🏾 Human'!I20</f>
        <v>0</v>
      </c>
      <c r="I680" s="118" t="n">
        <f aca="false">'🖐🏾 Human'!J20</f>
        <v>0</v>
      </c>
    </row>
    <row r="681" customFormat="false" ht="15.75" hidden="false" customHeight="false" outlineLevel="0" collapsed="false">
      <c r="A681" s="8"/>
      <c r="B681" s="3"/>
      <c r="C681" s="5"/>
      <c r="D681" s="156"/>
      <c r="E681" s="5"/>
      <c r="F681" s="5"/>
      <c r="G681" s="5"/>
      <c r="H681" s="5"/>
      <c r="I681" s="5"/>
    </row>
    <row r="682" customFormat="false" ht="15.75" hidden="false" customHeight="false" outlineLevel="0" collapsed="false">
      <c r="A682" s="116" t="str">
        <f aca="false">'🖐🏾 Human'!$A$22</f>
        <v>https://www.berria.eus/kirola/artolak-nagusitasunez-irabazi-dio-zabaleri_2124679_102.html</v>
      </c>
      <c r="B682" s="3" t="s">
        <v>15</v>
      </c>
      <c r="C682" s="5" t="str">
        <f aca="false">'🖐🏾 Human'!C22</f>
        <v>Heading</v>
      </c>
      <c r="D682" s="156" t="n">
        <f aca="false">'🖐🏾 Human'!E22</f>
        <v>0.06532663317</v>
      </c>
      <c r="E682" s="118" t="n">
        <f aca="false">'🖐🏾 Human'!F22</f>
        <v>3</v>
      </c>
      <c r="F682" s="118" t="n">
        <f aca="false">'🖐🏾 Human'!G22</f>
        <v>5</v>
      </c>
      <c r="G682" s="118" t="n">
        <f aca="false">'🖐🏾 Human'!H22</f>
        <v>5</v>
      </c>
      <c r="H682" s="118" t="n">
        <f aca="false">'🖐🏾 Human'!I22</f>
        <v>5</v>
      </c>
      <c r="I682" s="118" t="n">
        <f aca="false">'🖐🏾 Human'!J22</f>
        <v>3</v>
      </c>
    </row>
    <row r="683" customFormat="false" ht="15.75" hidden="false" customHeight="false" outlineLevel="0" collapsed="false">
      <c r="A683" s="116" t="str">
        <f aca="false">'🖐🏾 Human'!$A$22</f>
        <v>https://www.berria.eus/kirola/artolak-nagusitasunez-irabazi-dio-zabaleri_2124679_102.html</v>
      </c>
      <c r="B683" s="3" t="s">
        <v>15</v>
      </c>
      <c r="C683" s="5" t="str">
        <f aca="false">'🖐🏾 Human'!C23</f>
        <v>Begoña</v>
      </c>
      <c r="D683" s="156" t="n">
        <f aca="false">'🖐🏾 Human'!E23</f>
        <v>0.1984924623</v>
      </c>
      <c r="E683" s="118" t="n">
        <f aca="false">'🖐🏾 Human'!F23</f>
        <v>0</v>
      </c>
      <c r="F683" s="118" t="n">
        <f aca="false">'🖐🏾 Human'!G23</f>
        <v>0</v>
      </c>
      <c r="G683" s="118" t="n">
        <f aca="false">'🖐🏾 Human'!H23</f>
        <v>0</v>
      </c>
      <c r="H683" s="118" t="n">
        <f aca="false">'🖐🏾 Human'!I23</f>
        <v>0</v>
      </c>
      <c r="I683" s="118" t="n">
        <f aca="false">'🖐🏾 Human'!J23</f>
        <v>0</v>
      </c>
    </row>
    <row r="684" customFormat="false" ht="15.75" hidden="false" customHeight="false" outlineLevel="0" collapsed="false">
      <c r="A684" s="116" t="str">
        <f aca="false">'🖐🏾 Human'!$A$22</f>
        <v>https://www.berria.eus/kirola/artolak-nagusitasunez-irabazi-dio-zabaleri_2124679_102.html</v>
      </c>
      <c r="B684" s="3" t="s">
        <v>15</v>
      </c>
      <c r="C684" s="5" t="n">
        <f aca="false">'🖐🏾 Human'!C24</f>
        <v>0</v>
      </c>
      <c r="D684" s="156" t="n">
        <f aca="false">'🖐🏾 Human'!E24</f>
        <v>0.002512562814</v>
      </c>
      <c r="E684" s="118" t="n">
        <f aca="false">'🖐🏾 Human'!F24</f>
        <v>0</v>
      </c>
      <c r="F684" s="118" t="n">
        <f aca="false">'🖐🏾 Human'!G24</f>
        <v>0</v>
      </c>
      <c r="G684" s="118" t="n">
        <f aca="false">'🖐🏾 Human'!H24</f>
        <v>0</v>
      </c>
      <c r="H684" s="118" t="n">
        <f aca="false">'🖐🏾 Human'!I24</f>
        <v>0</v>
      </c>
      <c r="I684" s="118" t="n">
        <f aca="false">'🖐🏾 Human'!J24</f>
        <v>0</v>
      </c>
    </row>
    <row r="685" customFormat="false" ht="15.75" hidden="false" customHeight="false" outlineLevel="0" collapsed="false">
      <c r="A685" s="116" t="str">
        <f aca="false">'🖐🏾 Human'!$A$22</f>
        <v>https://www.berria.eus/kirola/artolak-nagusitasunez-irabazi-dio-zabaleri_2124679_102.html</v>
      </c>
      <c r="B685" s="3" t="s">
        <v>15</v>
      </c>
      <c r="C685" s="5" t="n">
        <f aca="false">'🖐🏾 Human'!C25</f>
        <v>0</v>
      </c>
      <c r="D685" s="156" t="n">
        <f aca="false">'🖐🏾 Human'!E25</f>
        <v>0.002512562814</v>
      </c>
      <c r="E685" s="118" t="n">
        <f aca="false">'🖐🏾 Human'!F25</f>
        <v>0</v>
      </c>
      <c r="F685" s="118" t="n">
        <f aca="false">'🖐🏾 Human'!G25</f>
        <v>0</v>
      </c>
      <c r="G685" s="118" t="n">
        <f aca="false">'🖐🏾 Human'!H25</f>
        <v>0</v>
      </c>
      <c r="H685" s="118" t="n">
        <f aca="false">'🖐🏾 Human'!I25</f>
        <v>0</v>
      </c>
      <c r="I685" s="118" t="n">
        <f aca="false">'🖐🏾 Human'!J25</f>
        <v>0</v>
      </c>
    </row>
    <row r="686" customFormat="false" ht="15.75" hidden="false" customHeight="false" outlineLevel="0" collapsed="false">
      <c r="A686" s="8"/>
      <c r="B686" s="3"/>
      <c r="C686" s="5"/>
      <c r="D686" s="156"/>
      <c r="E686" s="5"/>
      <c r="F686" s="5"/>
      <c r="G686" s="5"/>
      <c r="H686" s="5"/>
      <c r="I686" s="5"/>
    </row>
    <row r="687" customFormat="false" ht="15.75" hidden="false" customHeight="false" outlineLevel="0" collapsed="false">
      <c r="A687" s="116" t="str">
        <f aca="false">'🖐🏾 Human'!$A$27</f>
        <v>https://www.berria.eus/mundua/gutxienez-40-hildako-eta-dozenaka-zauritu-moskun-gertatutako-tiroketa-batean_2122731_102.html</v>
      </c>
      <c r="B687" s="3" t="s">
        <v>15</v>
      </c>
      <c r="C687" s="5" t="str">
        <f aca="false">'🖐🏾 Human'!C27</f>
        <v>Heading</v>
      </c>
      <c r="D687" s="156" t="n">
        <f aca="false">'🖐🏾 Human'!E27</f>
        <v>0.08797653959</v>
      </c>
      <c r="E687" s="118" t="n">
        <f aca="false">'🖐🏾 Human'!F27</f>
        <v>3</v>
      </c>
      <c r="F687" s="118" t="n">
        <f aca="false">'🖐🏾 Human'!G27</f>
        <v>5</v>
      </c>
      <c r="G687" s="118" t="n">
        <f aca="false">'🖐🏾 Human'!H27</f>
        <v>5</v>
      </c>
      <c r="H687" s="118" t="n">
        <f aca="false">'🖐🏾 Human'!I27</f>
        <v>5</v>
      </c>
      <c r="I687" s="118" t="n">
        <f aca="false">'🖐🏾 Human'!J27</f>
        <v>4</v>
      </c>
    </row>
    <row r="688" customFormat="false" ht="15.75" hidden="false" customHeight="false" outlineLevel="0" collapsed="false">
      <c r="A688" s="116" t="str">
        <f aca="false">'🖐🏾 Human'!$A$27</f>
        <v>https://www.berria.eus/mundua/gutxienez-40-hildako-eta-dozenaka-zauritu-moskun-gertatutako-tiroketa-batean_2122731_102.html</v>
      </c>
      <c r="B688" s="3" t="s">
        <v>15</v>
      </c>
      <c r="C688" s="5" t="str">
        <f aca="false">'🖐🏾 Human'!C28</f>
        <v>Begoña</v>
      </c>
      <c r="D688" s="156" t="n">
        <f aca="false">'🖐🏾 Human'!E28</f>
        <v>0.5190615836</v>
      </c>
      <c r="E688" s="118" t="n">
        <f aca="false">'🖐🏾 Human'!F28</f>
        <v>0</v>
      </c>
      <c r="F688" s="118" t="n">
        <f aca="false">'🖐🏾 Human'!G28</f>
        <v>0</v>
      </c>
      <c r="G688" s="118" t="n">
        <f aca="false">'🖐🏾 Human'!H28</f>
        <v>0</v>
      </c>
      <c r="H688" s="118" t="n">
        <f aca="false">'🖐🏾 Human'!I28</f>
        <v>0</v>
      </c>
      <c r="I688" s="118" t="n">
        <f aca="false">'🖐🏾 Human'!J28</f>
        <v>0</v>
      </c>
    </row>
    <row r="689" customFormat="false" ht="15.75" hidden="false" customHeight="false" outlineLevel="0" collapsed="false">
      <c r="A689" s="116" t="str">
        <f aca="false">'🖐🏾 Human'!$A$27</f>
        <v>https://www.berria.eus/mundua/gutxienez-40-hildako-eta-dozenaka-zauritu-moskun-gertatutako-tiroketa-batean_2122731_102.html</v>
      </c>
      <c r="B689" s="3" t="s">
        <v>15</v>
      </c>
      <c r="C689" s="5" t="n">
        <f aca="false">'🖐🏾 Human'!C29</f>
        <v>0</v>
      </c>
      <c r="D689" s="156" t="n">
        <f aca="false">'🖐🏾 Human'!E29</f>
        <v>0.00293255132</v>
      </c>
      <c r="E689" s="118" t="n">
        <f aca="false">'🖐🏾 Human'!F29</f>
        <v>0</v>
      </c>
      <c r="F689" s="118" t="n">
        <f aca="false">'🖐🏾 Human'!G29</f>
        <v>0</v>
      </c>
      <c r="G689" s="118" t="n">
        <f aca="false">'🖐🏾 Human'!H29</f>
        <v>0</v>
      </c>
      <c r="H689" s="118" t="n">
        <f aca="false">'🖐🏾 Human'!I29</f>
        <v>0</v>
      </c>
      <c r="I689" s="118" t="n">
        <f aca="false">'🖐🏾 Human'!J29</f>
        <v>0</v>
      </c>
    </row>
    <row r="690" customFormat="false" ht="15.75" hidden="false" customHeight="false" outlineLevel="0" collapsed="false">
      <c r="A690" s="116" t="str">
        <f aca="false">'🖐🏾 Human'!$A$27</f>
        <v>https://www.berria.eus/mundua/gutxienez-40-hildako-eta-dozenaka-zauritu-moskun-gertatutako-tiroketa-batean_2122731_102.html</v>
      </c>
      <c r="B690" s="3" t="s">
        <v>15</v>
      </c>
      <c r="C690" s="5" t="n">
        <f aca="false">'🖐🏾 Human'!C30</f>
        <v>0</v>
      </c>
      <c r="D690" s="156" t="n">
        <f aca="false">'🖐🏾 Human'!E30</f>
        <v>0.00293255132</v>
      </c>
      <c r="E690" s="118" t="n">
        <f aca="false">'🖐🏾 Human'!F30</f>
        <v>0</v>
      </c>
      <c r="F690" s="118" t="n">
        <f aca="false">'🖐🏾 Human'!G30</f>
        <v>0</v>
      </c>
      <c r="G690" s="118" t="n">
        <f aca="false">'🖐🏾 Human'!H30</f>
        <v>0</v>
      </c>
      <c r="H690" s="118" t="n">
        <f aca="false">'🖐🏾 Human'!I30</f>
        <v>0</v>
      </c>
      <c r="I690" s="118" t="n">
        <f aca="false">'🖐🏾 Human'!J30</f>
        <v>0</v>
      </c>
    </row>
    <row r="691" customFormat="false" ht="15.75" hidden="false" customHeight="false" outlineLevel="0" collapsed="false">
      <c r="A691" s="8"/>
      <c r="B691" s="3"/>
      <c r="C691" s="5"/>
      <c r="D691" s="156"/>
      <c r="E691" s="5"/>
      <c r="F691" s="5"/>
      <c r="G691" s="5"/>
      <c r="H691" s="5"/>
      <c r="I691" s="5"/>
    </row>
    <row r="692" customFormat="false" ht="15.75" hidden="false" customHeight="false" outlineLevel="0" collapsed="false">
      <c r="A692" s="116" t="str">
        <f aca="false">'🖐🏾 Human'!$A$32</f>
        <v>https://www.berria.eus/bizigiro/ohartu-behar-dugu-bizi-garen-jendartea-dominazioaren-kultura-batean-oinarritzen-dela_2121952_102.html</v>
      </c>
      <c r="B692" s="3" t="s">
        <v>15</v>
      </c>
      <c r="C692" s="5" t="str">
        <f aca="false">'🖐🏾 Human'!C32</f>
        <v>Heading</v>
      </c>
      <c r="D692" s="156" t="n">
        <f aca="false">'🖐🏾 Human'!E32</f>
        <v>0.06655290102</v>
      </c>
      <c r="E692" s="118" t="n">
        <f aca="false">'🖐🏾 Human'!F32</f>
        <v>4</v>
      </c>
      <c r="F692" s="118" t="n">
        <f aca="false">'🖐🏾 Human'!G32</f>
        <v>4</v>
      </c>
      <c r="G692" s="118" t="n">
        <f aca="false">'🖐🏾 Human'!H32</f>
        <v>5</v>
      </c>
      <c r="H692" s="118" t="n">
        <f aca="false">'🖐🏾 Human'!I32</f>
        <v>5</v>
      </c>
      <c r="I692" s="118" t="n">
        <f aca="false">'🖐🏾 Human'!J32</f>
        <v>5</v>
      </c>
    </row>
    <row r="693" customFormat="false" ht="15.75" hidden="false" customHeight="false" outlineLevel="0" collapsed="false">
      <c r="A693" s="116" t="str">
        <f aca="false">'🖐🏾 Human'!$A$32</f>
        <v>https://www.berria.eus/bizigiro/ohartu-behar-dugu-bizi-garen-jendartea-dominazioaren-kultura-batean-oinarritzen-dela_2121952_102.html</v>
      </c>
      <c r="B693" s="3" t="s">
        <v>15</v>
      </c>
      <c r="C693" s="5" t="str">
        <f aca="false">'🖐🏾 Human'!C33</f>
        <v>Begoña</v>
      </c>
      <c r="D693" s="156" t="n">
        <f aca="false">'🖐🏾 Human'!E33</f>
        <v>0.2423208191</v>
      </c>
      <c r="E693" s="118" t="n">
        <f aca="false">'🖐🏾 Human'!F33</f>
        <v>0</v>
      </c>
      <c r="F693" s="118" t="n">
        <f aca="false">'🖐🏾 Human'!G33</f>
        <v>0</v>
      </c>
      <c r="G693" s="118" t="n">
        <f aca="false">'🖐🏾 Human'!H33</f>
        <v>0</v>
      </c>
      <c r="H693" s="118" t="n">
        <f aca="false">'🖐🏾 Human'!I33</f>
        <v>0</v>
      </c>
      <c r="I693" s="118" t="n">
        <f aca="false">'🖐🏾 Human'!J33</f>
        <v>0</v>
      </c>
    </row>
    <row r="694" customFormat="false" ht="15.75" hidden="false" customHeight="false" outlineLevel="0" collapsed="false">
      <c r="A694" s="116" t="str">
        <f aca="false">'🖐🏾 Human'!$A$32</f>
        <v>https://www.berria.eus/bizigiro/ohartu-behar-dugu-bizi-garen-jendartea-dominazioaren-kultura-batean-oinarritzen-dela_2121952_102.html</v>
      </c>
      <c r="B694" s="3" t="s">
        <v>15</v>
      </c>
      <c r="C694" s="5" t="n">
        <f aca="false">'🖐🏾 Human'!C34</f>
        <v>0</v>
      </c>
      <c r="D694" s="156" t="n">
        <f aca="false">'🖐🏾 Human'!E34</f>
        <v>0.001706484642</v>
      </c>
      <c r="E694" s="118" t="n">
        <f aca="false">'🖐🏾 Human'!F34</f>
        <v>0</v>
      </c>
      <c r="F694" s="118" t="n">
        <f aca="false">'🖐🏾 Human'!G34</f>
        <v>0</v>
      </c>
      <c r="G694" s="118" t="n">
        <f aca="false">'🖐🏾 Human'!H34</f>
        <v>0</v>
      </c>
      <c r="H694" s="118" t="n">
        <f aca="false">'🖐🏾 Human'!I34</f>
        <v>0</v>
      </c>
      <c r="I694" s="118" t="n">
        <f aca="false">'🖐🏾 Human'!J34</f>
        <v>0</v>
      </c>
    </row>
    <row r="695" customFormat="false" ht="15.75" hidden="false" customHeight="false" outlineLevel="0" collapsed="false">
      <c r="A695" s="116" t="str">
        <f aca="false">'🖐🏾 Human'!$A$32</f>
        <v>https://www.berria.eus/bizigiro/ohartu-behar-dugu-bizi-garen-jendartea-dominazioaren-kultura-batean-oinarritzen-dela_2121952_102.html</v>
      </c>
      <c r="B695" s="3" t="s">
        <v>15</v>
      </c>
      <c r="C695" s="5" t="n">
        <f aca="false">'🖐🏾 Human'!C35</f>
        <v>0</v>
      </c>
      <c r="D695" s="156" t="n">
        <f aca="false">'🖐🏾 Human'!E35</f>
        <v>0.001706484642</v>
      </c>
      <c r="E695" s="118" t="n">
        <f aca="false">'🖐🏾 Human'!F35</f>
        <v>0</v>
      </c>
      <c r="F695" s="118" t="n">
        <f aca="false">'🖐🏾 Human'!G35</f>
        <v>0</v>
      </c>
      <c r="G695" s="118" t="n">
        <f aca="false">'🖐🏾 Human'!H35</f>
        <v>0</v>
      </c>
      <c r="H695" s="118" t="n">
        <f aca="false">'🖐🏾 Human'!I35</f>
        <v>0</v>
      </c>
      <c r="I695" s="118" t="n">
        <f aca="false">'🖐🏾 Human'!J35</f>
        <v>0</v>
      </c>
    </row>
    <row r="696" customFormat="false" ht="15.75" hidden="false" customHeight="false" outlineLevel="0" collapsed="false">
      <c r="A696" s="8"/>
      <c r="B696" s="3"/>
      <c r="C696" s="5"/>
      <c r="D696" s="156"/>
      <c r="E696" s="5"/>
      <c r="F696" s="5"/>
      <c r="G696" s="5"/>
      <c r="H696" s="5"/>
      <c r="I696" s="5"/>
    </row>
    <row r="697" customFormat="false" ht="15.75" hidden="false" customHeight="false" outlineLevel="0" collapsed="false">
      <c r="A697" s="116" t="str">
        <f aca="false">'🖐🏾 Human'!$A$37</f>
        <v>https://www.berria.eus/ekonomia/energiaren-euskal-erakundea-energia-konpainien-zergaren-aurka_234607_102.html</v>
      </c>
      <c r="B697" s="3" t="s">
        <v>15</v>
      </c>
      <c r="C697" s="5" t="str">
        <f aca="false">'🖐🏾 Human'!C37</f>
        <v>Heading</v>
      </c>
      <c r="D697" s="156" t="n">
        <f aca="false">'🖐🏾 Human'!E37</f>
        <v>0.06970509383</v>
      </c>
      <c r="E697" s="118" t="n">
        <f aca="false">'🖐🏾 Human'!F37</f>
        <v>3</v>
      </c>
      <c r="F697" s="118" t="n">
        <f aca="false">'🖐🏾 Human'!G37</f>
        <v>5</v>
      </c>
      <c r="G697" s="118" t="n">
        <f aca="false">'🖐🏾 Human'!H37</f>
        <v>5</v>
      </c>
      <c r="H697" s="118" t="n">
        <f aca="false">'🖐🏾 Human'!I37</f>
        <v>3</v>
      </c>
      <c r="I697" s="118" t="n">
        <f aca="false">'🖐🏾 Human'!J37</f>
        <v>2</v>
      </c>
    </row>
    <row r="698" customFormat="false" ht="15.75" hidden="false" customHeight="false" outlineLevel="0" collapsed="false">
      <c r="A698" s="116" t="str">
        <f aca="false">'🖐🏾 Human'!$A$37</f>
        <v>https://www.berria.eus/ekonomia/energiaren-euskal-erakundea-energia-konpainien-zergaren-aurka_234607_102.html</v>
      </c>
      <c r="B698" s="3" t="s">
        <v>15</v>
      </c>
      <c r="C698" s="5" t="str">
        <f aca="false">'🖐🏾 Human'!C38</f>
        <v>Begoña</v>
      </c>
      <c r="D698" s="156" t="n">
        <f aca="false">'🖐🏾 Human'!E38</f>
        <v>0.4530831099</v>
      </c>
      <c r="E698" s="118" t="n">
        <f aca="false">'🖐🏾 Human'!F38</f>
        <v>0</v>
      </c>
      <c r="F698" s="118" t="n">
        <f aca="false">'🖐🏾 Human'!G38</f>
        <v>0</v>
      </c>
      <c r="G698" s="118" t="n">
        <f aca="false">'🖐🏾 Human'!H38</f>
        <v>0</v>
      </c>
      <c r="H698" s="118" t="n">
        <f aca="false">'🖐🏾 Human'!I38</f>
        <v>0</v>
      </c>
      <c r="I698" s="118" t="n">
        <f aca="false">'🖐🏾 Human'!J38</f>
        <v>0</v>
      </c>
    </row>
    <row r="699" customFormat="false" ht="15.75" hidden="false" customHeight="false" outlineLevel="0" collapsed="false">
      <c r="A699" s="116" t="str">
        <f aca="false">'🖐🏾 Human'!$A$37</f>
        <v>https://www.berria.eus/ekonomia/energiaren-euskal-erakundea-energia-konpainien-zergaren-aurka_234607_102.html</v>
      </c>
      <c r="B699" s="3" t="s">
        <v>15</v>
      </c>
      <c r="C699" s="5" t="n">
        <f aca="false">'🖐🏾 Human'!C39</f>
        <v>0</v>
      </c>
      <c r="D699" s="156" t="n">
        <f aca="false">'🖐🏾 Human'!E39</f>
        <v>0.002680965147</v>
      </c>
      <c r="E699" s="118" t="n">
        <f aca="false">'🖐🏾 Human'!F39</f>
        <v>0</v>
      </c>
      <c r="F699" s="118" t="n">
        <f aca="false">'🖐🏾 Human'!G39</f>
        <v>0</v>
      </c>
      <c r="G699" s="118" t="n">
        <f aca="false">'🖐🏾 Human'!H39</f>
        <v>0</v>
      </c>
      <c r="H699" s="118" t="n">
        <f aca="false">'🖐🏾 Human'!I39</f>
        <v>0</v>
      </c>
      <c r="I699" s="118" t="n">
        <f aca="false">'🖐🏾 Human'!J39</f>
        <v>0</v>
      </c>
    </row>
    <row r="700" customFormat="false" ht="15.75" hidden="false" customHeight="false" outlineLevel="0" collapsed="false">
      <c r="A700" s="116" t="str">
        <f aca="false">'🖐🏾 Human'!$A$37</f>
        <v>https://www.berria.eus/ekonomia/energiaren-euskal-erakundea-energia-konpainien-zergaren-aurka_234607_102.html</v>
      </c>
      <c r="B700" s="3" t="s">
        <v>15</v>
      </c>
      <c r="C700" s="5" t="n">
        <f aca="false">'🖐🏾 Human'!C40</f>
        <v>0</v>
      </c>
      <c r="D700" s="156" t="n">
        <f aca="false">'🖐🏾 Human'!E40</f>
        <v>0.002680965147</v>
      </c>
      <c r="E700" s="118" t="n">
        <f aca="false">'🖐🏾 Human'!F40</f>
        <v>0</v>
      </c>
      <c r="F700" s="118" t="n">
        <f aca="false">'🖐🏾 Human'!G40</f>
        <v>0</v>
      </c>
      <c r="G700" s="118" t="n">
        <f aca="false">'🖐🏾 Human'!H40</f>
        <v>0</v>
      </c>
      <c r="H700" s="118" t="n">
        <f aca="false">'🖐🏾 Human'!I40</f>
        <v>0</v>
      </c>
      <c r="I700" s="118" t="n">
        <f aca="false">'🖐🏾 Human'!J40</f>
        <v>0</v>
      </c>
    </row>
    <row r="701" customFormat="false" ht="15.75" hidden="false" customHeight="false" outlineLevel="0" collapsed="false">
      <c r="A701" s="8"/>
      <c r="B701" s="3"/>
      <c r="C701" s="5"/>
      <c r="D701" s="156"/>
      <c r="E701" s="5"/>
      <c r="F701" s="5"/>
      <c r="G701" s="5"/>
      <c r="H701" s="5"/>
      <c r="I701" s="5"/>
    </row>
    <row r="702" customFormat="false" ht="15.75" hidden="false" customHeight="false" outlineLevel="0" collapsed="false">
      <c r="A702" s="116" t="str">
        <f aca="false">'🖐🏾 Human'!$A$42</f>
        <v>https://www.berria.eus/kultura/benat-arrutik-irabazi-du-donostia-kultura-vii-poesia-lehiaketa_2122642_102.html</v>
      </c>
      <c r="B702" s="3" t="s">
        <v>15</v>
      </c>
      <c r="C702" s="5" t="str">
        <f aca="false">'🖐🏾 Human'!C42</f>
        <v>Heading</v>
      </c>
      <c r="D702" s="156" t="n">
        <f aca="false">'🖐🏾 Human'!E42</f>
        <v>0.1037735849</v>
      </c>
      <c r="E702" s="118" t="n">
        <f aca="false">'🖐🏾 Human'!F42</f>
        <v>4</v>
      </c>
      <c r="F702" s="118" t="n">
        <f aca="false">'🖐🏾 Human'!G42</f>
        <v>4</v>
      </c>
      <c r="G702" s="118" t="n">
        <f aca="false">'🖐🏾 Human'!H42</f>
        <v>5</v>
      </c>
      <c r="H702" s="118" t="n">
        <f aca="false">'🖐🏾 Human'!I42</f>
        <v>5</v>
      </c>
      <c r="I702" s="118" t="n">
        <f aca="false">'🖐🏾 Human'!J42</f>
        <v>4</v>
      </c>
    </row>
    <row r="703" customFormat="false" ht="15.75" hidden="false" customHeight="false" outlineLevel="0" collapsed="false">
      <c r="A703" s="116" t="str">
        <f aca="false">'🖐🏾 Human'!$A$42</f>
        <v>https://www.berria.eus/kultura/benat-arrutik-irabazi-du-donostia-kultura-vii-poesia-lehiaketa_2122642_102.html</v>
      </c>
      <c r="B703" s="3" t="s">
        <v>15</v>
      </c>
      <c r="C703" s="5" t="str">
        <f aca="false">'🖐🏾 Human'!C43</f>
        <v>Begoña</v>
      </c>
      <c r="D703" s="156" t="n">
        <f aca="false">'🖐🏾 Human'!E43</f>
        <v>0.3443396226</v>
      </c>
      <c r="E703" s="118" t="n">
        <f aca="false">'🖐🏾 Human'!F43</f>
        <v>0</v>
      </c>
      <c r="F703" s="118" t="n">
        <f aca="false">'🖐🏾 Human'!G43</f>
        <v>0</v>
      </c>
      <c r="G703" s="118" t="n">
        <f aca="false">'🖐🏾 Human'!H43</f>
        <v>0</v>
      </c>
      <c r="H703" s="118" t="n">
        <f aca="false">'🖐🏾 Human'!I43</f>
        <v>0</v>
      </c>
      <c r="I703" s="118" t="n">
        <f aca="false">'🖐🏾 Human'!J43</f>
        <v>0</v>
      </c>
    </row>
    <row r="704" customFormat="false" ht="15.75" hidden="false" customHeight="false" outlineLevel="0" collapsed="false">
      <c r="A704" s="116" t="str">
        <f aca="false">'🖐🏾 Human'!$A$42</f>
        <v>https://www.berria.eus/kultura/benat-arrutik-irabazi-du-donostia-kultura-vii-poesia-lehiaketa_2122642_102.html</v>
      </c>
      <c r="B704" s="3" t="s">
        <v>15</v>
      </c>
      <c r="C704" s="5" t="n">
        <f aca="false">'🖐🏾 Human'!C44</f>
        <v>0</v>
      </c>
      <c r="D704" s="156" t="n">
        <f aca="false">'🖐🏾 Human'!E44</f>
        <v>0.004716981132</v>
      </c>
      <c r="E704" s="118" t="n">
        <f aca="false">'🖐🏾 Human'!F44</f>
        <v>0</v>
      </c>
      <c r="F704" s="118" t="n">
        <f aca="false">'🖐🏾 Human'!G44</f>
        <v>0</v>
      </c>
      <c r="G704" s="118" t="n">
        <f aca="false">'🖐🏾 Human'!H44</f>
        <v>0</v>
      </c>
      <c r="H704" s="118" t="n">
        <f aca="false">'🖐🏾 Human'!I44</f>
        <v>0</v>
      </c>
      <c r="I704" s="118" t="n">
        <f aca="false">'🖐🏾 Human'!J44</f>
        <v>0</v>
      </c>
    </row>
    <row r="705" customFormat="false" ht="15.75" hidden="false" customHeight="false" outlineLevel="0" collapsed="false">
      <c r="A705" s="116" t="str">
        <f aca="false">'🖐🏾 Human'!$A$42</f>
        <v>https://www.berria.eus/kultura/benat-arrutik-irabazi-du-donostia-kultura-vii-poesia-lehiaketa_2122642_102.html</v>
      </c>
      <c r="B705" s="3" t="s">
        <v>15</v>
      </c>
      <c r="C705" s="5" t="n">
        <f aca="false">'🖐🏾 Human'!C45</f>
        <v>0</v>
      </c>
      <c r="D705" s="156" t="n">
        <f aca="false">'🖐🏾 Human'!E45</f>
        <v>0.004716981132</v>
      </c>
      <c r="E705" s="118" t="n">
        <f aca="false">'🖐🏾 Human'!F45</f>
        <v>0</v>
      </c>
      <c r="F705" s="118" t="n">
        <f aca="false">'🖐🏾 Human'!G45</f>
        <v>0</v>
      </c>
      <c r="G705" s="118" t="n">
        <f aca="false">'🖐🏾 Human'!H45</f>
        <v>0</v>
      </c>
      <c r="H705" s="118" t="n">
        <f aca="false">'🖐🏾 Human'!I45</f>
        <v>0</v>
      </c>
      <c r="I705" s="118" t="n">
        <f aca="false">'🖐🏾 Human'!J45</f>
        <v>0</v>
      </c>
    </row>
    <row r="706" customFormat="false" ht="15.75" hidden="false" customHeight="false" outlineLevel="0" collapsed="false">
      <c r="A706" s="8"/>
      <c r="B706" s="3"/>
      <c r="C706" s="5"/>
      <c r="D706" s="156"/>
      <c r="E706" s="5"/>
      <c r="F706" s="5"/>
      <c r="G706" s="5"/>
      <c r="H706" s="5"/>
      <c r="I706" s="5"/>
    </row>
    <row r="707" customFormat="false" ht="15.75" hidden="false" customHeight="false" outlineLevel="0" collapsed="false">
      <c r="A707" s="116" t="str">
        <f aca="false">'🖐🏾 Human'!$A$47</f>
        <v>https://www.berria.eus/mundua/aleksei-navalni-hil-da_2120844_102.html</v>
      </c>
      <c r="B707" s="3" t="s">
        <v>15</v>
      </c>
      <c r="C707" s="5" t="str">
        <f aca="false">'🖐🏾 Human'!C47</f>
        <v>Heading</v>
      </c>
      <c r="D707" s="156" t="n">
        <f aca="false">'🖐🏾 Human'!E47</f>
        <v>0.07038834951</v>
      </c>
      <c r="E707" s="118" t="n">
        <f aca="false">'🖐🏾 Human'!F47</f>
        <v>4</v>
      </c>
      <c r="F707" s="118" t="n">
        <f aca="false">'🖐🏾 Human'!G47</f>
        <v>4</v>
      </c>
      <c r="G707" s="118" t="n">
        <f aca="false">'🖐🏾 Human'!H47</f>
        <v>5</v>
      </c>
      <c r="H707" s="118" t="n">
        <f aca="false">'🖐🏾 Human'!I47</f>
        <v>3</v>
      </c>
      <c r="I707" s="118" t="n">
        <f aca="false">'🖐🏾 Human'!J47</f>
        <v>3</v>
      </c>
    </row>
    <row r="708" customFormat="false" ht="15.75" hidden="false" customHeight="false" outlineLevel="0" collapsed="false">
      <c r="A708" s="116" t="str">
        <f aca="false">'🖐🏾 Human'!$A$47</f>
        <v>https://www.berria.eus/mundua/aleksei-navalni-hil-da_2120844_102.html</v>
      </c>
      <c r="B708" s="3" t="s">
        <v>15</v>
      </c>
      <c r="C708" s="5" t="str">
        <f aca="false">'🖐🏾 Human'!C48</f>
        <v>Begoña</v>
      </c>
      <c r="D708" s="156" t="n">
        <f aca="false">'🖐🏾 Human'!E48</f>
        <v>0.2087378641</v>
      </c>
      <c r="E708" s="118" t="n">
        <f aca="false">'🖐🏾 Human'!F48</f>
        <v>0</v>
      </c>
      <c r="F708" s="118" t="n">
        <f aca="false">'🖐🏾 Human'!G48</f>
        <v>0</v>
      </c>
      <c r="G708" s="118" t="n">
        <f aca="false">'🖐🏾 Human'!H48</f>
        <v>0</v>
      </c>
      <c r="H708" s="118" t="n">
        <f aca="false">'🖐🏾 Human'!I48</f>
        <v>0</v>
      </c>
      <c r="I708" s="118" t="n">
        <f aca="false">'🖐🏾 Human'!J48</f>
        <v>0</v>
      </c>
    </row>
    <row r="709" customFormat="false" ht="15.75" hidden="false" customHeight="false" outlineLevel="0" collapsed="false">
      <c r="A709" s="116" t="str">
        <f aca="false">'🖐🏾 Human'!$A$47</f>
        <v>https://www.berria.eus/mundua/aleksei-navalni-hil-da_2120844_102.html</v>
      </c>
      <c r="B709" s="3" t="s">
        <v>15</v>
      </c>
      <c r="C709" s="5" t="n">
        <f aca="false">'🖐🏾 Human'!C49</f>
        <v>0</v>
      </c>
      <c r="D709" s="156" t="n">
        <f aca="false">'🖐🏾 Human'!E49</f>
        <v>0.002427184466</v>
      </c>
      <c r="E709" s="118" t="n">
        <f aca="false">'🖐🏾 Human'!F49</f>
        <v>0</v>
      </c>
      <c r="F709" s="118" t="n">
        <f aca="false">'🖐🏾 Human'!G49</f>
        <v>0</v>
      </c>
      <c r="G709" s="118" t="n">
        <f aca="false">'🖐🏾 Human'!H49</f>
        <v>0</v>
      </c>
      <c r="H709" s="118" t="n">
        <f aca="false">'🖐🏾 Human'!I49</f>
        <v>0</v>
      </c>
      <c r="I709" s="118" t="n">
        <f aca="false">'🖐🏾 Human'!J49</f>
        <v>0</v>
      </c>
    </row>
    <row r="710" customFormat="false" ht="15.75" hidden="false" customHeight="false" outlineLevel="0" collapsed="false">
      <c r="A710" s="116" t="str">
        <f aca="false">'🖐🏾 Human'!$A$47</f>
        <v>https://www.berria.eus/mundua/aleksei-navalni-hil-da_2120844_102.html</v>
      </c>
      <c r="B710" s="3" t="s">
        <v>15</v>
      </c>
      <c r="C710" s="5" t="n">
        <f aca="false">'🖐🏾 Human'!C50</f>
        <v>0</v>
      </c>
      <c r="D710" s="156" t="n">
        <f aca="false">'🖐🏾 Human'!E50</f>
        <v>0.002427184466</v>
      </c>
      <c r="E710" s="118" t="n">
        <f aca="false">'🖐🏾 Human'!F50</f>
        <v>0</v>
      </c>
      <c r="F710" s="118" t="n">
        <f aca="false">'🖐🏾 Human'!G50</f>
        <v>0</v>
      </c>
      <c r="G710" s="118" t="n">
        <f aca="false">'🖐🏾 Human'!H50</f>
        <v>0</v>
      </c>
      <c r="H710" s="118" t="n">
        <f aca="false">'🖐🏾 Human'!I50</f>
        <v>0</v>
      </c>
      <c r="I710" s="118" t="n">
        <f aca="false">'🖐🏾 Human'!J50</f>
        <v>0</v>
      </c>
    </row>
    <row r="711" customFormat="false" ht="15.75" hidden="false" customHeight="false" outlineLevel="0" collapsed="false">
      <c r="A711" s="116"/>
      <c r="B711" s="3"/>
      <c r="C711" s="5"/>
      <c r="D711" s="156"/>
      <c r="E711" s="5"/>
      <c r="F711" s="5"/>
      <c r="G711" s="5"/>
      <c r="H711" s="5"/>
      <c r="I711" s="5"/>
    </row>
    <row r="712" customFormat="false" ht="15.75" hidden="false" customHeight="false" outlineLevel="0" collapsed="false">
      <c r="A712" s="116" t="n">
        <f aca="false">'🖐🏾 Human'!$A$52</f>
        <v>0</v>
      </c>
      <c r="B712" s="3" t="s">
        <v>15</v>
      </c>
      <c r="C712" s="5" t="str">
        <f aca="false">'🖐🏾 Human'!C52</f>
        <v>Heading</v>
      </c>
      <c r="D712" s="156" t="n">
        <f aca="false">'🖐🏾 Human'!E52</f>
        <v>1</v>
      </c>
      <c r="E712" s="118" t="n">
        <f aca="false">'🖐🏾 Human'!F52</f>
        <v>0</v>
      </c>
      <c r="F712" s="118" t="n">
        <f aca="false">'🖐🏾 Human'!G52</f>
        <v>0</v>
      </c>
      <c r="G712" s="118" t="n">
        <f aca="false">'🖐🏾 Human'!H52</f>
        <v>0</v>
      </c>
      <c r="H712" s="118" t="n">
        <f aca="false">'🖐🏾 Human'!I52</f>
        <v>0</v>
      </c>
      <c r="I712" s="118" t="n">
        <f aca="false">'🖐🏾 Human'!J52</f>
        <v>0</v>
      </c>
    </row>
    <row r="713" customFormat="false" ht="15.75" hidden="false" customHeight="false" outlineLevel="0" collapsed="false">
      <c r="A713" s="116" t="n">
        <f aca="false">'🖐🏾 Human'!$A$52</f>
        <v>0</v>
      </c>
      <c r="B713" s="3" t="s">
        <v>15</v>
      </c>
      <c r="C713" s="5" t="n">
        <f aca="false">'🖐🏾 Human'!C53</f>
        <v>0</v>
      </c>
      <c r="D713" s="156" t="n">
        <f aca="false">'🖐🏾 Human'!E53</f>
        <v>1</v>
      </c>
      <c r="E713" s="118" t="n">
        <f aca="false">'🖐🏾 Human'!F53</f>
        <v>0</v>
      </c>
      <c r="F713" s="118" t="n">
        <f aca="false">'🖐🏾 Human'!G53</f>
        <v>0</v>
      </c>
      <c r="G713" s="118" t="n">
        <f aca="false">'🖐🏾 Human'!H53</f>
        <v>0</v>
      </c>
      <c r="H713" s="118" t="n">
        <f aca="false">'🖐🏾 Human'!I53</f>
        <v>0</v>
      </c>
      <c r="I713" s="118" t="n">
        <f aca="false">'🖐🏾 Human'!J53</f>
        <v>0</v>
      </c>
    </row>
    <row r="714" customFormat="false" ht="15.75" hidden="false" customHeight="false" outlineLevel="0" collapsed="false">
      <c r="A714" s="116" t="n">
        <f aca="false">'🖐🏾 Human'!$A$52</f>
        <v>0</v>
      </c>
      <c r="B714" s="3" t="s">
        <v>15</v>
      </c>
      <c r="C714" s="5" t="n">
        <f aca="false">'🖐🏾 Human'!C54</f>
        <v>0</v>
      </c>
      <c r="D714" s="156" t="n">
        <f aca="false">'🖐🏾 Human'!E54</f>
        <v>1</v>
      </c>
      <c r="E714" s="118" t="n">
        <f aca="false">'🖐🏾 Human'!F54</f>
        <v>0</v>
      </c>
      <c r="F714" s="118" t="n">
        <f aca="false">'🖐🏾 Human'!G54</f>
        <v>0</v>
      </c>
      <c r="G714" s="118" t="n">
        <f aca="false">'🖐🏾 Human'!H54</f>
        <v>0</v>
      </c>
      <c r="H714" s="118" t="n">
        <f aca="false">'🖐🏾 Human'!I54</f>
        <v>0</v>
      </c>
      <c r="I714" s="118" t="n">
        <f aca="false">'🖐🏾 Human'!J54</f>
        <v>0</v>
      </c>
    </row>
    <row r="715" customFormat="false" ht="15.75" hidden="false" customHeight="false" outlineLevel="0" collapsed="false">
      <c r="A715" s="116" t="n">
        <f aca="false">'🖐🏾 Human'!$A$52</f>
        <v>0</v>
      </c>
      <c r="B715" s="3" t="s">
        <v>15</v>
      </c>
      <c r="C715" s="5" t="n">
        <f aca="false">'🖐🏾 Human'!C55</f>
        <v>0</v>
      </c>
      <c r="D715" s="156" t="n">
        <f aca="false">'🖐🏾 Human'!E55</f>
        <v>1</v>
      </c>
      <c r="E715" s="118" t="n">
        <f aca="false">'🖐🏾 Human'!F55</f>
        <v>0</v>
      </c>
      <c r="F715" s="118" t="n">
        <f aca="false">'🖐🏾 Human'!G55</f>
        <v>0</v>
      </c>
      <c r="G715" s="118" t="n">
        <f aca="false">'🖐🏾 Human'!H55</f>
        <v>0</v>
      </c>
      <c r="H715" s="118" t="n">
        <f aca="false">'🖐🏾 Human'!I55</f>
        <v>0</v>
      </c>
      <c r="I715" s="118" t="n">
        <f aca="false">'🖐🏾 Human'!J55</f>
        <v>0</v>
      </c>
    </row>
    <row r="716" customFormat="false" ht="15.75" hidden="false" customHeight="false" outlineLevel="0" collapsed="false">
      <c r="A716" s="116"/>
      <c r="B716" s="3"/>
      <c r="C716" s="5"/>
      <c r="D716" s="156"/>
      <c r="E716" s="5"/>
      <c r="F716" s="5"/>
      <c r="G716" s="5"/>
      <c r="H716" s="5"/>
      <c r="I716" s="5"/>
    </row>
    <row r="717" customFormat="false" ht="15.75" hidden="false" customHeight="false" outlineLevel="0" collapsed="false">
      <c r="A717" s="116" t="n">
        <f aca="false">'🖐🏾 Human'!$A$57</f>
        <v>0</v>
      </c>
      <c r="B717" s="3" t="s">
        <v>15</v>
      </c>
      <c r="C717" s="5" t="str">
        <f aca="false">'🖐🏾 Human'!C57</f>
        <v>Heading</v>
      </c>
      <c r="D717" s="156" t="n">
        <f aca="false">'🖐🏾 Human'!E57</f>
        <v>1</v>
      </c>
      <c r="E717" s="118" t="n">
        <f aca="false">'🖐🏾 Human'!F57</f>
        <v>0</v>
      </c>
      <c r="F717" s="118" t="n">
        <f aca="false">'🖐🏾 Human'!G57</f>
        <v>0</v>
      </c>
      <c r="G717" s="118" t="n">
        <f aca="false">'🖐🏾 Human'!H57</f>
        <v>0</v>
      </c>
      <c r="H717" s="118" t="n">
        <f aca="false">'🖐🏾 Human'!I57</f>
        <v>0</v>
      </c>
      <c r="I717" s="118" t="n">
        <f aca="false">'🖐🏾 Human'!J57</f>
        <v>0</v>
      </c>
    </row>
    <row r="718" customFormat="false" ht="15.75" hidden="false" customHeight="false" outlineLevel="0" collapsed="false">
      <c r="A718" s="116" t="n">
        <f aca="false">'🖐🏾 Human'!$A$57</f>
        <v>0</v>
      </c>
      <c r="B718" s="3" t="s">
        <v>15</v>
      </c>
      <c r="C718" s="5" t="n">
        <f aca="false">'🖐🏾 Human'!C58</f>
        <v>0</v>
      </c>
      <c r="D718" s="156" t="n">
        <f aca="false">'🖐🏾 Human'!E58</f>
        <v>1</v>
      </c>
      <c r="E718" s="118" t="n">
        <f aca="false">'🖐🏾 Human'!F58</f>
        <v>0</v>
      </c>
      <c r="F718" s="118" t="n">
        <f aca="false">'🖐🏾 Human'!G58</f>
        <v>0</v>
      </c>
      <c r="G718" s="118" t="n">
        <f aca="false">'🖐🏾 Human'!H58</f>
        <v>0</v>
      </c>
      <c r="H718" s="118" t="n">
        <f aca="false">'🖐🏾 Human'!I58</f>
        <v>0</v>
      </c>
      <c r="I718" s="118" t="n">
        <f aca="false">'🖐🏾 Human'!J58</f>
        <v>0</v>
      </c>
    </row>
    <row r="719" customFormat="false" ht="15.75" hidden="false" customHeight="false" outlineLevel="0" collapsed="false">
      <c r="A719" s="116" t="n">
        <f aca="false">'🖐🏾 Human'!$A$57</f>
        <v>0</v>
      </c>
      <c r="B719" s="3" t="s">
        <v>15</v>
      </c>
      <c r="C719" s="5" t="n">
        <f aca="false">'🖐🏾 Human'!C59</f>
        <v>0</v>
      </c>
      <c r="D719" s="156" t="n">
        <f aca="false">'🖐🏾 Human'!E59</f>
        <v>1</v>
      </c>
      <c r="E719" s="118" t="n">
        <f aca="false">'🖐🏾 Human'!F59</f>
        <v>0</v>
      </c>
      <c r="F719" s="118" t="n">
        <f aca="false">'🖐🏾 Human'!G59</f>
        <v>0</v>
      </c>
      <c r="G719" s="118" t="n">
        <f aca="false">'🖐🏾 Human'!H59</f>
        <v>0</v>
      </c>
      <c r="H719" s="118" t="n">
        <f aca="false">'🖐🏾 Human'!I59</f>
        <v>0</v>
      </c>
      <c r="I719" s="118" t="n">
        <f aca="false">'🖐🏾 Human'!J59</f>
        <v>0</v>
      </c>
    </row>
    <row r="720" customFormat="false" ht="15.75" hidden="false" customHeight="false" outlineLevel="0" collapsed="false">
      <c r="A720" s="116" t="n">
        <f aca="false">'🖐🏾 Human'!$A$57</f>
        <v>0</v>
      </c>
      <c r="B720" s="3" t="s">
        <v>15</v>
      </c>
      <c r="C720" s="5" t="n">
        <f aca="false">'🖐🏾 Human'!C60</f>
        <v>0</v>
      </c>
      <c r="D720" s="156" t="n">
        <f aca="false">'🖐🏾 Human'!E60</f>
        <v>1</v>
      </c>
      <c r="E720" s="118" t="n">
        <f aca="false">'🖐🏾 Human'!F60</f>
        <v>0</v>
      </c>
      <c r="F720" s="118" t="n">
        <f aca="false">'🖐🏾 Human'!G60</f>
        <v>0</v>
      </c>
      <c r="G720" s="118" t="n">
        <f aca="false">'🖐🏾 Human'!H60</f>
        <v>0</v>
      </c>
      <c r="H720" s="118" t="n">
        <f aca="false">'🖐🏾 Human'!I60</f>
        <v>0</v>
      </c>
      <c r="I720" s="118" t="n">
        <f aca="false">'🖐🏾 Human'!J60</f>
        <v>0</v>
      </c>
    </row>
    <row r="721" customFormat="false" ht="15.75" hidden="false" customHeight="false" outlineLevel="0" collapsed="false">
      <c r="A721" s="116"/>
      <c r="B721" s="3"/>
      <c r="C721" s="5"/>
      <c r="D721" s="156"/>
      <c r="E721" s="5"/>
      <c r="F721" s="5"/>
      <c r="G721" s="5"/>
      <c r="H721" s="5"/>
      <c r="I721" s="5"/>
    </row>
    <row r="722" customFormat="false" ht="15.75" hidden="false" customHeight="false" outlineLevel="0" collapsed="false">
      <c r="A722" s="116" t="n">
        <f aca="false">'🖐🏾 Human'!$A$62</f>
        <v>0</v>
      </c>
      <c r="B722" s="3" t="s">
        <v>15</v>
      </c>
      <c r="C722" s="5" t="str">
        <f aca="false">'🖐🏾 Human'!C62</f>
        <v>Heading</v>
      </c>
      <c r="D722" s="156" t="n">
        <f aca="false">'🖐🏾 Human'!E62</f>
        <v>1</v>
      </c>
      <c r="E722" s="118" t="n">
        <f aca="false">'🖐🏾 Human'!F62</f>
        <v>0</v>
      </c>
      <c r="F722" s="118" t="n">
        <f aca="false">'🖐🏾 Human'!G62</f>
        <v>0</v>
      </c>
      <c r="G722" s="118" t="n">
        <f aca="false">'🖐🏾 Human'!H62</f>
        <v>0</v>
      </c>
      <c r="H722" s="118" t="n">
        <f aca="false">'🖐🏾 Human'!I62</f>
        <v>0</v>
      </c>
      <c r="I722" s="118" t="n">
        <f aca="false">'🖐🏾 Human'!J62</f>
        <v>0</v>
      </c>
    </row>
    <row r="723" customFormat="false" ht="15.75" hidden="false" customHeight="false" outlineLevel="0" collapsed="false">
      <c r="A723" s="116" t="n">
        <f aca="false">'🖐🏾 Human'!$A$62</f>
        <v>0</v>
      </c>
      <c r="B723" s="3" t="s">
        <v>15</v>
      </c>
      <c r="C723" s="5" t="n">
        <f aca="false">'🖐🏾 Human'!C63</f>
        <v>0</v>
      </c>
      <c r="D723" s="156" t="n">
        <f aca="false">'🖐🏾 Human'!E63</f>
        <v>1</v>
      </c>
      <c r="E723" s="118" t="n">
        <f aca="false">'🖐🏾 Human'!F63</f>
        <v>0</v>
      </c>
      <c r="F723" s="118" t="n">
        <f aca="false">'🖐🏾 Human'!G63</f>
        <v>0</v>
      </c>
      <c r="G723" s="118" t="n">
        <f aca="false">'🖐🏾 Human'!H63</f>
        <v>0</v>
      </c>
      <c r="H723" s="118" t="n">
        <f aca="false">'🖐🏾 Human'!I63</f>
        <v>0</v>
      </c>
      <c r="I723" s="118" t="n">
        <f aca="false">'🖐🏾 Human'!J63</f>
        <v>0</v>
      </c>
    </row>
    <row r="724" customFormat="false" ht="15.75" hidden="false" customHeight="false" outlineLevel="0" collapsed="false">
      <c r="A724" s="116" t="n">
        <f aca="false">'🖐🏾 Human'!$A$62</f>
        <v>0</v>
      </c>
      <c r="B724" s="3" t="s">
        <v>15</v>
      </c>
      <c r="C724" s="5" t="n">
        <f aca="false">'🖐🏾 Human'!C64</f>
        <v>0</v>
      </c>
      <c r="D724" s="156" t="n">
        <f aca="false">'🖐🏾 Human'!E64</f>
        <v>1</v>
      </c>
      <c r="E724" s="118" t="n">
        <f aca="false">'🖐🏾 Human'!F64</f>
        <v>0</v>
      </c>
      <c r="F724" s="118" t="n">
        <f aca="false">'🖐🏾 Human'!G64</f>
        <v>0</v>
      </c>
      <c r="G724" s="118" t="n">
        <f aca="false">'🖐🏾 Human'!H64</f>
        <v>0</v>
      </c>
      <c r="H724" s="118" t="n">
        <f aca="false">'🖐🏾 Human'!I64</f>
        <v>0</v>
      </c>
      <c r="I724" s="118" t="n">
        <f aca="false">'🖐🏾 Human'!J64</f>
        <v>0</v>
      </c>
    </row>
    <row r="725" customFormat="false" ht="15.75" hidden="false" customHeight="false" outlineLevel="0" collapsed="false">
      <c r="A725" s="116" t="n">
        <f aca="false">'🖐🏾 Human'!$A$62</f>
        <v>0</v>
      </c>
      <c r="B725" s="3" t="s">
        <v>15</v>
      </c>
      <c r="C725" s="5" t="n">
        <f aca="false">'🖐🏾 Human'!C65</f>
        <v>0</v>
      </c>
      <c r="D725" s="156" t="n">
        <f aca="false">'🖐🏾 Human'!E65</f>
        <v>1</v>
      </c>
      <c r="E725" s="118" t="n">
        <f aca="false">'🖐🏾 Human'!F65</f>
        <v>0</v>
      </c>
      <c r="F725" s="118" t="n">
        <f aca="false">'🖐🏾 Human'!G65</f>
        <v>0</v>
      </c>
      <c r="G725" s="118" t="n">
        <f aca="false">'🖐🏾 Human'!H65</f>
        <v>0</v>
      </c>
      <c r="H725" s="118" t="n">
        <f aca="false">'🖐🏾 Human'!I65</f>
        <v>0</v>
      </c>
      <c r="I725" s="118" t="n">
        <f aca="false">'🖐🏾 Human'!J65</f>
        <v>0</v>
      </c>
    </row>
    <row r="726" customFormat="false" ht="15.75" hidden="false" customHeight="false" outlineLevel="0" collapsed="false">
      <c r="A726" s="116"/>
      <c r="B726" s="3"/>
      <c r="C726" s="5"/>
      <c r="D726" s="156"/>
      <c r="E726" s="5"/>
      <c r="F726" s="5"/>
      <c r="G726" s="5"/>
      <c r="H726" s="5"/>
      <c r="I726" s="5"/>
    </row>
    <row r="727" customFormat="false" ht="15.75" hidden="false" customHeight="false" outlineLevel="0" collapsed="false">
      <c r="A727" s="116" t="n">
        <f aca="false">'🖐🏾 Human'!$A$67</f>
        <v>0</v>
      </c>
      <c r="B727" s="3" t="s">
        <v>15</v>
      </c>
      <c r="C727" s="5" t="str">
        <f aca="false">'🖐🏾 Human'!C67</f>
        <v>Heading</v>
      </c>
      <c r="D727" s="156" t="n">
        <f aca="false">'🖐🏾 Human'!E67</f>
        <v>1</v>
      </c>
      <c r="E727" s="118" t="n">
        <f aca="false">'🖐🏾 Human'!F67</f>
        <v>0</v>
      </c>
      <c r="F727" s="118" t="n">
        <f aca="false">'🖐🏾 Human'!G67</f>
        <v>0</v>
      </c>
      <c r="G727" s="118" t="n">
        <f aca="false">'🖐🏾 Human'!H67</f>
        <v>0</v>
      </c>
      <c r="H727" s="118" t="n">
        <f aca="false">'🖐🏾 Human'!I67</f>
        <v>0</v>
      </c>
      <c r="I727" s="118" t="n">
        <f aca="false">'🖐🏾 Human'!J67</f>
        <v>0</v>
      </c>
    </row>
    <row r="728" customFormat="false" ht="15.75" hidden="false" customHeight="false" outlineLevel="0" collapsed="false">
      <c r="A728" s="116" t="n">
        <f aca="false">'🖐🏾 Human'!$A$67</f>
        <v>0</v>
      </c>
      <c r="B728" s="3" t="s">
        <v>15</v>
      </c>
      <c r="C728" s="5" t="n">
        <f aca="false">'🖐🏾 Human'!C68</f>
        <v>0</v>
      </c>
      <c r="D728" s="156" t="n">
        <f aca="false">'🖐🏾 Human'!E68</f>
        <v>1</v>
      </c>
      <c r="E728" s="118" t="n">
        <f aca="false">'🖐🏾 Human'!F68</f>
        <v>0</v>
      </c>
      <c r="F728" s="118" t="n">
        <f aca="false">'🖐🏾 Human'!G68</f>
        <v>0</v>
      </c>
      <c r="G728" s="118" t="n">
        <f aca="false">'🖐🏾 Human'!H68</f>
        <v>0</v>
      </c>
      <c r="H728" s="118" t="n">
        <f aca="false">'🖐🏾 Human'!I68</f>
        <v>0</v>
      </c>
      <c r="I728" s="118" t="n">
        <f aca="false">'🖐🏾 Human'!J68</f>
        <v>0</v>
      </c>
    </row>
    <row r="729" customFormat="false" ht="15.75" hidden="false" customHeight="false" outlineLevel="0" collapsed="false">
      <c r="A729" s="116" t="n">
        <f aca="false">'🖐🏾 Human'!$A$67</f>
        <v>0</v>
      </c>
      <c r="B729" s="3" t="s">
        <v>15</v>
      </c>
      <c r="C729" s="5" t="n">
        <f aca="false">'🖐🏾 Human'!C69</f>
        <v>0</v>
      </c>
      <c r="D729" s="156" t="n">
        <f aca="false">'🖐🏾 Human'!E69</f>
        <v>1</v>
      </c>
      <c r="E729" s="118" t="n">
        <f aca="false">'🖐🏾 Human'!F69</f>
        <v>0</v>
      </c>
      <c r="F729" s="118" t="n">
        <f aca="false">'🖐🏾 Human'!G69</f>
        <v>0</v>
      </c>
      <c r="G729" s="118" t="n">
        <f aca="false">'🖐🏾 Human'!H69</f>
        <v>0</v>
      </c>
      <c r="H729" s="118" t="n">
        <f aca="false">'🖐🏾 Human'!I69</f>
        <v>0</v>
      </c>
      <c r="I729" s="118" t="n">
        <f aca="false">'🖐🏾 Human'!J69</f>
        <v>0</v>
      </c>
    </row>
    <row r="730" customFormat="false" ht="15.75" hidden="false" customHeight="false" outlineLevel="0" collapsed="false">
      <c r="A730" s="116" t="n">
        <f aca="false">'🖐🏾 Human'!$A$67</f>
        <v>0</v>
      </c>
      <c r="B730" s="3" t="s">
        <v>15</v>
      </c>
      <c r="C730" s="5" t="n">
        <f aca="false">'🖐🏾 Human'!C70</f>
        <v>0</v>
      </c>
      <c r="D730" s="156" t="n">
        <f aca="false">'🖐🏾 Human'!E70</f>
        <v>1</v>
      </c>
      <c r="E730" s="118" t="n">
        <f aca="false">'🖐🏾 Human'!F70</f>
        <v>0</v>
      </c>
      <c r="F730" s="118" t="n">
        <f aca="false">'🖐🏾 Human'!G70</f>
        <v>0</v>
      </c>
      <c r="G730" s="118" t="n">
        <f aca="false">'🖐🏾 Human'!H70</f>
        <v>0</v>
      </c>
      <c r="H730" s="118" t="n">
        <f aca="false">'🖐🏾 Human'!I70</f>
        <v>0</v>
      </c>
      <c r="I730" s="118" t="n">
        <f aca="false">'🖐🏾 Human'!J70</f>
        <v>0</v>
      </c>
    </row>
    <row r="731" customFormat="false" ht="15.75" hidden="false" customHeight="false" outlineLevel="0" collapsed="false">
      <c r="A731" s="116"/>
      <c r="B731" s="3"/>
      <c r="C731" s="5"/>
      <c r="D731" s="156"/>
      <c r="E731" s="5"/>
      <c r="F731" s="5"/>
      <c r="G731" s="5"/>
      <c r="H731" s="5"/>
      <c r="I731" s="5"/>
    </row>
    <row r="732" customFormat="false" ht="15.75" hidden="false" customHeight="false" outlineLevel="0" collapsed="false">
      <c r="A732" s="116" t="n">
        <f aca="false">'🖐🏾 Human'!$A$72</f>
        <v>0</v>
      </c>
      <c r="B732" s="3" t="s">
        <v>15</v>
      </c>
      <c r="C732" s="5" t="str">
        <f aca="false">'🖐🏾 Human'!C72</f>
        <v>Heading</v>
      </c>
      <c r="D732" s="156" t="n">
        <f aca="false">'🖐🏾 Human'!E72</f>
        <v>1</v>
      </c>
      <c r="E732" s="118" t="n">
        <f aca="false">'🖐🏾 Human'!F72</f>
        <v>0</v>
      </c>
      <c r="F732" s="118" t="n">
        <f aca="false">'🖐🏾 Human'!G72</f>
        <v>0</v>
      </c>
      <c r="G732" s="118" t="n">
        <f aca="false">'🖐🏾 Human'!H72</f>
        <v>0</v>
      </c>
      <c r="H732" s="118" t="n">
        <f aca="false">'🖐🏾 Human'!I72</f>
        <v>0</v>
      </c>
      <c r="I732" s="118" t="n">
        <f aca="false">'🖐🏾 Human'!J72</f>
        <v>0</v>
      </c>
    </row>
    <row r="733" customFormat="false" ht="15.75" hidden="false" customHeight="false" outlineLevel="0" collapsed="false">
      <c r="A733" s="116" t="n">
        <f aca="false">'🖐🏾 Human'!$A$72</f>
        <v>0</v>
      </c>
      <c r="B733" s="3" t="s">
        <v>15</v>
      </c>
      <c r="C733" s="5" t="n">
        <f aca="false">'🖐🏾 Human'!C73</f>
        <v>0</v>
      </c>
      <c r="D733" s="156" t="n">
        <f aca="false">'🖐🏾 Human'!E73</f>
        <v>1</v>
      </c>
      <c r="E733" s="118" t="n">
        <f aca="false">'🖐🏾 Human'!F73</f>
        <v>0</v>
      </c>
      <c r="F733" s="118" t="n">
        <f aca="false">'🖐🏾 Human'!G73</f>
        <v>0</v>
      </c>
      <c r="G733" s="118" t="n">
        <f aca="false">'🖐🏾 Human'!H73</f>
        <v>0</v>
      </c>
      <c r="H733" s="118" t="n">
        <f aca="false">'🖐🏾 Human'!I73</f>
        <v>0</v>
      </c>
      <c r="I733" s="118" t="n">
        <f aca="false">'🖐🏾 Human'!J73</f>
        <v>0</v>
      </c>
    </row>
    <row r="734" customFormat="false" ht="15.75" hidden="false" customHeight="false" outlineLevel="0" collapsed="false">
      <c r="A734" s="116" t="n">
        <f aca="false">'🖐🏾 Human'!$A$72</f>
        <v>0</v>
      </c>
      <c r="B734" s="3" t="s">
        <v>15</v>
      </c>
      <c r="C734" s="5" t="n">
        <f aca="false">'🖐🏾 Human'!C74</f>
        <v>0</v>
      </c>
      <c r="D734" s="156" t="n">
        <f aca="false">'🖐🏾 Human'!E74</f>
        <v>1</v>
      </c>
      <c r="E734" s="118" t="n">
        <f aca="false">'🖐🏾 Human'!F74</f>
        <v>0</v>
      </c>
      <c r="F734" s="118" t="n">
        <f aca="false">'🖐🏾 Human'!G74</f>
        <v>0</v>
      </c>
      <c r="G734" s="118" t="n">
        <f aca="false">'🖐🏾 Human'!H74</f>
        <v>0</v>
      </c>
      <c r="H734" s="118" t="n">
        <f aca="false">'🖐🏾 Human'!I74</f>
        <v>0</v>
      </c>
      <c r="I734" s="118" t="n">
        <f aca="false">'🖐🏾 Human'!J74</f>
        <v>0</v>
      </c>
    </row>
    <row r="735" customFormat="false" ht="15.75" hidden="false" customHeight="false" outlineLevel="0" collapsed="false">
      <c r="A735" s="116" t="n">
        <f aca="false">'🖐🏾 Human'!$A$72</f>
        <v>0</v>
      </c>
      <c r="B735" s="3" t="s">
        <v>15</v>
      </c>
      <c r="C735" s="5" t="n">
        <f aca="false">'🖐🏾 Human'!C75</f>
        <v>0</v>
      </c>
      <c r="D735" s="156" t="n">
        <f aca="false">'🖐🏾 Human'!E75</f>
        <v>1</v>
      </c>
      <c r="E735" s="118" t="n">
        <f aca="false">'🖐🏾 Human'!F75</f>
        <v>0</v>
      </c>
      <c r="F735" s="118" t="n">
        <f aca="false">'🖐🏾 Human'!G75</f>
        <v>0</v>
      </c>
      <c r="G735" s="118" t="n">
        <f aca="false">'🖐🏾 Human'!H75</f>
        <v>0</v>
      </c>
      <c r="H735" s="118" t="n">
        <f aca="false">'🖐🏾 Human'!I75</f>
        <v>0</v>
      </c>
      <c r="I735" s="118" t="n">
        <f aca="false">'🖐🏾 Human'!J75</f>
        <v>0</v>
      </c>
    </row>
    <row r="736" customFormat="false" ht="15.75" hidden="false" customHeight="false" outlineLevel="0" collapsed="false">
      <c r="A736" s="116"/>
      <c r="B736" s="3"/>
      <c r="C736" s="5"/>
      <c r="D736" s="156"/>
      <c r="E736" s="5"/>
      <c r="F736" s="5"/>
      <c r="G736" s="5"/>
      <c r="H736" s="5"/>
      <c r="I736" s="5"/>
    </row>
    <row r="737" customFormat="false" ht="15.75" hidden="false" customHeight="false" outlineLevel="0" collapsed="false">
      <c r="A737" s="116" t="n">
        <f aca="false">'🖐🏾 Human'!$A$77</f>
        <v>0</v>
      </c>
      <c r="B737" s="3" t="s">
        <v>15</v>
      </c>
      <c r="C737" s="5" t="str">
        <f aca="false">'🖐🏾 Human'!C77</f>
        <v>Heading</v>
      </c>
      <c r="D737" s="156" t="n">
        <f aca="false">'🖐🏾 Human'!E77</f>
        <v>1</v>
      </c>
      <c r="E737" s="118" t="n">
        <f aca="false">'🖐🏾 Human'!F77</f>
        <v>0</v>
      </c>
      <c r="F737" s="118" t="n">
        <f aca="false">'🖐🏾 Human'!G77</f>
        <v>0</v>
      </c>
      <c r="G737" s="118" t="n">
        <f aca="false">'🖐🏾 Human'!H77</f>
        <v>0</v>
      </c>
      <c r="H737" s="118" t="n">
        <f aca="false">'🖐🏾 Human'!I77</f>
        <v>0</v>
      </c>
      <c r="I737" s="118" t="n">
        <f aca="false">'🖐🏾 Human'!J77</f>
        <v>0</v>
      </c>
    </row>
    <row r="738" customFormat="false" ht="15.75" hidden="false" customHeight="false" outlineLevel="0" collapsed="false">
      <c r="A738" s="116" t="n">
        <f aca="false">'🖐🏾 Human'!$A$77</f>
        <v>0</v>
      </c>
      <c r="B738" s="3" t="s">
        <v>15</v>
      </c>
      <c r="C738" s="5" t="n">
        <f aca="false">'🖐🏾 Human'!C78</f>
        <v>0</v>
      </c>
      <c r="D738" s="156" t="n">
        <f aca="false">'🖐🏾 Human'!E78</f>
        <v>1</v>
      </c>
      <c r="E738" s="118" t="n">
        <f aca="false">'🖐🏾 Human'!F78</f>
        <v>0</v>
      </c>
      <c r="F738" s="118" t="n">
        <f aca="false">'🖐🏾 Human'!G78</f>
        <v>0</v>
      </c>
      <c r="G738" s="118" t="n">
        <f aca="false">'🖐🏾 Human'!H78</f>
        <v>0</v>
      </c>
      <c r="H738" s="118" t="n">
        <f aca="false">'🖐🏾 Human'!I78</f>
        <v>0</v>
      </c>
      <c r="I738" s="118" t="n">
        <f aca="false">'🖐🏾 Human'!J78</f>
        <v>0</v>
      </c>
    </row>
    <row r="739" customFormat="false" ht="15.75" hidden="false" customHeight="false" outlineLevel="0" collapsed="false">
      <c r="A739" s="116" t="n">
        <f aca="false">'🖐🏾 Human'!$A$77</f>
        <v>0</v>
      </c>
      <c r="B739" s="3" t="s">
        <v>15</v>
      </c>
      <c r="C739" s="5" t="n">
        <f aca="false">'🖐🏾 Human'!C79</f>
        <v>0</v>
      </c>
      <c r="D739" s="156" t="n">
        <f aca="false">'🖐🏾 Human'!E79</f>
        <v>1</v>
      </c>
      <c r="E739" s="118" t="n">
        <f aca="false">'🖐🏾 Human'!F79</f>
        <v>0</v>
      </c>
      <c r="F739" s="118" t="n">
        <f aca="false">'🖐🏾 Human'!G79</f>
        <v>0</v>
      </c>
      <c r="G739" s="118" t="n">
        <f aca="false">'🖐🏾 Human'!H79</f>
        <v>0</v>
      </c>
      <c r="H739" s="118" t="n">
        <f aca="false">'🖐🏾 Human'!I79</f>
        <v>0</v>
      </c>
      <c r="I739" s="118" t="n">
        <f aca="false">'🖐🏾 Human'!J79</f>
        <v>0</v>
      </c>
    </row>
    <row r="740" customFormat="false" ht="15.75" hidden="false" customHeight="false" outlineLevel="0" collapsed="false">
      <c r="A740" s="116" t="n">
        <f aca="false">'🖐🏾 Human'!$A$77</f>
        <v>0</v>
      </c>
      <c r="B740" s="3" t="s">
        <v>15</v>
      </c>
      <c r="C740" s="5" t="n">
        <f aca="false">'🖐🏾 Human'!C80</f>
        <v>0</v>
      </c>
      <c r="D740" s="156" t="n">
        <f aca="false">'🖐🏾 Human'!E80</f>
        <v>1</v>
      </c>
      <c r="E740" s="118" t="n">
        <f aca="false">'🖐🏾 Human'!F80</f>
        <v>0</v>
      </c>
      <c r="F740" s="118" t="n">
        <f aca="false">'🖐🏾 Human'!G80</f>
        <v>0</v>
      </c>
      <c r="G740" s="118" t="n">
        <f aca="false">'🖐🏾 Human'!H80</f>
        <v>0</v>
      </c>
      <c r="H740" s="118" t="n">
        <f aca="false">'🖐🏾 Human'!I80</f>
        <v>0</v>
      </c>
      <c r="I740" s="118" t="n">
        <f aca="false">'🖐🏾 Human'!J80</f>
        <v>0</v>
      </c>
    </row>
    <row r="741" customFormat="false" ht="15.75" hidden="false" customHeight="false" outlineLevel="0" collapsed="false">
      <c r="A741" s="116"/>
      <c r="B741" s="3"/>
      <c r="C741" s="5"/>
      <c r="D741" s="156"/>
      <c r="E741" s="5"/>
      <c r="F741" s="5"/>
      <c r="G741" s="5"/>
      <c r="H741" s="5"/>
      <c r="I741" s="5"/>
    </row>
    <row r="742" customFormat="false" ht="15.75" hidden="false" customHeight="false" outlineLevel="0" collapsed="false">
      <c r="A742" s="116" t="n">
        <f aca="false">'🖐🏾 Human'!$A$82</f>
        <v>0</v>
      </c>
      <c r="B742" s="3" t="s">
        <v>15</v>
      </c>
      <c r="C742" s="5" t="str">
        <f aca="false">'🖐🏾 Human'!C82</f>
        <v>Heading</v>
      </c>
      <c r="D742" s="156" t="n">
        <f aca="false">'🖐🏾 Human'!E82</f>
        <v>1</v>
      </c>
      <c r="E742" s="118" t="n">
        <f aca="false">'🖐🏾 Human'!F82</f>
        <v>0</v>
      </c>
      <c r="F742" s="118" t="n">
        <f aca="false">'🖐🏾 Human'!G82</f>
        <v>0</v>
      </c>
      <c r="G742" s="118" t="n">
        <f aca="false">'🖐🏾 Human'!H82</f>
        <v>0</v>
      </c>
      <c r="H742" s="118" t="n">
        <f aca="false">'🖐🏾 Human'!I82</f>
        <v>0</v>
      </c>
      <c r="I742" s="118" t="n">
        <f aca="false">'🖐🏾 Human'!J82</f>
        <v>0</v>
      </c>
    </row>
    <row r="743" customFormat="false" ht="15.75" hidden="false" customHeight="false" outlineLevel="0" collapsed="false">
      <c r="A743" s="116" t="n">
        <f aca="false">'🖐🏾 Human'!$A$82</f>
        <v>0</v>
      </c>
      <c r="B743" s="3" t="s">
        <v>15</v>
      </c>
      <c r="C743" s="5" t="n">
        <f aca="false">'🖐🏾 Human'!C83</f>
        <v>0</v>
      </c>
      <c r="D743" s="156" t="n">
        <f aca="false">'🖐🏾 Human'!E83</f>
        <v>1</v>
      </c>
      <c r="E743" s="118" t="n">
        <f aca="false">'🖐🏾 Human'!F83</f>
        <v>0</v>
      </c>
      <c r="F743" s="118" t="n">
        <f aca="false">'🖐🏾 Human'!G83</f>
        <v>0</v>
      </c>
      <c r="G743" s="118" t="n">
        <f aca="false">'🖐🏾 Human'!H83</f>
        <v>0</v>
      </c>
      <c r="H743" s="118" t="n">
        <f aca="false">'🖐🏾 Human'!I83</f>
        <v>0</v>
      </c>
      <c r="I743" s="118" t="n">
        <f aca="false">'🖐🏾 Human'!J83</f>
        <v>0</v>
      </c>
    </row>
    <row r="744" customFormat="false" ht="15.75" hidden="false" customHeight="false" outlineLevel="0" collapsed="false">
      <c r="A744" s="116" t="n">
        <f aca="false">'🖐🏾 Human'!$A$82</f>
        <v>0</v>
      </c>
      <c r="B744" s="3" t="s">
        <v>15</v>
      </c>
      <c r="C744" s="5" t="n">
        <f aca="false">'🖐🏾 Human'!C84</f>
        <v>0</v>
      </c>
      <c r="D744" s="156" t="n">
        <f aca="false">'🖐🏾 Human'!E84</f>
        <v>1</v>
      </c>
      <c r="E744" s="118" t="n">
        <f aca="false">'🖐🏾 Human'!F84</f>
        <v>0</v>
      </c>
      <c r="F744" s="118" t="n">
        <f aca="false">'🖐🏾 Human'!G84</f>
        <v>0</v>
      </c>
      <c r="G744" s="118" t="n">
        <f aca="false">'🖐🏾 Human'!H84</f>
        <v>0</v>
      </c>
      <c r="H744" s="118" t="n">
        <f aca="false">'🖐🏾 Human'!I84</f>
        <v>0</v>
      </c>
      <c r="I744" s="118" t="n">
        <f aca="false">'🖐🏾 Human'!J84</f>
        <v>0</v>
      </c>
    </row>
    <row r="745" customFormat="false" ht="15.75" hidden="false" customHeight="false" outlineLevel="0" collapsed="false">
      <c r="A745" s="116" t="n">
        <f aca="false">'🖐🏾 Human'!$A$82</f>
        <v>0</v>
      </c>
      <c r="B745" s="3" t="s">
        <v>15</v>
      </c>
      <c r="C745" s="5" t="n">
        <f aca="false">'🖐🏾 Human'!C85</f>
        <v>0</v>
      </c>
      <c r="D745" s="156" t="n">
        <f aca="false">'🖐🏾 Human'!E85</f>
        <v>1</v>
      </c>
      <c r="E745" s="118" t="n">
        <f aca="false">'🖐🏾 Human'!F85</f>
        <v>0</v>
      </c>
      <c r="F745" s="118" t="n">
        <f aca="false">'🖐🏾 Human'!G85</f>
        <v>0</v>
      </c>
      <c r="G745" s="118" t="n">
        <f aca="false">'🖐🏾 Human'!H85</f>
        <v>0</v>
      </c>
      <c r="H745" s="118" t="n">
        <f aca="false">'🖐🏾 Human'!I85</f>
        <v>0</v>
      </c>
      <c r="I745" s="118" t="n">
        <f aca="false">'🖐🏾 Human'!J85</f>
        <v>0</v>
      </c>
    </row>
    <row r="746" customFormat="false" ht="15.75" hidden="false" customHeight="false" outlineLevel="0" collapsed="false">
      <c r="A746" s="116"/>
      <c r="B746" s="3"/>
      <c r="C746" s="5"/>
      <c r="D746" s="156"/>
      <c r="E746" s="5"/>
      <c r="F746" s="5"/>
      <c r="G746" s="5"/>
      <c r="H746" s="5"/>
      <c r="I746" s="5"/>
    </row>
    <row r="747" customFormat="false" ht="15.75" hidden="false" customHeight="false" outlineLevel="0" collapsed="false">
      <c r="A747" s="116" t="n">
        <f aca="false">'🖐🏾 Human'!$A$87</f>
        <v>0</v>
      </c>
      <c r="B747" s="3" t="s">
        <v>15</v>
      </c>
      <c r="C747" s="5" t="str">
        <f aca="false">'🖐🏾 Human'!C87</f>
        <v>Heading</v>
      </c>
      <c r="D747" s="156" t="n">
        <f aca="false">'🖐🏾 Human'!E87</f>
        <v>1</v>
      </c>
      <c r="E747" s="118" t="n">
        <f aca="false">'🖐🏾 Human'!F87</f>
        <v>0</v>
      </c>
      <c r="F747" s="118" t="n">
        <f aca="false">'🖐🏾 Human'!G87</f>
        <v>0</v>
      </c>
      <c r="G747" s="118" t="n">
        <f aca="false">'🖐🏾 Human'!H87</f>
        <v>0</v>
      </c>
      <c r="H747" s="118" t="n">
        <f aca="false">'🖐🏾 Human'!I87</f>
        <v>0</v>
      </c>
      <c r="I747" s="118" t="n">
        <f aca="false">'🖐🏾 Human'!J87</f>
        <v>0</v>
      </c>
    </row>
    <row r="748" customFormat="false" ht="15.75" hidden="false" customHeight="false" outlineLevel="0" collapsed="false">
      <c r="A748" s="116" t="n">
        <f aca="false">'🖐🏾 Human'!$A$87</f>
        <v>0</v>
      </c>
      <c r="B748" s="3" t="s">
        <v>15</v>
      </c>
      <c r="C748" s="5" t="n">
        <f aca="false">'🖐🏾 Human'!C88</f>
        <v>0</v>
      </c>
      <c r="D748" s="156" t="n">
        <f aca="false">'🖐🏾 Human'!E88</f>
        <v>1</v>
      </c>
      <c r="E748" s="118" t="n">
        <f aca="false">'🖐🏾 Human'!F88</f>
        <v>0</v>
      </c>
      <c r="F748" s="118" t="n">
        <f aca="false">'🖐🏾 Human'!G88</f>
        <v>0</v>
      </c>
      <c r="G748" s="118" t="n">
        <f aca="false">'🖐🏾 Human'!H88</f>
        <v>0</v>
      </c>
      <c r="H748" s="118" t="n">
        <f aca="false">'🖐🏾 Human'!I88</f>
        <v>0</v>
      </c>
      <c r="I748" s="118" t="n">
        <f aca="false">'🖐🏾 Human'!J88</f>
        <v>0</v>
      </c>
    </row>
    <row r="749" customFormat="false" ht="15.75" hidden="false" customHeight="false" outlineLevel="0" collapsed="false">
      <c r="A749" s="116" t="n">
        <f aca="false">'🖐🏾 Human'!$A$87</f>
        <v>0</v>
      </c>
      <c r="B749" s="3" t="s">
        <v>15</v>
      </c>
      <c r="C749" s="5" t="n">
        <f aca="false">'🖐🏾 Human'!C89</f>
        <v>0</v>
      </c>
      <c r="D749" s="156" t="n">
        <f aca="false">'🖐🏾 Human'!E89</f>
        <v>1</v>
      </c>
      <c r="E749" s="118" t="n">
        <f aca="false">'🖐🏾 Human'!F89</f>
        <v>0</v>
      </c>
      <c r="F749" s="118" t="n">
        <f aca="false">'🖐🏾 Human'!G89</f>
        <v>0</v>
      </c>
      <c r="G749" s="118" t="n">
        <f aca="false">'🖐🏾 Human'!H89</f>
        <v>0</v>
      </c>
      <c r="H749" s="118" t="n">
        <f aca="false">'🖐🏾 Human'!I89</f>
        <v>0</v>
      </c>
      <c r="I749" s="118" t="n">
        <f aca="false">'🖐🏾 Human'!J89</f>
        <v>0</v>
      </c>
    </row>
    <row r="750" customFormat="false" ht="15.75" hidden="false" customHeight="false" outlineLevel="0" collapsed="false">
      <c r="A750" s="116" t="n">
        <f aca="false">'🖐🏾 Human'!$A$87</f>
        <v>0</v>
      </c>
      <c r="B750" s="3" t="s">
        <v>15</v>
      </c>
      <c r="C750" s="5" t="n">
        <f aca="false">'🖐🏾 Human'!C90</f>
        <v>0</v>
      </c>
      <c r="D750" s="156" t="n">
        <f aca="false">'🖐🏾 Human'!E90</f>
        <v>1</v>
      </c>
      <c r="E750" s="118" t="n">
        <f aca="false">'🖐🏾 Human'!F90</f>
        <v>0</v>
      </c>
      <c r="F750" s="118" t="n">
        <f aca="false">'🖐🏾 Human'!G90</f>
        <v>0</v>
      </c>
      <c r="G750" s="118" t="n">
        <f aca="false">'🖐🏾 Human'!H90</f>
        <v>0</v>
      </c>
      <c r="H750" s="118" t="n">
        <f aca="false">'🖐🏾 Human'!I90</f>
        <v>0</v>
      </c>
      <c r="I750" s="118" t="n">
        <f aca="false">'🖐🏾 Human'!J90</f>
        <v>0</v>
      </c>
    </row>
    <row r="751" customFormat="false" ht="15.75" hidden="false" customHeight="false" outlineLevel="0" collapsed="false">
      <c r="A751" s="116"/>
      <c r="B751" s="3"/>
      <c r="C751" s="5"/>
      <c r="D751" s="156"/>
      <c r="E751" s="5"/>
      <c r="F751" s="5"/>
      <c r="G751" s="5"/>
      <c r="H751" s="5"/>
      <c r="I751" s="5"/>
    </row>
    <row r="752" customFormat="false" ht="15.75" hidden="false" customHeight="false" outlineLevel="0" collapsed="false">
      <c r="A752" s="116" t="n">
        <f aca="false">'🖐🏾 Human'!$A$92</f>
        <v>0</v>
      </c>
      <c r="B752" s="3" t="s">
        <v>15</v>
      </c>
      <c r="C752" s="5" t="str">
        <f aca="false">'🖐🏾 Human'!C92</f>
        <v>Heading</v>
      </c>
      <c r="D752" s="156" t="n">
        <f aca="false">'🖐🏾 Human'!E92</f>
        <v>1</v>
      </c>
      <c r="E752" s="118" t="n">
        <f aca="false">'🖐🏾 Human'!F92</f>
        <v>0</v>
      </c>
      <c r="F752" s="118" t="n">
        <f aca="false">'🖐🏾 Human'!G92</f>
        <v>0</v>
      </c>
      <c r="G752" s="118" t="n">
        <f aca="false">'🖐🏾 Human'!H92</f>
        <v>0</v>
      </c>
      <c r="H752" s="118" t="n">
        <f aca="false">'🖐🏾 Human'!I92</f>
        <v>0</v>
      </c>
      <c r="I752" s="118" t="n">
        <f aca="false">'🖐🏾 Human'!J92</f>
        <v>0</v>
      </c>
    </row>
    <row r="753" customFormat="false" ht="15.75" hidden="false" customHeight="false" outlineLevel="0" collapsed="false">
      <c r="A753" s="116" t="n">
        <f aca="false">'🖐🏾 Human'!$A$92</f>
        <v>0</v>
      </c>
      <c r="B753" s="3" t="s">
        <v>15</v>
      </c>
      <c r="C753" s="5" t="n">
        <f aca="false">'🖐🏾 Human'!C93</f>
        <v>0</v>
      </c>
      <c r="D753" s="156" t="n">
        <f aca="false">'🖐🏾 Human'!E93</f>
        <v>1</v>
      </c>
      <c r="E753" s="118" t="n">
        <f aca="false">'🖐🏾 Human'!F93</f>
        <v>0</v>
      </c>
      <c r="F753" s="118" t="n">
        <f aca="false">'🖐🏾 Human'!G93</f>
        <v>0</v>
      </c>
      <c r="G753" s="118" t="n">
        <f aca="false">'🖐🏾 Human'!H93</f>
        <v>0</v>
      </c>
      <c r="H753" s="118" t="n">
        <f aca="false">'🖐🏾 Human'!I93</f>
        <v>0</v>
      </c>
      <c r="I753" s="118" t="n">
        <f aca="false">'🖐🏾 Human'!J93</f>
        <v>0</v>
      </c>
    </row>
    <row r="754" customFormat="false" ht="15.75" hidden="false" customHeight="false" outlineLevel="0" collapsed="false">
      <c r="A754" s="116" t="n">
        <f aca="false">'🖐🏾 Human'!$A$92</f>
        <v>0</v>
      </c>
      <c r="B754" s="3" t="s">
        <v>15</v>
      </c>
      <c r="C754" s="5" t="n">
        <f aca="false">'🖐🏾 Human'!C94</f>
        <v>0</v>
      </c>
      <c r="D754" s="156" t="n">
        <f aca="false">'🖐🏾 Human'!E94</f>
        <v>1</v>
      </c>
      <c r="E754" s="118" t="n">
        <f aca="false">'🖐🏾 Human'!F94</f>
        <v>0</v>
      </c>
      <c r="F754" s="118" t="n">
        <f aca="false">'🖐🏾 Human'!G94</f>
        <v>0</v>
      </c>
      <c r="G754" s="118" t="n">
        <f aca="false">'🖐🏾 Human'!H94</f>
        <v>0</v>
      </c>
      <c r="H754" s="118" t="n">
        <f aca="false">'🖐🏾 Human'!I94</f>
        <v>0</v>
      </c>
      <c r="I754" s="118" t="n">
        <f aca="false">'🖐🏾 Human'!J94</f>
        <v>0</v>
      </c>
    </row>
    <row r="755" customFormat="false" ht="15.75" hidden="false" customHeight="false" outlineLevel="0" collapsed="false">
      <c r="A755" s="116" t="n">
        <f aca="false">'🖐🏾 Human'!$A$92</f>
        <v>0</v>
      </c>
      <c r="B755" s="3" t="s">
        <v>15</v>
      </c>
      <c r="C755" s="5" t="n">
        <f aca="false">'🖐🏾 Human'!C95</f>
        <v>0</v>
      </c>
      <c r="D755" s="156" t="n">
        <f aca="false">'🖐🏾 Human'!E95</f>
        <v>1</v>
      </c>
      <c r="E755" s="118" t="n">
        <f aca="false">'🖐🏾 Human'!F95</f>
        <v>0</v>
      </c>
      <c r="F755" s="118" t="n">
        <f aca="false">'🖐🏾 Human'!G95</f>
        <v>0</v>
      </c>
      <c r="G755" s="118" t="n">
        <f aca="false">'🖐🏾 Human'!H95</f>
        <v>0</v>
      </c>
      <c r="H755" s="118" t="n">
        <f aca="false">'🖐🏾 Human'!I95</f>
        <v>0</v>
      </c>
      <c r="I755" s="118" t="n">
        <f aca="false">'🖐🏾 Human'!J95</f>
        <v>0</v>
      </c>
    </row>
    <row r="756" customFormat="false" ht="15.75" hidden="false" customHeight="false" outlineLevel="0" collapsed="false">
      <c r="A756" s="116"/>
      <c r="B756" s="3"/>
      <c r="C756" s="5"/>
      <c r="D756" s="156"/>
      <c r="E756" s="5"/>
      <c r="F756" s="5"/>
      <c r="G756" s="5"/>
      <c r="H756" s="5"/>
      <c r="I756" s="5"/>
    </row>
    <row r="757" customFormat="false" ht="15.75" hidden="false" customHeight="false" outlineLevel="0" collapsed="false">
      <c r="A757" s="116" t="n">
        <f aca="false">'🖐🏾 Human'!$A$97</f>
        <v>0</v>
      </c>
      <c r="B757" s="3" t="s">
        <v>15</v>
      </c>
      <c r="C757" s="5" t="str">
        <f aca="false">'🖐🏾 Human'!C97</f>
        <v>Heading</v>
      </c>
      <c r="D757" s="156" t="n">
        <f aca="false">'🖐🏾 Human'!E97</f>
        <v>1</v>
      </c>
      <c r="E757" s="118" t="n">
        <f aca="false">'🖐🏾 Human'!F97</f>
        <v>0</v>
      </c>
      <c r="F757" s="118" t="n">
        <f aca="false">'🖐🏾 Human'!G97</f>
        <v>0</v>
      </c>
      <c r="G757" s="118" t="n">
        <f aca="false">'🖐🏾 Human'!H97</f>
        <v>0</v>
      </c>
      <c r="H757" s="118" t="n">
        <f aca="false">'🖐🏾 Human'!I97</f>
        <v>0</v>
      </c>
      <c r="I757" s="118" t="n">
        <f aca="false">'🖐🏾 Human'!J97</f>
        <v>0</v>
      </c>
    </row>
    <row r="758" customFormat="false" ht="15.75" hidden="false" customHeight="false" outlineLevel="0" collapsed="false">
      <c r="A758" s="116" t="n">
        <f aca="false">'🖐🏾 Human'!$A$97</f>
        <v>0</v>
      </c>
      <c r="B758" s="3" t="s">
        <v>15</v>
      </c>
      <c r="C758" s="5" t="n">
        <f aca="false">'🖐🏾 Human'!C98</f>
        <v>0</v>
      </c>
      <c r="D758" s="156" t="n">
        <f aca="false">'🖐🏾 Human'!E98</f>
        <v>1</v>
      </c>
      <c r="E758" s="118" t="n">
        <f aca="false">'🖐🏾 Human'!F98</f>
        <v>0</v>
      </c>
      <c r="F758" s="118" t="n">
        <f aca="false">'🖐🏾 Human'!G98</f>
        <v>0</v>
      </c>
      <c r="G758" s="118" t="n">
        <f aca="false">'🖐🏾 Human'!H98</f>
        <v>0</v>
      </c>
      <c r="H758" s="118" t="n">
        <f aca="false">'🖐🏾 Human'!I98</f>
        <v>0</v>
      </c>
      <c r="I758" s="118" t="n">
        <f aca="false">'🖐🏾 Human'!J98</f>
        <v>0</v>
      </c>
    </row>
    <row r="759" customFormat="false" ht="15.75" hidden="false" customHeight="false" outlineLevel="0" collapsed="false">
      <c r="A759" s="116" t="n">
        <f aca="false">'🖐🏾 Human'!$A$97</f>
        <v>0</v>
      </c>
      <c r="B759" s="3" t="s">
        <v>15</v>
      </c>
      <c r="C759" s="5" t="n">
        <f aca="false">'🖐🏾 Human'!C99</f>
        <v>0</v>
      </c>
      <c r="D759" s="156" t="n">
        <f aca="false">'🖐🏾 Human'!E99</f>
        <v>1</v>
      </c>
      <c r="E759" s="118" t="n">
        <f aca="false">'🖐🏾 Human'!F99</f>
        <v>0</v>
      </c>
      <c r="F759" s="118" t="n">
        <f aca="false">'🖐🏾 Human'!G99</f>
        <v>0</v>
      </c>
      <c r="G759" s="118" t="n">
        <f aca="false">'🖐🏾 Human'!H99</f>
        <v>0</v>
      </c>
      <c r="H759" s="118" t="n">
        <f aca="false">'🖐🏾 Human'!I99</f>
        <v>0</v>
      </c>
      <c r="I759" s="118" t="n">
        <f aca="false">'🖐🏾 Human'!J99</f>
        <v>0</v>
      </c>
    </row>
    <row r="760" customFormat="false" ht="15.75" hidden="false" customHeight="false" outlineLevel="0" collapsed="false">
      <c r="A760" s="116" t="n">
        <f aca="false">'🖐🏾 Human'!$A$97</f>
        <v>0</v>
      </c>
      <c r="B760" s="3" t="s">
        <v>15</v>
      </c>
      <c r="C760" s="5" t="n">
        <f aca="false">'🖐🏾 Human'!C100</f>
        <v>0</v>
      </c>
      <c r="D760" s="156" t="n">
        <f aca="false">'🖐🏾 Human'!E100</f>
        <v>1</v>
      </c>
      <c r="E760" s="118" t="n">
        <f aca="false">'🖐🏾 Human'!F100</f>
        <v>0</v>
      </c>
      <c r="F760" s="118" t="n">
        <f aca="false">'🖐🏾 Human'!G100</f>
        <v>0</v>
      </c>
      <c r="G760" s="118" t="n">
        <f aca="false">'🖐🏾 Human'!H100</f>
        <v>0</v>
      </c>
      <c r="H760" s="118" t="n">
        <f aca="false">'🖐🏾 Human'!I100</f>
        <v>0</v>
      </c>
      <c r="I760" s="118" t="n">
        <f aca="false">'🖐🏾 Human'!J100</f>
        <v>0</v>
      </c>
    </row>
    <row r="761" customFormat="false" ht="15.75" hidden="false" customHeight="false" outlineLevel="0" collapsed="false">
      <c r="A761" s="116"/>
      <c r="B761" s="3"/>
      <c r="C761" s="5"/>
      <c r="D761" s="156"/>
      <c r="E761" s="5"/>
      <c r="F761" s="5"/>
      <c r="G761" s="5"/>
      <c r="H761" s="5"/>
      <c r="I761" s="5"/>
    </row>
    <row r="762" customFormat="false" ht="15.75" hidden="false" customHeight="false" outlineLevel="0" collapsed="false">
      <c r="A762" s="116" t="n">
        <f aca="false">'🖐🏾 Human'!$A$102</f>
        <v>0</v>
      </c>
      <c r="B762" s="3" t="s">
        <v>15</v>
      </c>
      <c r="C762" s="5" t="str">
        <f aca="false">'🖐🏾 Human'!C102</f>
        <v>Heading</v>
      </c>
      <c r="D762" s="156" t="n">
        <f aca="false">'🖐🏾 Human'!E102</f>
        <v>1</v>
      </c>
      <c r="E762" s="118" t="n">
        <f aca="false">'🖐🏾 Human'!F102</f>
        <v>0</v>
      </c>
      <c r="F762" s="118" t="n">
        <f aca="false">'🖐🏾 Human'!G102</f>
        <v>0</v>
      </c>
      <c r="G762" s="118" t="n">
        <f aca="false">'🖐🏾 Human'!H102</f>
        <v>0</v>
      </c>
      <c r="H762" s="118" t="n">
        <f aca="false">'🖐🏾 Human'!I102</f>
        <v>0</v>
      </c>
      <c r="I762" s="118" t="n">
        <f aca="false">'🖐🏾 Human'!J102</f>
        <v>0</v>
      </c>
    </row>
    <row r="763" customFormat="false" ht="15.75" hidden="false" customHeight="false" outlineLevel="0" collapsed="false">
      <c r="A763" s="116" t="n">
        <f aca="false">'🖐🏾 Human'!$A$102</f>
        <v>0</v>
      </c>
      <c r="B763" s="3" t="s">
        <v>15</v>
      </c>
      <c r="C763" s="5" t="n">
        <f aca="false">'🖐🏾 Human'!C103</f>
        <v>0</v>
      </c>
      <c r="D763" s="156" t="n">
        <f aca="false">'🖐🏾 Human'!E103</f>
        <v>1</v>
      </c>
      <c r="E763" s="118" t="n">
        <f aca="false">'🖐🏾 Human'!F103</f>
        <v>0</v>
      </c>
      <c r="F763" s="118" t="n">
        <f aca="false">'🖐🏾 Human'!G103</f>
        <v>0</v>
      </c>
      <c r="G763" s="118" t="n">
        <f aca="false">'🖐🏾 Human'!H103</f>
        <v>0</v>
      </c>
      <c r="H763" s="118" t="n">
        <f aca="false">'🖐🏾 Human'!I103</f>
        <v>0</v>
      </c>
      <c r="I763" s="118" t="n">
        <f aca="false">'🖐🏾 Human'!J103</f>
        <v>0</v>
      </c>
    </row>
    <row r="764" customFormat="false" ht="15.75" hidden="false" customHeight="false" outlineLevel="0" collapsed="false">
      <c r="A764" s="116" t="n">
        <f aca="false">'🖐🏾 Human'!$A$102</f>
        <v>0</v>
      </c>
      <c r="B764" s="3" t="s">
        <v>15</v>
      </c>
      <c r="C764" s="5" t="n">
        <f aca="false">'🖐🏾 Human'!C104</f>
        <v>0</v>
      </c>
      <c r="D764" s="156" t="n">
        <f aca="false">'🖐🏾 Human'!E104</f>
        <v>1</v>
      </c>
      <c r="E764" s="118" t="n">
        <f aca="false">'🖐🏾 Human'!F104</f>
        <v>0</v>
      </c>
      <c r="F764" s="118" t="n">
        <f aca="false">'🖐🏾 Human'!G104</f>
        <v>0</v>
      </c>
      <c r="G764" s="118" t="n">
        <f aca="false">'🖐🏾 Human'!H104</f>
        <v>0</v>
      </c>
      <c r="H764" s="118" t="n">
        <f aca="false">'🖐🏾 Human'!I104</f>
        <v>0</v>
      </c>
      <c r="I764" s="118" t="n">
        <f aca="false">'🖐🏾 Human'!J104</f>
        <v>0</v>
      </c>
    </row>
    <row r="765" customFormat="false" ht="15.75" hidden="false" customHeight="false" outlineLevel="0" collapsed="false">
      <c r="A765" s="116" t="n">
        <f aca="false">'🖐🏾 Human'!$A$102</f>
        <v>0</v>
      </c>
      <c r="B765" s="3" t="s">
        <v>15</v>
      </c>
      <c r="C765" s="5" t="n">
        <f aca="false">'🖐🏾 Human'!C105</f>
        <v>0</v>
      </c>
      <c r="D765" s="156" t="n">
        <f aca="false">'🖐🏾 Human'!E105</f>
        <v>1</v>
      </c>
      <c r="E765" s="118" t="n">
        <f aca="false">'🖐🏾 Human'!F105</f>
        <v>0</v>
      </c>
      <c r="F765" s="118" t="n">
        <f aca="false">'🖐🏾 Human'!G105</f>
        <v>0</v>
      </c>
      <c r="G765" s="118" t="n">
        <f aca="false">'🖐🏾 Human'!H105</f>
        <v>0</v>
      </c>
      <c r="H765" s="118" t="n">
        <f aca="false">'🖐🏾 Human'!I105</f>
        <v>0</v>
      </c>
      <c r="I765" s="118" t="n">
        <f aca="false">'🖐🏾 Human'!J105</f>
        <v>0</v>
      </c>
    </row>
    <row r="766" customFormat="false" ht="15.75" hidden="false" customHeight="false" outlineLevel="0" collapsed="false">
      <c r="A766" s="116"/>
      <c r="B766" s="3"/>
      <c r="C766" s="5"/>
      <c r="D766" s="156"/>
      <c r="E766" s="5"/>
      <c r="F766" s="5"/>
      <c r="G766" s="5"/>
      <c r="H766" s="5"/>
      <c r="I766" s="5"/>
    </row>
    <row r="767" customFormat="false" ht="15.75" hidden="false" customHeight="false" outlineLevel="0" collapsed="false">
      <c r="A767" s="116" t="n">
        <f aca="false">'🖐🏾 Human'!$A$107</f>
        <v>0</v>
      </c>
      <c r="B767" s="3" t="s">
        <v>15</v>
      </c>
      <c r="C767" s="5" t="str">
        <f aca="false">'🖐🏾 Human'!C107</f>
        <v>Heading</v>
      </c>
      <c r="D767" s="156" t="n">
        <f aca="false">'🖐🏾 Human'!E107</f>
        <v>1</v>
      </c>
      <c r="E767" s="118" t="n">
        <f aca="false">'🖐🏾 Human'!F107</f>
        <v>0</v>
      </c>
      <c r="F767" s="118" t="n">
        <f aca="false">'🖐🏾 Human'!G107</f>
        <v>0</v>
      </c>
      <c r="G767" s="118" t="n">
        <f aca="false">'🖐🏾 Human'!H107</f>
        <v>0</v>
      </c>
      <c r="H767" s="118" t="n">
        <f aca="false">'🖐🏾 Human'!I107</f>
        <v>0</v>
      </c>
      <c r="I767" s="118" t="n">
        <f aca="false">'🖐🏾 Human'!J107</f>
        <v>0</v>
      </c>
    </row>
    <row r="768" customFormat="false" ht="15.75" hidden="false" customHeight="false" outlineLevel="0" collapsed="false">
      <c r="A768" s="116" t="n">
        <f aca="false">'🖐🏾 Human'!$A$107</f>
        <v>0</v>
      </c>
      <c r="B768" s="3" t="s">
        <v>15</v>
      </c>
      <c r="C768" s="5" t="n">
        <f aca="false">'🖐🏾 Human'!C108</f>
        <v>0</v>
      </c>
      <c r="D768" s="156" t="n">
        <f aca="false">'🖐🏾 Human'!E108</f>
        <v>1</v>
      </c>
      <c r="E768" s="118" t="n">
        <f aca="false">'🖐🏾 Human'!F108</f>
        <v>0</v>
      </c>
      <c r="F768" s="118" t="n">
        <f aca="false">'🖐🏾 Human'!G108</f>
        <v>0</v>
      </c>
      <c r="G768" s="118" t="n">
        <f aca="false">'🖐🏾 Human'!H108</f>
        <v>0</v>
      </c>
      <c r="H768" s="118" t="n">
        <f aca="false">'🖐🏾 Human'!I108</f>
        <v>0</v>
      </c>
      <c r="I768" s="118" t="n">
        <f aca="false">'🖐🏾 Human'!J108</f>
        <v>0</v>
      </c>
    </row>
    <row r="769" customFormat="false" ht="15.75" hidden="false" customHeight="false" outlineLevel="0" collapsed="false">
      <c r="A769" s="116" t="n">
        <f aca="false">'🖐🏾 Human'!$A$107</f>
        <v>0</v>
      </c>
      <c r="B769" s="3" t="s">
        <v>15</v>
      </c>
      <c r="C769" s="5" t="n">
        <f aca="false">'🖐🏾 Human'!C109</f>
        <v>0</v>
      </c>
      <c r="D769" s="156" t="n">
        <f aca="false">'🖐🏾 Human'!E109</f>
        <v>1</v>
      </c>
      <c r="E769" s="118" t="n">
        <f aca="false">'🖐🏾 Human'!F109</f>
        <v>0</v>
      </c>
      <c r="F769" s="118" t="n">
        <f aca="false">'🖐🏾 Human'!G109</f>
        <v>0</v>
      </c>
      <c r="G769" s="118" t="n">
        <f aca="false">'🖐🏾 Human'!H109</f>
        <v>0</v>
      </c>
      <c r="H769" s="118" t="n">
        <f aca="false">'🖐🏾 Human'!I109</f>
        <v>0</v>
      </c>
      <c r="I769" s="118" t="n">
        <f aca="false">'🖐🏾 Human'!J109</f>
        <v>0</v>
      </c>
    </row>
    <row r="770" customFormat="false" ht="15.75" hidden="false" customHeight="false" outlineLevel="0" collapsed="false">
      <c r="A770" s="116" t="n">
        <f aca="false">'🖐🏾 Human'!$A$107</f>
        <v>0</v>
      </c>
      <c r="B770" s="3" t="s">
        <v>15</v>
      </c>
      <c r="C770" s="5" t="n">
        <f aca="false">'🖐🏾 Human'!C110</f>
        <v>0</v>
      </c>
      <c r="D770" s="156" t="n">
        <f aca="false">'🖐🏾 Human'!E110</f>
        <v>1</v>
      </c>
      <c r="E770" s="118" t="n">
        <f aca="false">'🖐🏾 Human'!F110</f>
        <v>0</v>
      </c>
      <c r="F770" s="118" t="n">
        <f aca="false">'🖐🏾 Human'!G110</f>
        <v>0</v>
      </c>
      <c r="G770" s="118" t="n">
        <f aca="false">'🖐🏾 Human'!H110</f>
        <v>0</v>
      </c>
      <c r="H770" s="118" t="n">
        <f aca="false">'🖐🏾 Human'!I110</f>
        <v>0</v>
      </c>
      <c r="I770" s="118" t="n">
        <f aca="false">'🖐🏾 Human'!J110</f>
        <v>0</v>
      </c>
    </row>
    <row r="771" customFormat="false" ht="15.75" hidden="false" customHeight="false" outlineLevel="0" collapsed="false">
      <c r="A771" s="116"/>
      <c r="B771" s="3"/>
      <c r="C771" s="5"/>
      <c r="D771" s="156"/>
      <c r="E771" s="5"/>
      <c r="F771" s="5"/>
      <c r="G771" s="5"/>
      <c r="H771" s="5"/>
      <c r="I771" s="5"/>
    </row>
    <row r="772" customFormat="false" ht="15.75" hidden="false" customHeight="false" outlineLevel="0" collapsed="false">
      <c r="A772" s="116" t="n">
        <f aca="false">'🖐🏾 Human'!$A$112</f>
        <v>0</v>
      </c>
      <c r="B772" s="3" t="s">
        <v>15</v>
      </c>
      <c r="C772" s="5" t="str">
        <f aca="false">'🖐🏾 Human'!C112</f>
        <v>Heading</v>
      </c>
      <c r="D772" s="156" t="n">
        <f aca="false">'🖐🏾 Human'!E112</f>
        <v>1</v>
      </c>
      <c r="E772" s="118" t="n">
        <f aca="false">'🖐🏾 Human'!F112</f>
        <v>0</v>
      </c>
      <c r="F772" s="118" t="n">
        <f aca="false">'🖐🏾 Human'!G112</f>
        <v>0</v>
      </c>
      <c r="G772" s="118" t="n">
        <f aca="false">'🖐🏾 Human'!H112</f>
        <v>0</v>
      </c>
      <c r="H772" s="118" t="n">
        <f aca="false">'🖐🏾 Human'!I112</f>
        <v>0</v>
      </c>
      <c r="I772" s="118" t="n">
        <f aca="false">'🖐🏾 Human'!J112</f>
        <v>0</v>
      </c>
    </row>
    <row r="773" customFormat="false" ht="15.75" hidden="false" customHeight="false" outlineLevel="0" collapsed="false">
      <c r="A773" s="116" t="n">
        <f aca="false">'🖐🏾 Human'!$A$112</f>
        <v>0</v>
      </c>
      <c r="B773" s="3" t="s">
        <v>15</v>
      </c>
      <c r="C773" s="5" t="n">
        <f aca="false">'🖐🏾 Human'!C113</f>
        <v>0</v>
      </c>
      <c r="D773" s="156" t="n">
        <f aca="false">'🖐🏾 Human'!E113</f>
        <v>1</v>
      </c>
      <c r="E773" s="118" t="n">
        <f aca="false">'🖐🏾 Human'!F113</f>
        <v>0</v>
      </c>
      <c r="F773" s="118" t="n">
        <f aca="false">'🖐🏾 Human'!G113</f>
        <v>0</v>
      </c>
      <c r="G773" s="118" t="n">
        <f aca="false">'🖐🏾 Human'!H113</f>
        <v>0</v>
      </c>
      <c r="H773" s="118" t="n">
        <f aca="false">'🖐🏾 Human'!I113</f>
        <v>0</v>
      </c>
      <c r="I773" s="118" t="n">
        <f aca="false">'🖐🏾 Human'!J113</f>
        <v>0</v>
      </c>
    </row>
    <row r="774" customFormat="false" ht="15.75" hidden="false" customHeight="false" outlineLevel="0" collapsed="false">
      <c r="A774" s="116" t="n">
        <f aca="false">'🖐🏾 Human'!$A$112</f>
        <v>0</v>
      </c>
      <c r="B774" s="3" t="s">
        <v>15</v>
      </c>
      <c r="C774" s="5" t="n">
        <f aca="false">'🖐🏾 Human'!C114</f>
        <v>0</v>
      </c>
      <c r="D774" s="156" t="n">
        <f aca="false">'🖐🏾 Human'!E114</f>
        <v>1</v>
      </c>
      <c r="E774" s="118" t="n">
        <f aca="false">'🖐🏾 Human'!F114</f>
        <v>0</v>
      </c>
      <c r="F774" s="118" t="n">
        <f aca="false">'🖐🏾 Human'!G114</f>
        <v>0</v>
      </c>
      <c r="G774" s="118" t="n">
        <f aca="false">'🖐🏾 Human'!H114</f>
        <v>0</v>
      </c>
      <c r="H774" s="118" t="n">
        <f aca="false">'🖐🏾 Human'!I114</f>
        <v>0</v>
      </c>
      <c r="I774" s="118" t="n">
        <f aca="false">'🖐🏾 Human'!J114</f>
        <v>0</v>
      </c>
    </row>
    <row r="775" customFormat="false" ht="15.75" hidden="false" customHeight="false" outlineLevel="0" collapsed="false">
      <c r="A775" s="116" t="n">
        <f aca="false">'🖐🏾 Human'!$A$112</f>
        <v>0</v>
      </c>
      <c r="B775" s="3" t="s">
        <v>15</v>
      </c>
      <c r="C775" s="5" t="n">
        <f aca="false">'🖐🏾 Human'!C115</f>
        <v>0</v>
      </c>
      <c r="D775" s="156" t="n">
        <f aca="false">'🖐🏾 Human'!E115</f>
        <v>1</v>
      </c>
      <c r="E775" s="118" t="n">
        <f aca="false">'🖐🏾 Human'!F115</f>
        <v>0</v>
      </c>
      <c r="F775" s="118" t="n">
        <f aca="false">'🖐🏾 Human'!G115</f>
        <v>0</v>
      </c>
      <c r="G775" s="118" t="n">
        <f aca="false">'🖐🏾 Human'!H115</f>
        <v>0</v>
      </c>
      <c r="H775" s="118" t="n">
        <f aca="false">'🖐🏾 Human'!I115</f>
        <v>0</v>
      </c>
      <c r="I775" s="118" t="n">
        <f aca="false">'🖐🏾 Human'!J115</f>
        <v>0</v>
      </c>
    </row>
    <row r="776" customFormat="false" ht="15.75" hidden="false" customHeight="false" outlineLevel="0" collapsed="false">
      <c r="A776" s="116"/>
      <c r="B776" s="3"/>
      <c r="C776" s="5"/>
      <c r="D776" s="156"/>
      <c r="E776" s="5"/>
      <c r="F776" s="5"/>
      <c r="G776" s="5"/>
      <c r="H776" s="5"/>
      <c r="I776" s="5"/>
    </row>
    <row r="777" customFormat="false" ht="15.75" hidden="false" customHeight="false" outlineLevel="0" collapsed="false">
      <c r="A777" s="116" t="n">
        <f aca="false">'🖐🏾 Human'!$A$117</f>
        <v>0</v>
      </c>
      <c r="B777" s="3" t="s">
        <v>15</v>
      </c>
      <c r="C777" s="5" t="str">
        <f aca="false">'🖐🏾 Human'!C117</f>
        <v>Heading</v>
      </c>
      <c r="D777" s="156" t="n">
        <f aca="false">'🖐🏾 Human'!E117</f>
        <v>1</v>
      </c>
      <c r="E777" s="118" t="n">
        <f aca="false">'🖐🏾 Human'!F117</f>
        <v>0</v>
      </c>
      <c r="F777" s="118" t="n">
        <f aca="false">'🖐🏾 Human'!G117</f>
        <v>0</v>
      </c>
      <c r="G777" s="118" t="n">
        <f aca="false">'🖐🏾 Human'!H117</f>
        <v>0</v>
      </c>
      <c r="H777" s="118" t="n">
        <f aca="false">'🖐🏾 Human'!I117</f>
        <v>0</v>
      </c>
      <c r="I777" s="118" t="n">
        <f aca="false">'🖐🏾 Human'!J117</f>
        <v>0</v>
      </c>
    </row>
    <row r="778" customFormat="false" ht="15.75" hidden="false" customHeight="false" outlineLevel="0" collapsed="false">
      <c r="A778" s="116" t="n">
        <f aca="false">'🖐🏾 Human'!$A$117</f>
        <v>0</v>
      </c>
      <c r="B778" s="3" t="s">
        <v>15</v>
      </c>
      <c r="C778" s="5" t="n">
        <f aca="false">'🖐🏾 Human'!C118</f>
        <v>0</v>
      </c>
      <c r="D778" s="156" t="n">
        <f aca="false">'🖐🏾 Human'!E118</f>
        <v>1</v>
      </c>
      <c r="E778" s="118" t="n">
        <f aca="false">'🖐🏾 Human'!F118</f>
        <v>0</v>
      </c>
      <c r="F778" s="118" t="n">
        <f aca="false">'🖐🏾 Human'!G118</f>
        <v>0</v>
      </c>
      <c r="G778" s="118" t="n">
        <f aca="false">'🖐🏾 Human'!H118</f>
        <v>0</v>
      </c>
      <c r="H778" s="118" t="n">
        <f aca="false">'🖐🏾 Human'!I118</f>
        <v>0</v>
      </c>
      <c r="I778" s="118" t="n">
        <f aca="false">'🖐🏾 Human'!J118</f>
        <v>0</v>
      </c>
    </row>
    <row r="779" customFormat="false" ht="15.75" hidden="false" customHeight="false" outlineLevel="0" collapsed="false">
      <c r="A779" s="116" t="n">
        <f aca="false">'🖐🏾 Human'!$A$117</f>
        <v>0</v>
      </c>
      <c r="B779" s="3" t="s">
        <v>15</v>
      </c>
      <c r="C779" s="5" t="n">
        <f aca="false">'🖐🏾 Human'!C119</f>
        <v>0</v>
      </c>
      <c r="D779" s="156" t="n">
        <f aca="false">'🖐🏾 Human'!E119</f>
        <v>1</v>
      </c>
      <c r="E779" s="118" t="n">
        <f aca="false">'🖐🏾 Human'!F119</f>
        <v>0</v>
      </c>
      <c r="F779" s="118" t="n">
        <f aca="false">'🖐🏾 Human'!G119</f>
        <v>0</v>
      </c>
      <c r="G779" s="118" t="n">
        <f aca="false">'🖐🏾 Human'!H119</f>
        <v>0</v>
      </c>
      <c r="H779" s="118" t="n">
        <f aca="false">'🖐🏾 Human'!I119</f>
        <v>0</v>
      </c>
      <c r="I779" s="118" t="n">
        <f aca="false">'🖐🏾 Human'!J119</f>
        <v>0</v>
      </c>
    </row>
    <row r="780" customFormat="false" ht="15.75" hidden="false" customHeight="false" outlineLevel="0" collapsed="false">
      <c r="A780" s="116" t="n">
        <f aca="false">'🖐🏾 Human'!$A$117</f>
        <v>0</v>
      </c>
      <c r="B780" s="3" t="s">
        <v>15</v>
      </c>
      <c r="C780" s="5" t="n">
        <f aca="false">'🖐🏾 Human'!C120</f>
        <v>0</v>
      </c>
      <c r="D780" s="156" t="n">
        <f aca="false">'🖐🏾 Human'!E120</f>
        <v>1</v>
      </c>
      <c r="E780" s="118" t="n">
        <f aca="false">'🖐🏾 Human'!F120</f>
        <v>0</v>
      </c>
      <c r="F780" s="118" t="n">
        <f aca="false">'🖐🏾 Human'!G120</f>
        <v>0</v>
      </c>
      <c r="G780" s="118" t="n">
        <f aca="false">'🖐🏾 Human'!H120</f>
        <v>0</v>
      </c>
      <c r="H780" s="118" t="n">
        <f aca="false">'🖐🏾 Human'!I120</f>
        <v>0</v>
      </c>
      <c r="I780" s="118" t="n">
        <f aca="false">'🖐🏾 Human'!J120</f>
        <v>0</v>
      </c>
    </row>
    <row r="781" customFormat="false" ht="15.75" hidden="false" customHeight="false" outlineLevel="0" collapsed="false">
      <c r="A781" s="116"/>
      <c r="B781" s="3"/>
      <c r="C781" s="5"/>
      <c r="D781" s="156"/>
      <c r="E781" s="5"/>
      <c r="F781" s="5"/>
      <c r="G781" s="5"/>
      <c r="H781" s="5"/>
      <c r="I781" s="5"/>
    </row>
    <row r="782" customFormat="false" ht="15.75" hidden="false" customHeight="false" outlineLevel="0" collapsed="false">
      <c r="A782" s="116" t="n">
        <f aca="false">'🖐🏾 Human'!$A$122</f>
        <v>0</v>
      </c>
      <c r="B782" s="3" t="s">
        <v>15</v>
      </c>
      <c r="C782" s="5" t="str">
        <f aca="false">'🖐🏾 Human'!C122</f>
        <v>Heading</v>
      </c>
      <c r="D782" s="156" t="n">
        <f aca="false">'🖐🏾 Human'!E122</f>
        <v>1</v>
      </c>
      <c r="E782" s="118" t="n">
        <f aca="false">'🖐🏾 Human'!F122</f>
        <v>0</v>
      </c>
      <c r="F782" s="118" t="n">
        <f aca="false">'🖐🏾 Human'!G122</f>
        <v>0</v>
      </c>
      <c r="G782" s="118" t="n">
        <f aca="false">'🖐🏾 Human'!H122</f>
        <v>0</v>
      </c>
      <c r="H782" s="118" t="n">
        <f aca="false">'🖐🏾 Human'!I122</f>
        <v>0</v>
      </c>
      <c r="I782" s="118" t="n">
        <f aca="false">'🖐🏾 Human'!J122</f>
        <v>0</v>
      </c>
    </row>
    <row r="783" customFormat="false" ht="15.75" hidden="false" customHeight="false" outlineLevel="0" collapsed="false">
      <c r="A783" s="116" t="n">
        <f aca="false">'🖐🏾 Human'!$A$122</f>
        <v>0</v>
      </c>
      <c r="B783" s="3" t="s">
        <v>15</v>
      </c>
      <c r="C783" s="5" t="n">
        <f aca="false">'🖐🏾 Human'!C123</f>
        <v>0</v>
      </c>
      <c r="D783" s="156" t="n">
        <f aca="false">'🖐🏾 Human'!E123</f>
        <v>1</v>
      </c>
      <c r="E783" s="118" t="n">
        <f aca="false">'🖐🏾 Human'!F123</f>
        <v>0</v>
      </c>
      <c r="F783" s="118" t="n">
        <f aca="false">'🖐🏾 Human'!G123</f>
        <v>0</v>
      </c>
      <c r="G783" s="118" t="n">
        <f aca="false">'🖐🏾 Human'!H123</f>
        <v>0</v>
      </c>
      <c r="H783" s="118" t="n">
        <f aca="false">'🖐🏾 Human'!I123</f>
        <v>0</v>
      </c>
      <c r="I783" s="118" t="n">
        <f aca="false">'🖐🏾 Human'!J123</f>
        <v>0</v>
      </c>
    </row>
    <row r="784" customFormat="false" ht="15.75" hidden="false" customHeight="false" outlineLevel="0" collapsed="false">
      <c r="A784" s="116" t="n">
        <f aca="false">'🖐🏾 Human'!$A$122</f>
        <v>0</v>
      </c>
      <c r="B784" s="3" t="s">
        <v>15</v>
      </c>
      <c r="C784" s="5" t="n">
        <f aca="false">'🖐🏾 Human'!C124</f>
        <v>0</v>
      </c>
      <c r="D784" s="156" t="n">
        <f aca="false">'🖐🏾 Human'!E124</f>
        <v>1</v>
      </c>
      <c r="E784" s="118" t="n">
        <f aca="false">'🖐🏾 Human'!F124</f>
        <v>0</v>
      </c>
      <c r="F784" s="118" t="n">
        <f aca="false">'🖐🏾 Human'!G124</f>
        <v>0</v>
      </c>
      <c r="G784" s="118" t="n">
        <f aca="false">'🖐🏾 Human'!H124</f>
        <v>0</v>
      </c>
      <c r="H784" s="118" t="n">
        <f aca="false">'🖐🏾 Human'!I124</f>
        <v>0</v>
      </c>
      <c r="I784" s="118" t="n">
        <f aca="false">'🖐🏾 Human'!J124</f>
        <v>0</v>
      </c>
    </row>
    <row r="785" customFormat="false" ht="15.75" hidden="false" customHeight="false" outlineLevel="0" collapsed="false">
      <c r="A785" s="116" t="n">
        <f aca="false">'🖐🏾 Human'!$A$122</f>
        <v>0</v>
      </c>
      <c r="B785" s="3" t="s">
        <v>15</v>
      </c>
      <c r="C785" s="5" t="n">
        <f aca="false">'🖐🏾 Human'!C125</f>
        <v>0</v>
      </c>
      <c r="D785" s="156" t="n">
        <f aca="false">'🖐🏾 Human'!E125</f>
        <v>1</v>
      </c>
      <c r="E785" s="118" t="n">
        <f aca="false">'🖐🏾 Human'!F125</f>
        <v>0</v>
      </c>
      <c r="F785" s="118" t="n">
        <f aca="false">'🖐🏾 Human'!G125</f>
        <v>0</v>
      </c>
      <c r="G785" s="118" t="n">
        <f aca="false">'🖐🏾 Human'!H125</f>
        <v>0</v>
      </c>
      <c r="H785" s="118" t="n">
        <f aca="false">'🖐🏾 Human'!I125</f>
        <v>0</v>
      </c>
      <c r="I785" s="118" t="n">
        <f aca="false">'🖐🏾 Human'!J125</f>
        <v>0</v>
      </c>
    </row>
    <row r="786" customFormat="false" ht="15.75" hidden="false" customHeight="false" outlineLevel="0" collapsed="false">
      <c r="A786" s="116"/>
      <c r="B786" s="3"/>
      <c r="C786" s="5"/>
      <c r="D786" s="156"/>
      <c r="E786" s="5"/>
      <c r="F786" s="5"/>
      <c r="G786" s="5"/>
      <c r="H786" s="5"/>
      <c r="I786" s="5"/>
    </row>
    <row r="787" customFormat="false" ht="15.75" hidden="false" customHeight="false" outlineLevel="0" collapsed="false">
      <c r="A787" s="116" t="n">
        <f aca="false">'🖐🏾 Human'!$A$127</f>
        <v>0</v>
      </c>
      <c r="B787" s="3" t="s">
        <v>15</v>
      </c>
      <c r="C787" s="5" t="str">
        <f aca="false">'🖐🏾 Human'!C127</f>
        <v>Heading</v>
      </c>
      <c r="D787" s="156" t="n">
        <f aca="false">'🖐🏾 Human'!E127</f>
        <v>1</v>
      </c>
      <c r="E787" s="118" t="n">
        <f aca="false">'🖐🏾 Human'!F127</f>
        <v>0</v>
      </c>
      <c r="F787" s="118" t="n">
        <f aca="false">'🖐🏾 Human'!G127</f>
        <v>0</v>
      </c>
      <c r="G787" s="118" t="n">
        <f aca="false">'🖐🏾 Human'!H127</f>
        <v>0</v>
      </c>
      <c r="H787" s="118" t="n">
        <f aca="false">'🖐🏾 Human'!I127</f>
        <v>0</v>
      </c>
      <c r="I787" s="118" t="n">
        <f aca="false">'🖐🏾 Human'!J127</f>
        <v>0</v>
      </c>
    </row>
    <row r="788" customFormat="false" ht="15.75" hidden="false" customHeight="false" outlineLevel="0" collapsed="false">
      <c r="A788" s="116" t="n">
        <f aca="false">'🖐🏾 Human'!$A$127</f>
        <v>0</v>
      </c>
      <c r="B788" s="3" t="s">
        <v>15</v>
      </c>
      <c r="C788" s="5" t="n">
        <f aca="false">'🖐🏾 Human'!C128</f>
        <v>0</v>
      </c>
      <c r="D788" s="156" t="n">
        <f aca="false">'🖐🏾 Human'!E128</f>
        <v>1</v>
      </c>
      <c r="E788" s="118" t="n">
        <f aca="false">'🖐🏾 Human'!F128</f>
        <v>0</v>
      </c>
      <c r="F788" s="118" t="n">
        <f aca="false">'🖐🏾 Human'!G128</f>
        <v>0</v>
      </c>
      <c r="G788" s="118" t="n">
        <f aca="false">'🖐🏾 Human'!H128</f>
        <v>0</v>
      </c>
      <c r="H788" s="118" t="n">
        <f aca="false">'🖐🏾 Human'!I128</f>
        <v>0</v>
      </c>
      <c r="I788" s="118" t="n">
        <f aca="false">'🖐🏾 Human'!J128</f>
        <v>0</v>
      </c>
    </row>
    <row r="789" customFormat="false" ht="15.75" hidden="false" customHeight="false" outlineLevel="0" collapsed="false">
      <c r="A789" s="116" t="n">
        <f aca="false">'🖐🏾 Human'!$A$127</f>
        <v>0</v>
      </c>
      <c r="B789" s="3" t="s">
        <v>15</v>
      </c>
      <c r="C789" s="5" t="n">
        <f aca="false">'🖐🏾 Human'!C129</f>
        <v>0</v>
      </c>
      <c r="D789" s="156" t="n">
        <f aca="false">'🖐🏾 Human'!E129</f>
        <v>1</v>
      </c>
      <c r="E789" s="118" t="n">
        <f aca="false">'🖐🏾 Human'!F129</f>
        <v>0</v>
      </c>
      <c r="F789" s="118" t="n">
        <f aca="false">'🖐🏾 Human'!G129</f>
        <v>0</v>
      </c>
      <c r="G789" s="118" t="n">
        <f aca="false">'🖐🏾 Human'!H129</f>
        <v>0</v>
      </c>
      <c r="H789" s="118" t="n">
        <f aca="false">'🖐🏾 Human'!I129</f>
        <v>0</v>
      </c>
      <c r="I789" s="118" t="n">
        <f aca="false">'🖐🏾 Human'!J129</f>
        <v>0</v>
      </c>
    </row>
    <row r="790" customFormat="false" ht="15.75" hidden="false" customHeight="false" outlineLevel="0" collapsed="false">
      <c r="A790" s="116" t="n">
        <f aca="false">'🖐🏾 Human'!$A$127</f>
        <v>0</v>
      </c>
      <c r="B790" s="3" t="s">
        <v>15</v>
      </c>
      <c r="C790" s="5" t="n">
        <f aca="false">'🖐🏾 Human'!C130</f>
        <v>0</v>
      </c>
      <c r="D790" s="156" t="n">
        <f aca="false">'🖐🏾 Human'!E130</f>
        <v>1</v>
      </c>
      <c r="E790" s="118" t="n">
        <f aca="false">'🖐🏾 Human'!F130</f>
        <v>0</v>
      </c>
      <c r="F790" s="118" t="n">
        <f aca="false">'🖐🏾 Human'!G130</f>
        <v>0</v>
      </c>
      <c r="G790" s="118" t="n">
        <f aca="false">'🖐🏾 Human'!H130</f>
        <v>0</v>
      </c>
      <c r="H790" s="118" t="n">
        <f aca="false">'🖐🏾 Human'!I130</f>
        <v>0</v>
      </c>
      <c r="I790" s="118" t="n">
        <f aca="false">'🖐🏾 Human'!J130</f>
        <v>0</v>
      </c>
    </row>
    <row r="791" customFormat="false" ht="15.75" hidden="false" customHeight="false" outlineLevel="0" collapsed="false">
      <c r="A791" s="116"/>
      <c r="B791" s="3"/>
      <c r="C791" s="5"/>
      <c r="D791" s="156"/>
      <c r="E791" s="5"/>
      <c r="F791" s="5"/>
      <c r="G791" s="5"/>
      <c r="H791" s="5"/>
      <c r="I791" s="5"/>
    </row>
    <row r="792" customFormat="false" ht="15.75" hidden="false" customHeight="false" outlineLevel="0" collapsed="false">
      <c r="A792" s="116" t="n">
        <f aca="false">'🖐🏾 Human'!$A$132</f>
        <v>0</v>
      </c>
      <c r="B792" s="3" t="s">
        <v>15</v>
      </c>
      <c r="C792" s="5" t="str">
        <f aca="false">'🖐🏾 Human'!C132</f>
        <v>Heading</v>
      </c>
      <c r="D792" s="156" t="n">
        <f aca="false">'🖐🏾 Human'!E132</f>
        <v>1</v>
      </c>
      <c r="E792" s="118" t="n">
        <f aca="false">'🖐🏾 Human'!F132</f>
        <v>0</v>
      </c>
      <c r="F792" s="118" t="n">
        <f aca="false">'🖐🏾 Human'!G132</f>
        <v>0</v>
      </c>
      <c r="G792" s="118" t="n">
        <f aca="false">'🖐🏾 Human'!H132</f>
        <v>0</v>
      </c>
      <c r="H792" s="118" t="n">
        <f aca="false">'🖐🏾 Human'!I132</f>
        <v>0</v>
      </c>
      <c r="I792" s="118" t="n">
        <f aca="false">'🖐🏾 Human'!J132</f>
        <v>0</v>
      </c>
    </row>
    <row r="793" customFormat="false" ht="15.75" hidden="false" customHeight="false" outlineLevel="0" collapsed="false">
      <c r="A793" s="116" t="n">
        <f aca="false">'🖐🏾 Human'!$A$132</f>
        <v>0</v>
      </c>
      <c r="B793" s="3" t="s">
        <v>15</v>
      </c>
      <c r="C793" s="5" t="n">
        <f aca="false">'🖐🏾 Human'!C133</f>
        <v>0</v>
      </c>
      <c r="D793" s="156" t="n">
        <f aca="false">'🖐🏾 Human'!E133</f>
        <v>1</v>
      </c>
      <c r="E793" s="118" t="n">
        <f aca="false">'🖐🏾 Human'!F133</f>
        <v>0</v>
      </c>
      <c r="F793" s="118" t="n">
        <f aca="false">'🖐🏾 Human'!G133</f>
        <v>0</v>
      </c>
      <c r="G793" s="118" t="n">
        <f aca="false">'🖐🏾 Human'!H133</f>
        <v>0</v>
      </c>
      <c r="H793" s="118" t="n">
        <f aca="false">'🖐🏾 Human'!I133</f>
        <v>0</v>
      </c>
      <c r="I793" s="118" t="n">
        <f aca="false">'🖐🏾 Human'!J133</f>
        <v>0</v>
      </c>
    </row>
    <row r="794" customFormat="false" ht="15.75" hidden="false" customHeight="false" outlineLevel="0" collapsed="false">
      <c r="A794" s="116" t="n">
        <f aca="false">'🖐🏾 Human'!$A$132</f>
        <v>0</v>
      </c>
      <c r="B794" s="3" t="s">
        <v>15</v>
      </c>
      <c r="C794" s="5" t="n">
        <f aca="false">'🖐🏾 Human'!C134</f>
        <v>0</v>
      </c>
      <c r="D794" s="156" t="n">
        <f aca="false">'🖐🏾 Human'!E134</f>
        <v>1</v>
      </c>
      <c r="E794" s="118" t="n">
        <f aca="false">'🖐🏾 Human'!F134</f>
        <v>0</v>
      </c>
      <c r="F794" s="118" t="n">
        <f aca="false">'🖐🏾 Human'!G134</f>
        <v>0</v>
      </c>
      <c r="G794" s="118" t="n">
        <f aca="false">'🖐🏾 Human'!H134</f>
        <v>0</v>
      </c>
      <c r="H794" s="118" t="n">
        <f aca="false">'🖐🏾 Human'!I134</f>
        <v>0</v>
      </c>
      <c r="I794" s="118" t="n">
        <f aca="false">'🖐🏾 Human'!J134</f>
        <v>0</v>
      </c>
    </row>
    <row r="795" customFormat="false" ht="15.75" hidden="false" customHeight="false" outlineLevel="0" collapsed="false">
      <c r="A795" s="116" t="n">
        <f aca="false">'🖐🏾 Human'!$A$132</f>
        <v>0</v>
      </c>
      <c r="B795" s="3" t="s">
        <v>15</v>
      </c>
      <c r="C795" s="5" t="n">
        <f aca="false">'🖐🏾 Human'!C135</f>
        <v>0</v>
      </c>
      <c r="D795" s="156" t="n">
        <f aca="false">'🖐🏾 Human'!E135</f>
        <v>1</v>
      </c>
      <c r="E795" s="118" t="n">
        <f aca="false">'🖐🏾 Human'!F135</f>
        <v>0</v>
      </c>
      <c r="F795" s="118" t="n">
        <f aca="false">'🖐🏾 Human'!G135</f>
        <v>0</v>
      </c>
      <c r="G795" s="118" t="n">
        <f aca="false">'🖐🏾 Human'!H135</f>
        <v>0</v>
      </c>
      <c r="H795" s="118" t="n">
        <f aca="false">'🖐🏾 Human'!I135</f>
        <v>0</v>
      </c>
      <c r="I795" s="118" t="n">
        <f aca="false">'🖐🏾 Human'!J135</f>
        <v>0</v>
      </c>
    </row>
    <row r="796" customFormat="false" ht="15.75" hidden="false" customHeight="false" outlineLevel="0" collapsed="false">
      <c r="A796" s="116"/>
      <c r="B796" s="3"/>
      <c r="C796" s="5"/>
      <c r="D796" s="156"/>
      <c r="E796" s="5"/>
      <c r="F796" s="5"/>
      <c r="G796" s="5"/>
      <c r="H796" s="5"/>
      <c r="I796" s="5"/>
    </row>
    <row r="797" customFormat="false" ht="15.75" hidden="false" customHeight="false" outlineLevel="0" collapsed="false">
      <c r="A797" s="116" t="n">
        <f aca="false">'🖐🏾 Human'!$A$137</f>
        <v>0</v>
      </c>
      <c r="B797" s="3" t="s">
        <v>15</v>
      </c>
      <c r="C797" s="5" t="str">
        <f aca="false">'🖐🏾 Human'!C137</f>
        <v>Heading</v>
      </c>
      <c r="D797" s="156" t="n">
        <f aca="false">'🖐🏾 Human'!E137</f>
        <v>1</v>
      </c>
      <c r="E797" s="118" t="n">
        <f aca="false">'🖐🏾 Human'!F137</f>
        <v>0</v>
      </c>
      <c r="F797" s="118" t="n">
        <f aca="false">'🖐🏾 Human'!G137</f>
        <v>0</v>
      </c>
      <c r="G797" s="118" t="n">
        <f aca="false">'🖐🏾 Human'!H137</f>
        <v>0</v>
      </c>
      <c r="H797" s="118" t="n">
        <f aca="false">'🖐🏾 Human'!I137</f>
        <v>0</v>
      </c>
      <c r="I797" s="118" t="n">
        <f aca="false">'🖐🏾 Human'!J137</f>
        <v>0</v>
      </c>
    </row>
    <row r="798" customFormat="false" ht="15.75" hidden="false" customHeight="false" outlineLevel="0" collapsed="false">
      <c r="A798" s="116" t="n">
        <f aca="false">'🖐🏾 Human'!$A$137</f>
        <v>0</v>
      </c>
      <c r="B798" s="3" t="s">
        <v>15</v>
      </c>
      <c r="C798" s="5" t="n">
        <f aca="false">'🖐🏾 Human'!C138</f>
        <v>0</v>
      </c>
      <c r="D798" s="156" t="n">
        <f aca="false">'🖐🏾 Human'!E138</f>
        <v>1</v>
      </c>
      <c r="E798" s="118" t="n">
        <f aca="false">'🖐🏾 Human'!F138</f>
        <v>0</v>
      </c>
      <c r="F798" s="118" t="n">
        <f aca="false">'🖐🏾 Human'!G138</f>
        <v>0</v>
      </c>
      <c r="G798" s="118" t="n">
        <f aca="false">'🖐🏾 Human'!H138</f>
        <v>0</v>
      </c>
      <c r="H798" s="118" t="n">
        <f aca="false">'🖐🏾 Human'!I138</f>
        <v>0</v>
      </c>
      <c r="I798" s="118" t="n">
        <f aca="false">'🖐🏾 Human'!J138</f>
        <v>0</v>
      </c>
    </row>
    <row r="799" customFormat="false" ht="15.75" hidden="false" customHeight="false" outlineLevel="0" collapsed="false">
      <c r="A799" s="116" t="n">
        <f aca="false">'🖐🏾 Human'!$A$137</f>
        <v>0</v>
      </c>
      <c r="B799" s="3" t="s">
        <v>15</v>
      </c>
      <c r="C799" s="5" t="n">
        <f aca="false">'🖐🏾 Human'!C139</f>
        <v>0</v>
      </c>
      <c r="D799" s="156" t="n">
        <f aca="false">'🖐🏾 Human'!E139</f>
        <v>1</v>
      </c>
      <c r="E799" s="118" t="n">
        <f aca="false">'🖐🏾 Human'!F139</f>
        <v>0</v>
      </c>
      <c r="F799" s="118" t="n">
        <f aca="false">'🖐🏾 Human'!G139</f>
        <v>0</v>
      </c>
      <c r="G799" s="118" t="n">
        <f aca="false">'🖐🏾 Human'!H139</f>
        <v>0</v>
      </c>
      <c r="H799" s="118" t="n">
        <f aca="false">'🖐🏾 Human'!I139</f>
        <v>0</v>
      </c>
      <c r="I799" s="118" t="n">
        <f aca="false">'🖐🏾 Human'!J139</f>
        <v>0</v>
      </c>
    </row>
    <row r="800" customFormat="false" ht="15.75" hidden="false" customHeight="false" outlineLevel="0" collapsed="false">
      <c r="A800" s="116" t="n">
        <f aca="false">'🖐🏾 Human'!$A$137</f>
        <v>0</v>
      </c>
      <c r="B800" s="3" t="s">
        <v>15</v>
      </c>
      <c r="C800" s="5" t="n">
        <f aca="false">'🖐🏾 Human'!C140</f>
        <v>0</v>
      </c>
      <c r="D800" s="156" t="n">
        <f aca="false">'🖐🏾 Human'!E140</f>
        <v>1</v>
      </c>
      <c r="E800" s="118" t="n">
        <f aca="false">'🖐🏾 Human'!F140</f>
        <v>0</v>
      </c>
      <c r="F800" s="118" t="n">
        <f aca="false">'🖐🏾 Human'!G140</f>
        <v>0</v>
      </c>
      <c r="G800" s="118" t="n">
        <f aca="false">'🖐🏾 Human'!H140</f>
        <v>0</v>
      </c>
      <c r="H800" s="118" t="n">
        <f aca="false">'🖐🏾 Human'!I140</f>
        <v>0</v>
      </c>
      <c r="I800" s="118" t="n">
        <f aca="false">'🖐🏾 Human'!J140</f>
        <v>0</v>
      </c>
    </row>
    <row r="801" customFormat="false" ht="15.75" hidden="false" customHeight="false" outlineLevel="0" collapsed="false">
      <c r="A801" s="116"/>
      <c r="B801" s="3"/>
      <c r="C801" s="5"/>
      <c r="D801" s="156"/>
      <c r="E801" s="5"/>
      <c r="F801" s="5"/>
      <c r="G801" s="5"/>
      <c r="H801" s="5"/>
      <c r="I801" s="5"/>
    </row>
    <row r="802" customFormat="false" ht="15.75" hidden="false" customHeight="false" outlineLevel="0" collapsed="false">
      <c r="A802" s="116" t="n">
        <f aca="false">'🖐🏾 Human'!$A$142</f>
        <v>0</v>
      </c>
      <c r="B802" s="3" t="s">
        <v>15</v>
      </c>
      <c r="C802" s="5" t="str">
        <f aca="false">'🖐🏾 Human'!C142</f>
        <v>Heading</v>
      </c>
      <c r="D802" s="156" t="n">
        <f aca="false">'🖐🏾 Human'!E142</f>
        <v>1</v>
      </c>
      <c r="E802" s="118" t="n">
        <f aca="false">'🖐🏾 Human'!F142</f>
        <v>0</v>
      </c>
      <c r="F802" s="118" t="n">
        <f aca="false">'🖐🏾 Human'!G142</f>
        <v>0</v>
      </c>
      <c r="G802" s="118" t="n">
        <f aca="false">'🖐🏾 Human'!H142</f>
        <v>0</v>
      </c>
      <c r="H802" s="118" t="n">
        <f aca="false">'🖐🏾 Human'!I142</f>
        <v>0</v>
      </c>
      <c r="I802" s="118" t="n">
        <f aca="false">'🖐🏾 Human'!J142</f>
        <v>0</v>
      </c>
    </row>
    <row r="803" customFormat="false" ht="15.75" hidden="false" customHeight="false" outlineLevel="0" collapsed="false">
      <c r="A803" s="116" t="n">
        <f aca="false">'🖐🏾 Human'!$A$142</f>
        <v>0</v>
      </c>
      <c r="B803" s="3" t="s">
        <v>15</v>
      </c>
      <c r="C803" s="5" t="n">
        <f aca="false">'🖐🏾 Human'!C143</f>
        <v>0</v>
      </c>
      <c r="D803" s="156" t="n">
        <f aca="false">'🖐🏾 Human'!E143</f>
        <v>1</v>
      </c>
      <c r="E803" s="118" t="n">
        <f aca="false">'🖐🏾 Human'!F143</f>
        <v>0</v>
      </c>
      <c r="F803" s="118" t="n">
        <f aca="false">'🖐🏾 Human'!G143</f>
        <v>0</v>
      </c>
      <c r="G803" s="118" t="n">
        <f aca="false">'🖐🏾 Human'!H143</f>
        <v>0</v>
      </c>
      <c r="H803" s="118" t="n">
        <f aca="false">'🖐🏾 Human'!I143</f>
        <v>0</v>
      </c>
      <c r="I803" s="118" t="n">
        <f aca="false">'🖐🏾 Human'!J143</f>
        <v>0</v>
      </c>
    </row>
    <row r="804" customFormat="false" ht="15.75" hidden="false" customHeight="false" outlineLevel="0" collapsed="false">
      <c r="A804" s="116" t="n">
        <f aca="false">'🖐🏾 Human'!$A$142</f>
        <v>0</v>
      </c>
      <c r="B804" s="3" t="s">
        <v>15</v>
      </c>
      <c r="C804" s="5" t="n">
        <f aca="false">'🖐🏾 Human'!C144</f>
        <v>0</v>
      </c>
      <c r="D804" s="156" t="n">
        <f aca="false">'🖐🏾 Human'!E144</f>
        <v>1</v>
      </c>
      <c r="E804" s="118" t="n">
        <f aca="false">'🖐🏾 Human'!F144</f>
        <v>0</v>
      </c>
      <c r="F804" s="118" t="n">
        <f aca="false">'🖐🏾 Human'!G144</f>
        <v>0</v>
      </c>
      <c r="G804" s="118" t="n">
        <f aca="false">'🖐🏾 Human'!H144</f>
        <v>0</v>
      </c>
      <c r="H804" s="118" t="n">
        <f aca="false">'🖐🏾 Human'!I144</f>
        <v>0</v>
      </c>
      <c r="I804" s="118" t="n">
        <f aca="false">'🖐🏾 Human'!J144</f>
        <v>0</v>
      </c>
    </row>
    <row r="805" customFormat="false" ht="15.75" hidden="false" customHeight="false" outlineLevel="0" collapsed="false">
      <c r="A805" s="116" t="n">
        <f aca="false">'🖐🏾 Human'!$A$142</f>
        <v>0</v>
      </c>
      <c r="B805" s="3" t="s">
        <v>15</v>
      </c>
      <c r="C805" s="5" t="n">
        <f aca="false">'🖐🏾 Human'!C145</f>
        <v>0</v>
      </c>
      <c r="D805" s="156" t="n">
        <f aca="false">'🖐🏾 Human'!E145</f>
        <v>1</v>
      </c>
      <c r="E805" s="118" t="n">
        <f aca="false">'🖐🏾 Human'!F145</f>
        <v>0</v>
      </c>
      <c r="F805" s="118" t="n">
        <f aca="false">'🖐🏾 Human'!G145</f>
        <v>0</v>
      </c>
      <c r="G805" s="118" t="n">
        <f aca="false">'🖐🏾 Human'!H145</f>
        <v>0</v>
      </c>
      <c r="H805" s="118" t="n">
        <f aca="false">'🖐🏾 Human'!I145</f>
        <v>0</v>
      </c>
      <c r="I805" s="118" t="n">
        <f aca="false">'🖐🏾 Human'!J145</f>
        <v>0</v>
      </c>
    </row>
    <row r="806" customFormat="false" ht="15.75" hidden="false" customHeight="false" outlineLevel="0" collapsed="false">
      <c r="A806" s="116"/>
      <c r="B806" s="3"/>
      <c r="C806" s="5"/>
      <c r="D806" s="156"/>
      <c r="E806" s="5"/>
      <c r="F806" s="5"/>
      <c r="G806" s="5"/>
      <c r="H806" s="5"/>
      <c r="I806" s="5"/>
    </row>
    <row r="807" customFormat="false" ht="15.75" hidden="false" customHeight="false" outlineLevel="0" collapsed="false">
      <c r="A807" s="116" t="n">
        <f aca="false">'🖐🏾 Human'!$A$147</f>
        <v>0</v>
      </c>
      <c r="B807" s="3" t="s">
        <v>15</v>
      </c>
      <c r="C807" s="5" t="str">
        <f aca="false">'🖐🏾 Human'!C147</f>
        <v>Heading</v>
      </c>
      <c r="D807" s="156" t="n">
        <f aca="false">'🖐🏾 Human'!E147</f>
        <v>1</v>
      </c>
      <c r="E807" s="118" t="n">
        <f aca="false">'🖐🏾 Human'!F147</f>
        <v>0</v>
      </c>
      <c r="F807" s="118" t="n">
        <f aca="false">'🖐🏾 Human'!G147</f>
        <v>0</v>
      </c>
      <c r="G807" s="118" t="n">
        <f aca="false">'🖐🏾 Human'!H147</f>
        <v>0</v>
      </c>
      <c r="H807" s="118" t="n">
        <f aca="false">'🖐🏾 Human'!I147</f>
        <v>0</v>
      </c>
      <c r="I807" s="118" t="n">
        <f aca="false">'🖐🏾 Human'!J147</f>
        <v>0</v>
      </c>
    </row>
    <row r="808" customFormat="false" ht="15.75" hidden="false" customHeight="false" outlineLevel="0" collapsed="false">
      <c r="A808" s="116" t="n">
        <f aca="false">'🖐🏾 Human'!$A$147</f>
        <v>0</v>
      </c>
      <c r="B808" s="3" t="s">
        <v>15</v>
      </c>
      <c r="C808" s="5" t="n">
        <f aca="false">'🖐🏾 Human'!C148</f>
        <v>0</v>
      </c>
      <c r="D808" s="156" t="n">
        <f aca="false">'🖐🏾 Human'!E148</f>
        <v>1</v>
      </c>
      <c r="E808" s="118" t="n">
        <f aca="false">'🖐🏾 Human'!F148</f>
        <v>0</v>
      </c>
      <c r="F808" s="118" t="n">
        <f aca="false">'🖐🏾 Human'!G148</f>
        <v>0</v>
      </c>
      <c r="G808" s="118" t="n">
        <f aca="false">'🖐🏾 Human'!H148</f>
        <v>0</v>
      </c>
      <c r="H808" s="118" t="n">
        <f aca="false">'🖐🏾 Human'!I148</f>
        <v>0</v>
      </c>
      <c r="I808" s="118" t="n">
        <f aca="false">'🖐🏾 Human'!J148</f>
        <v>0</v>
      </c>
    </row>
    <row r="809" customFormat="false" ht="15.75" hidden="false" customHeight="false" outlineLevel="0" collapsed="false">
      <c r="A809" s="116" t="n">
        <f aca="false">'🖐🏾 Human'!$A$147</f>
        <v>0</v>
      </c>
      <c r="B809" s="3" t="s">
        <v>15</v>
      </c>
      <c r="C809" s="5" t="n">
        <f aca="false">'🖐🏾 Human'!C149</f>
        <v>0</v>
      </c>
      <c r="D809" s="156" t="n">
        <f aca="false">'🖐🏾 Human'!E149</f>
        <v>1</v>
      </c>
      <c r="E809" s="118" t="n">
        <f aca="false">'🖐🏾 Human'!F149</f>
        <v>0</v>
      </c>
      <c r="F809" s="118" t="n">
        <f aca="false">'🖐🏾 Human'!G149</f>
        <v>0</v>
      </c>
      <c r="G809" s="118" t="n">
        <f aca="false">'🖐🏾 Human'!H149</f>
        <v>0</v>
      </c>
      <c r="H809" s="118" t="n">
        <f aca="false">'🖐🏾 Human'!I149</f>
        <v>0</v>
      </c>
      <c r="I809" s="118" t="n">
        <f aca="false">'🖐🏾 Human'!J149</f>
        <v>0</v>
      </c>
    </row>
    <row r="810" customFormat="false" ht="15.75" hidden="false" customHeight="false" outlineLevel="0" collapsed="false">
      <c r="A810" s="116" t="n">
        <f aca="false">'🖐🏾 Human'!$A$147</f>
        <v>0</v>
      </c>
      <c r="B810" s="3" t="s">
        <v>15</v>
      </c>
      <c r="C810" s="5" t="n">
        <f aca="false">'🖐🏾 Human'!C150</f>
        <v>0</v>
      </c>
      <c r="D810" s="156" t="n">
        <f aca="false">'🖐🏾 Human'!E150</f>
        <v>1</v>
      </c>
      <c r="E810" s="118" t="n">
        <f aca="false">'🖐🏾 Human'!F150</f>
        <v>0</v>
      </c>
      <c r="F810" s="118" t="n">
        <f aca="false">'🖐🏾 Human'!G150</f>
        <v>0</v>
      </c>
      <c r="G810" s="118" t="n">
        <f aca="false">'🖐🏾 Human'!H150</f>
        <v>0</v>
      </c>
      <c r="H810" s="118" t="n">
        <f aca="false">'🖐🏾 Human'!I150</f>
        <v>0</v>
      </c>
      <c r="I810" s="118" t="n">
        <f aca="false">'🖐🏾 Human'!J150</f>
        <v>0</v>
      </c>
    </row>
    <row r="811" customFormat="false" ht="15.75" hidden="false" customHeight="false" outlineLevel="0" collapsed="false">
      <c r="A811" s="116"/>
      <c r="B811" s="3"/>
      <c r="C811" s="5"/>
      <c r="D811" s="156"/>
      <c r="E811" s="5"/>
      <c r="F811" s="5"/>
      <c r="G811" s="5"/>
      <c r="H811" s="5"/>
      <c r="I811" s="5"/>
    </row>
    <row r="812" customFormat="false" ht="15.75" hidden="false" customHeight="false" outlineLevel="0" collapsed="false">
      <c r="A812" s="116" t="n">
        <f aca="false">'🖐🏾 Human'!$A$152</f>
        <v>0</v>
      </c>
      <c r="B812" s="3" t="s">
        <v>15</v>
      </c>
      <c r="C812" s="5" t="str">
        <f aca="false">'🖐🏾 Human'!C152</f>
        <v>Heading</v>
      </c>
      <c r="D812" s="156" t="n">
        <f aca="false">'🖐🏾 Human'!E152</f>
        <v>1</v>
      </c>
      <c r="E812" s="118" t="n">
        <f aca="false">'🖐🏾 Human'!F152</f>
        <v>0</v>
      </c>
      <c r="F812" s="118" t="n">
        <f aca="false">'🖐🏾 Human'!G152</f>
        <v>0</v>
      </c>
      <c r="G812" s="118" t="n">
        <f aca="false">'🖐🏾 Human'!H152</f>
        <v>0</v>
      </c>
      <c r="H812" s="118" t="n">
        <f aca="false">'🖐🏾 Human'!I152</f>
        <v>0</v>
      </c>
      <c r="I812" s="118" t="n">
        <f aca="false">'🖐🏾 Human'!J152</f>
        <v>0</v>
      </c>
    </row>
    <row r="813" customFormat="false" ht="15.75" hidden="false" customHeight="false" outlineLevel="0" collapsed="false">
      <c r="A813" s="116" t="n">
        <f aca="false">'🖐🏾 Human'!$A$152</f>
        <v>0</v>
      </c>
      <c r="B813" s="3" t="s">
        <v>15</v>
      </c>
      <c r="C813" s="5" t="n">
        <f aca="false">'🖐🏾 Human'!C153</f>
        <v>0</v>
      </c>
      <c r="D813" s="156" t="n">
        <f aca="false">'🖐🏾 Human'!E153</f>
        <v>1</v>
      </c>
      <c r="E813" s="118" t="n">
        <f aca="false">'🖐🏾 Human'!F153</f>
        <v>0</v>
      </c>
      <c r="F813" s="118" t="n">
        <f aca="false">'🖐🏾 Human'!G153</f>
        <v>0</v>
      </c>
      <c r="G813" s="118" t="n">
        <f aca="false">'🖐🏾 Human'!H153</f>
        <v>0</v>
      </c>
      <c r="H813" s="118" t="n">
        <f aca="false">'🖐🏾 Human'!I153</f>
        <v>0</v>
      </c>
      <c r="I813" s="118" t="n">
        <f aca="false">'🖐🏾 Human'!J153</f>
        <v>0</v>
      </c>
    </row>
    <row r="814" customFormat="false" ht="15.75" hidden="false" customHeight="false" outlineLevel="0" collapsed="false">
      <c r="A814" s="116" t="n">
        <f aca="false">'🖐🏾 Human'!$A$152</f>
        <v>0</v>
      </c>
      <c r="B814" s="3" t="s">
        <v>15</v>
      </c>
      <c r="C814" s="5" t="n">
        <f aca="false">'🖐🏾 Human'!C154</f>
        <v>0</v>
      </c>
      <c r="D814" s="156" t="n">
        <f aca="false">'🖐🏾 Human'!E154</f>
        <v>1</v>
      </c>
      <c r="E814" s="118" t="n">
        <f aca="false">'🖐🏾 Human'!F154</f>
        <v>0</v>
      </c>
      <c r="F814" s="118" t="n">
        <f aca="false">'🖐🏾 Human'!G154</f>
        <v>0</v>
      </c>
      <c r="G814" s="118" t="n">
        <f aca="false">'🖐🏾 Human'!H154</f>
        <v>0</v>
      </c>
      <c r="H814" s="118" t="n">
        <f aca="false">'🖐🏾 Human'!I154</f>
        <v>0</v>
      </c>
      <c r="I814" s="118" t="n">
        <f aca="false">'🖐🏾 Human'!J154</f>
        <v>0</v>
      </c>
    </row>
    <row r="815" customFormat="false" ht="15.75" hidden="false" customHeight="false" outlineLevel="0" collapsed="false">
      <c r="A815" s="116" t="n">
        <f aca="false">'🖐🏾 Human'!$A$152</f>
        <v>0</v>
      </c>
      <c r="B815" s="3" t="s">
        <v>15</v>
      </c>
      <c r="C815" s="5" t="n">
        <f aca="false">'🖐🏾 Human'!C155</f>
        <v>0</v>
      </c>
      <c r="D815" s="156" t="n">
        <f aca="false">'🖐🏾 Human'!E155</f>
        <v>1</v>
      </c>
      <c r="E815" s="118" t="n">
        <f aca="false">'🖐🏾 Human'!F155</f>
        <v>0</v>
      </c>
      <c r="F815" s="118" t="n">
        <f aca="false">'🖐🏾 Human'!G155</f>
        <v>0</v>
      </c>
      <c r="G815" s="118" t="n">
        <f aca="false">'🖐🏾 Human'!H155</f>
        <v>0</v>
      </c>
      <c r="H815" s="118" t="n">
        <f aca="false">'🖐🏾 Human'!I155</f>
        <v>0</v>
      </c>
      <c r="I815" s="118" t="n">
        <f aca="false">'🖐🏾 Human'!J155</f>
        <v>0</v>
      </c>
    </row>
    <row r="816" customFormat="false" ht="15.75" hidden="false" customHeight="false" outlineLevel="0" collapsed="false">
      <c r="A816" s="116"/>
      <c r="B816" s="3"/>
      <c r="C816" s="5"/>
      <c r="D816" s="156"/>
      <c r="E816" s="5"/>
      <c r="F816" s="5"/>
      <c r="G816" s="5"/>
      <c r="H816" s="5"/>
      <c r="I816" s="5"/>
    </row>
    <row r="817" customFormat="false" ht="15.75" hidden="false" customHeight="false" outlineLevel="0" collapsed="false">
      <c r="A817" s="116" t="n">
        <f aca="false">'🖐🏾 Human'!$A$157</f>
        <v>0</v>
      </c>
      <c r="B817" s="3" t="s">
        <v>15</v>
      </c>
      <c r="C817" s="5" t="str">
        <f aca="false">'🖐🏾 Human'!C157</f>
        <v>Heading</v>
      </c>
      <c r="D817" s="156" t="n">
        <f aca="false">'🖐🏾 Human'!E157</f>
        <v>1</v>
      </c>
      <c r="E817" s="118" t="n">
        <f aca="false">'🖐🏾 Human'!F157</f>
        <v>0</v>
      </c>
      <c r="F817" s="118" t="n">
        <f aca="false">'🖐🏾 Human'!G157</f>
        <v>0</v>
      </c>
      <c r="G817" s="118" t="n">
        <f aca="false">'🖐🏾 Human'!H157</f>
        <v>0</v>
      </c>
      <c r="H817" s="118" t="n">
        <f aca="false">'🖐🏾 Human'!I157</f>
        <v>0</v>
      </c>
      <c r="I817" s="118" t="n">
        <f aca="false">'🖐🏾 Human'!J157</f>
        <v>0</v>
      </c>
    </row>
    <row r="818" customFormat="false" ht="15.75" hidden="false" customHeight="false" outlineLevel="0" collapsed="false">
      <c r="A818" s="116" t="n">
        <f aca="false">'🖐🏾 Human'!$A$157</f>
        <v>0</v>
      </c>
      <c r="B818" s="3" t="s">
        <v>15</v>
      </c>
      <c r="C818" s="5" t="n">
        <f aca="false">'🖐🏾 Human'!C158</f>
        <v>0</v>
      </c>
      <c r="D818" s="156" t="n">
        <f aca="false">'🖐🏾 Human'!E158</f>
        <v>1</v>
      </c>
      <c r="E818" s="118" t="n">
        <f aca="false">'🖐🏾 Human'!F158</f>
        <v>0</v>
      </c>
      <c r="F818" s="118" t="n">
        <f aca="false">'🖐🏾 Human'!G158</f>
        <v>0</v>
      </c>
      <c r="G818" s="118" t="n">
        <f aca="false">'🖐🏾 Human'!H158</f>
        <v>0</v>
      </c>
      <c r="H818" s="118" t="n">
        <f aca="false">'🖐🏾 Human'!I158</f>
        <v>0</v>
      </c>
      <c r="I818" s="118" t="n">
        <f aca="false">'🖐🏾 Human'!J158</f>
        <v>0</v>
      </c>
    </row>
    <row r="819" customFormat="false" ht="15.75" hidden="false" customHeight="false" outlineLevel="0" collapsed="false">
      <c r="A819" s="116" t="n">
        <f aca="false">'🖐🏾 Human'!$A$157</f>
        <v>0</v>
      </c>
      <c r="B819" s="3" t="s">
        <v>15</v>
      </c>
      <c r="C819" s="5" t="n">
        <f aca="false">'🖐🏾 Human'!C159</f>
        <v>0</v>
      </c>
      <c r="D819" s="156" t="n">
        <f aca="false">'🖐🏾 Human'!E159</f>
        <v>1</v>
      </c>
      <c r="E819" s="118" t="n">
        <f aca="false">'🖐🏾 Human'!F159</f>
        <v>0</v>
      </c>
      <c r="F819" s="118" t="n">
        <f aca="false">'🖐🏾 Human'!G159</f>
        <v>0</v>
      </c>
      <c r="G819" s="118" t="n">
        <f aca="false">'🖐🏾 Human'!H159</f>
        <v>0</v>
      </c>
      <c r="H819" s="118" t="n">
        <f aca="false">'🖐🏾 Human'!I159</f>
        <v>0</v>
      </c>
      <c r="I819" s="118" t="n">
        <f aca="false">'🖐🏾 Human'!J159</f>
        <v>0</v>
      </c>
    </row>
    <row r="820" customFormat="false" ht="15.75" hidden="false" customHeight="false" outlineLevel="0" collapsed="false">
      <c r="A820" s="116" t="n">
        <f aca="false">'🖐🏾 Human'!$A$157</f>
        <v>0</v>
      </c>
      <c r="B820" s="3" t="s">
        <v>15</v>
      </c>
      <c r="C820" s="5" t="n">
        <f aca="false">'🖐🏾 Human'!C160</f>
        <v>0</v>
      </c>
      <c r="D820" s="156" t="n">
        <f aca="false">'🖐🏾 Human'!E160</f>
        <v>1</v>
      </c>
      <c r="E820" s="118" t="n">
        <f aca="false">'🖐🏾 Human'!F160</f>
        <v>0</v>
      </c>
      <c r="F820" s="118" t="n">
        <f aca="false">'🖐🏾 Human'!G160</f>
        <v>0</v>
      </c>
      <c r="G820" s="118" t="n">
        <f aca="false">'🖐🏾 Human'!H160</f>
        <v>0</v>
      </c>
      <c r="H820" s="118" t="n">
        <f aca="false">'🖐🏾 Human'!I160</f>
        <v>0</v>
      </c>
      <c r="I820" s="118" t="n">
        <f aca="false">'🖐🏾 Human'!J160</f>
        <v>0</v>
      </c>
    </row>
    <row r="821" customFormat="false" ht="15.75" hidden="false" customHeight="false" outlineLevel="0" collapsed="false">
      <c r="A821" s="116"/>
      <c r="B821" s="3"/>
      <c r="C821" s="5"/>
      <c r="D821" s="156"/>
      <c r="E821" s="5"/>
      <c r="F821" s="5"/>
      <c r="G821" s="5"/>
      <c r="H821" s="5"/>
      <c r="I821" s="5"/>
    </row>
    <row r="822" customFormat="false" ht="15.75" hidden="false" customHeight="false" outlineLevel="0" collapsed="false">
      <c r="A822" s="116" t="n">
        <f aca="false">'🖐🏾 Human'!$A$162</f>
        <v>0</v>
      </c>
      <c r="B822" s="3" t="s">
        <v>15</v>
      </c>
      <c r="C822" s="5" t="str">
        <f aca="false">'🖐🏾 Human'!C162</f>
        <v>Heading</v>
      </c>
      <c r="D822" s="156" t="n">
        <f aca="false">'🖐🏾 Human'!E162</f>
        <v>1</v>
      </c>
      <c r="E822" s="118" t="n">
        <f aca="false">'🖐🏾 Human'!F162</f>
        <v>0</v>
      </c>
      <c r="F822" s="118" t="n">
        <f aca="false">'🖐🏾 Human'!G162</f>
        <v>0</v>
      </c>
      <c r="G822" s="118" t="n">
        <f aca="false">'🖐🏾 Human'!H162</f>
        <v>0</v>
      </c>
      <c r="H822" s="118" t="n">
        <f aca="false">'🖐🏾 Human'!I162</f>
        <v>0</v>
      </c>
      <c r="I822" s="118" t="n">
        <f aca="false">'🖐🏾 Human'!J162</f>
        <v>0</v>
      </c>
    </row>
    <row r="823" customFormat="false" ht="15.75" hidden="false" customHeight="false" outlineLevel="0" collapsed="false">
      <c r="A823" s="116" t="n">
        <f aca="false">'🖐🏾 Human'!$A$162</f>
        <v>0</v>
      </c>
      <c r="B823" s="3" t="s">
        <v>15</v>
      </c>
      <c r="C823" s="5" t="n">
        <f aca="false">'🖐🏾 Human'!C163</f>
        <v>0</v>
      </c>
      <c r="D823" s="156" t="n">
        <f aca="false">'🖐🏾 Human'!E163</f>
        <v>1</v>
      </c>
      <c r="E823" s="118" t="n">
        <f aca="false">'🖐🏾 Human'!F163</f>
        <v>0</v>
      </c>
      <c r="F823" s="118" t="n">
        <f aca="false">'🖐🏾 Human'!G163</f>
        <v>0</v>
      </c>
      <c r="G823" s="118" t="n">
        <f aca="false">'🖐🏾 Human'!H163</f>
        <v>0</v>
      </c>
      <c r="H823" s="118" t="n">
        <f aca="false">'🖐🏾 Human'!I163</f>
        <v>0</v>
      </c>
      <c r="I823" s="118" t="n">
        <f aca="false">'🖐🏾 Human'!J163</f>
        <v>0</v>
      </c>
    </row>
    <row r="824" customFormat="false" ht="15.75" hidden="false" customHeight="false" outlineLevel="0" collapsed="false">
      <c r="A824" s="116" t="n">
        <f aca="false">'🖐🏾 Human'!$A$162</f>
        <v>0</v>
      </c>
      <c r="B824" s="3" t="s">
        <v>15</v>
      </c>
      <c r="C824" s="5" t="n">
        <f aca="false">'🖐🏾 Human'!C164</f>
        <v>0</v>
      </c>
      <c r="D824" s="156" t="n">
        <f aca="false">'🖐🏾 Human'!E164</f>
        <v>1</v>
      </c>
      <c r="E824" s="118" t="n">
        <f aca="false">'🖐🏾 Human'!F164</f>
        <v>0</v>
      </c>
      <c r="F824" s="118" t="n">
        <f aca="false">'🖐🏾 Human'!G164</f>
        <v>0</v>
      </c>
      <c r="G824" s="118" t="n">
        <f aca="false">'🖐🏾 Human'!H164</f>
        <v>0</v>
      </c>
      <c r="H824" s="118" t="n">
        <f aca="false">'🖐🏾 Human'!I164</f>
        <v>0</v>
      </c>
      <c r="I824" s="118" t="n">
        <f aca="false">'🖐🏾 Human'!J164</f>
        <v>0</v>
      </c>
    </row>
    <row r="825" customFormat="false" ht="15.75" hidden="false" customHeight="false" outlineLevel="0" collapsed="false">
      <c r="A825" s="116" t="n">
        <f aca="false">'🖐🏾 Human'!$A$162</f>
        <v>0</v>
      </c>
      <c r="B825" s="3" t="s">
        <v>15</v>
      </c>
      <c r="C825" s="5" t="n">
        <f aca="false">'🖐🏾 Human'!C165</f>
        <v>0</v>
      </c>
      <c r="D825" s="156" t="n">
        <f aca="false">'🖐🏾 Human'!E165</f>
        <v>1</v>
      </c>
      <c r="E825" s="118" t="n">
        <f aca="false">'🖐🏾 Human'!F165</f>
        <v>0</v>
      </c>
      <c r="F825" s="118" t="n">
        <f aca="false">'🖐🏾 Human'!G165</f>
        <v>0</v>
      </c>
      <c r="G825" s="118" t="n">
        <f aca="false">'🖐🏾 Human'!H165</f>
        <v>0</v>
      </c>
      <c r="H825" s="118" t="n">
        <f aca="false">'🖐🏾 Human'!I165</f>
        <v>0</v>
      </c>
      <c r="I825" s="118" t="n">
        <f aca="false">'🖐🏾 Human'!J165</f>
        <v>0</v>
      </c>
    </row>
    <row r="826" customFormat="false" ht="15.75" hidden="false" customHeight="false" outlineLevel="0" collapsed="false">
      <c r="A826" s="8"/>
      <c r="B826" s="8"/>
      <c r="C826" s="50"/>
      <c r="D826" s="8"/>
      <c r="E826" s="50"/>
      <c r="F826" s="50"/>
      <c r="G826" s="50"/>
      <c r="H826" s="50"/>
      <c r="I826" s="50"/>
    </row>
    <row r="827" customFormat="false" ht="15.75" hidden="false" customHeight="false" outlineLevel="0" collapsed="false">
      <c r="A827" s="116" t="str">
        <f aca="false">'🤖 Llama-3.1-70b-instruct'!$A$2</f>
        <v>https://www.berria.eus/mundua/aragonesek-lehen-lerro-politikoa-utziko-du_2125045_102.html</v>
      </c>
      <c r="B827" s="8" t="s">
        <v>24</v>
      </c>
      <c r="C827" s="5" t="str">
        <f aca="false">'🤖 Llama-3.1-70b-instruct'!C2</f>
        <v>Base</v>
      </c>
      <c r="D827" s="123" t="n">
        <f aca="false">'🤖 Llama-3.1-70b-instruct'!E2</f>
        <v>0.3618581907</v>
      </c>
      <c r="E827" s="182" t="n">
        <f aca="false">'🤖 Llama-3.1-70b-instruct'!F2</f>
        <v>1</v>
      </c>
      <c r="F827" s="182" t="n">
        <f aca="false">'🤖 Llama-3.1-70b-instruct'!G2</f>
        <v>1</v>
      </c>
      <c r="G827" s="182" t="n">
        <f aca="false">'🤖 Llama-3.1-70b-instruct'!H2</f>
        <v>1</v>
      </c>
      <c r="H827" s="182" t="n">
        <f aca="false">'🤖 Llama-3.1-70b-instruct'!I2</f>
        <v>1</v>
      </c>
      <c r="I827" s="182" t="n">
        <f aca="false">'🤖 Llama-3.1-70b-instruct'!J2</f>
        <v>1</v>
      </c>
    </row>
    <row r="828" customFormat="false" ht="15.75" hidden="false" customHeight="false" outlineLevel="0" collapsed="false">
      <c r="A828" s="116" t="str">
        <f aca="false">'🤖 Llama-3.1-70b-instruct'!$A$2</f>
        <v>https://www.berria.eus/mundua/aragonesek-lehen-lerro-politikoa-utziko-du_2125045_102.html</v>
      </c>
      <c r="B828" s="8" t="s">
        <v>24</v>
      </c>
      <c r="C828" s="5" t="str">
        <f aca="false">'🤖 Llama-3.1-70b-instruct'!C3</f>
        <v>CoT</v>
      </c>
      <c r="D828" s="156" t="n">
        <f aca="false">'🤖 Llama-3.1-70b-instruct'!E3</f>
        <v>0.06112469438</v>
      </c>
      <c r="E828" s="182" t="n">
        <f aca="false">'🤖 Llama-3.1-70b-instruct'!F3</f>
        <v>4</v>
      </c>
      <c r="F828" s="182" t="n">
        <f aca="false">'🤖 Llama-3.1-70b-instruct'!G3</f>
        <v>4</v>
      </c>
      <c r="G828" s="182" t="n">
        <f aca="false">'🤖 Llama-3.1-70b-instruct'!H3</f>
        <v>4</v>
      </c>
      <c r="H828" s="182" t="n">
        <f aca="false">'🤖 Llama-3.1-70b-instruct'!I3</f>
        <v>5</v>
      </c>
      <c r="I828" s="182" t="n">
        <f aca="false">'🤖 Llama-3.1-70b-instruct'!J3</f>
        <v>3</v>
      </c>
    </row>
    <row r="829" customFormat="false" ht="15.75" hidden="false" customHeight="false" outlineLevel="0" collapsed="false">
      <c r="A829" s="116" t="str">
        <f aca="false">'🤖 Llama-3.1-70b-instruct'!$A$2</f>
        <v>https://www.berria.eus/mundua/aragonesek-lehen-lerro-politikoa-utziko-du_2125045_102.html</v>
      </c>
      <c r="B829" s="8" t="s">
        <v>24</v>
      </c>
      <c r="C829" s="5" t="str">
        <f aca="false">'🤖 Llama-3.1-70b-instruct'!C4</f>
        <v>5W1H</v>
      </c>
      <c r="D829" s="121" t="n">
        <f aca="false">'🤖 Llama-3.1-70b-instruct'!E4</f>
        <v>0.1907090465</v>
      </c>
      <c r="E829" s="182" t="n">
        <f aca="false">'🤖 Llama-3.1-70b-instruct'!F4</f>
        <v>3</v>
      </c>
      <c r="F829" s="182" t="n">
        <f aca="false">'🤖 Llama-3.1-70b-instruct'!G4</f>
        <v>3</v>
      </c>
      <c r="G829" s="182" t="n">
        <f aca="false">'🤖 Llama-3.1-70b-instruct'!H4</f>
        <v>4</v>
      </c>
      <c r="H829" s="182" t="n">
        <f aca="false">'🤖 Llama-3.1-70b-instruct'!I4</f>
        <v>3</v>
      </c>
      <c r="I829" s="182" t="n">
        <f aca="false">'🤖 Llama-3.1-70b-instruct'!J4</f>
        <v>3</v>
      </c>
    </row>
    <row r="830" customFormat="false" ht="15.75" hidden="false" customHeight="false" outlineLevel="0" collapsed="false">
      <c r="A830" s="116" t="str">
        <f aca="false">'🤖 Llama-3.1-70b-instruct'!$A$2</f>
        <v>https://www.berria.eus/mundua/aragonesek-lehen-lerro-politikoa-utziko-du_2125045_102.html</v>
      </c>
      <c r="B830" s="8" t="s">
        <v>24</v>
      </c>
      <c r="C830" s="5" t="str">
        <f aca="false">'🤖 Llama-3.1-70b-instruct'!C5</f>
        <v>tldr</v>
      </c>
      <c r="D830" s="183" t="n">
        <f aca="false">'🤖 Llama-3.1-70b-instruct'!E5</f>
        <v>0.04034229829</v>
      </c>
      <c r="E830" s="182" t="n">
        <f aca="false">'🤖 Llama-3.1-70b-instruct'!F5</f>
        <v>5</v>
      </c>
      <c r="F830" s="182" t="n">
        <f aca="false">'🤖 Llama-3.1-70b-instruct'!G5</f>
        <v>3</v>
      </c>
      <c r="G830" s="182" t="n">
        <f aca="false">'🤖 Llama-3.1-70b-instruct'!H5</f>
        <v>5</v>
      </c>
      <c r="H830" s="182" t="n">
        <f aca="false">'🤖 Llama-3.1-70b-instruct'!I5</f>
        <v>5</v>
      </c>
      <c r="I830" s="182" t="n">
        <f aca="false">'🤖 Llama-3.1-70b-instruct'!J5</f>
        <v>2</v>
      </c>
    </row>
    <row r="831" customFormat="false" ht="15.75" hidden="false" customHeight="false" outlineLevel="0" collapsed="false">
      <c r="A831" s="8"/>
      <c r="B831" s="8"/>
      <c r="C831" s="50"/>
      <c r="D831" s="8"/>
      <c r="E831" s="8"/>
      <c r="F831" s="8"/>
      <c r="G831" s="8"/>
      <c r="H831" s="8"/>
      <c r="I831" s="8"/>
    </row>
    <row r="832" customFormat="false" ht="15.75" hidden="false" customHeight="false" outlineLevel="0" collapsed="false">
      <c r="A832" s="116" t="str">
        <f aca="false">'🤖 Llama-3.1-70b-instruct'!$A$7</f>
        <v>https://www.berria.eus/kirola/derbi-bikoitza_2118881_102.html</v>
      </c>
      <c r="B832" s="8" t="s">
        <v>24</v>
      </c>
      <c r="C832" s="5" t="str">
        <f aca="false">'🤖 Llama-3.1-70b-instruct'!C7</f>
        <v>Base</v>
      </c>
      <c r="D832" s="148" t="n">
        <f aca="false">'🤖 Llama-3.1-70b-instruct'!E7</f>
        <v>0.1958333333</v>
      </c>
      <c r="E832" s="182" t="n">
        <f aca="false">'🤖 Llama-3.1-70b-instruct'!F7</f>
        <v>3</v>
      </c>
      <c r="F832" s="182" t="n">
        <f aca="false">'🤖 Llama-3.1-70b-instruct'!G7</f>
        <v>4</v>
      </c>
      <c r="G832" s="182" t="n">
        <f aca="false">'🤖 Llama-3.1-70b-instruct'!H7</f>
        <v>5</v>
      </c>
      <c r="H832" s="182" t="n">
        <f aca="false">'🤖 Llama-3.1-70b-instruct'!I7</f>
        <v>4</v>
      </c>
      <c r="I832" s="182" t="n">
        <f aca="false">'🤖 Llama-3.1-70b-instruct'!J7</f>
        <v>4</v>
      </c>
    </row>
    <row r="833" customFormat="false" ht="15.75" hidden="false" customHeight="false" outlineLevel="0" collapsed="false">
      <c r="A833" s="116" t="str">
        <f aca="false">'🤖 Llama-3.1-70b-instruct'!$A$7</f>
        <v>https://www.berria.eus/kirola/derbi-bikoitza_2118881_102.html</v>
      </c>
      <c r="B833" s="8" t="s">
        <v>24</v>
      </c>
      <c r="C833" s="5" t="str">
        <f aca="false">'🤖 Llama-3.1-70b-instruct'!C8</f>
        <v>CoT</v>
      </c>
      <c r="D833" s="148" t="n">
        <f aca="false">'🤖 Llama-3.1-70b-instruct'!E8</f>
        <v>0.0625</v>
      </c>
      <c r="E833" s="182" t="n">
        <f aca="false">'🤖 Llama-3.1-70b-instruct'!F8</f>
        <v>3</v>
      </c>
      <c r="F833" s="182" t="n">
        <f aca="false">'🤖 Llama-3.1-70b-instruct'!G8</f>
        <v>5</v>
      </c>
      <c r="G833" s="182" t="n">
        <f aca="false">'🤖 Llama-3.1-70b-instruct'!H8</f>
        <v>5</v>
      </c>
      <c r="H833" s="182" t="n">
        <f aca="false">'🤖 Llama-3.1-70b-instruct'!I8</f>
        <v>5</v>
      </c>
      <c r="I833" s="182" t="n">
        <f aca="false">'🤖 Llama-3.1-70b-instruct'!J8</f>
        <v>4</v>
      </c>
    </row>
    <row r="834" customFormat="false" ht="15.75" hidden="false" customHeight="false" outlineLevel="0" collapsed="false">
      <c r="A834" s="116" t="str">
        <f aca="false">'🤖 Llama-3.1-70b-instruct'!$A$7</f>
        <v>https://www.berria.eus/kirola/derbi-bikoitza_2118881_102.html</v>
      </c>
      <c r="B834" s="8" t="s">
        <v>24</v>
      </c>
      <c r="C834" s="5" t="str">
        <f aca="false">'🤖 Llama-3.1-70b-instruct'!C9</f>
        <v>5W1H</v>
      </c>
      <c r="D834" s="117" t="n">
        <f aca="false">'🤖 Llama-3.1-70b-instruct'!E9</f>
        <v>0.2666666667</v>
      </c>
      <c r="E834" s="182" t="n">
        <f aca="false">'🤖 Llama-3.1-70b-instruct'!F9</f>
        <v>1</v>
      </c>
      <c r="F834" s="182" t="n">
        <f aca="false">'🤖 Llama-3.1-70b-instruct'!G9</f>
        <v>4</v>
      </c>
      <c r="G834" s="182" t="n">
        <f aca="false">'🤖 Llama-3.1-70b-instruct'!H9</f>
        <v>4</v>
      </c>
      <c r="H834" s="182" t="n">
        <f aca="false">'🤖 Llama-3.1-70b-instruct'!I9</f>
        <v>4</v>
      </c>
      <c r="I834" s="182" t="n">
        <f aca="false">'🤖 Llama-3.1-70b-instruct'!J9</f>
        <v>5</v>
      </c>
    </row>
    <row r="835" customFormat="false" ht="15.75" hidden="false" customHeight="false" outlineLevel="0" collapsed="false">
      <c r="A835" s="116" t="str">
        <f aca="false">'🤖 Llama-3.1-70b-instruct'!$A$7</f>
        <v>https://www.berria.eus/kirola/derbi-bikoitza_2118881_102.html</v>
      </c>
      <c r="B835" s="8" t="s">
        <v>24</v>
      </c>
      <c r="C835" s="5" t="str">
        <f aca="false">'🤖 Llama-3.1-70b-instruct'!C10</f>
        <v>tldr</v>
      </c>
      <c r="D835" s="124" t="n">
        <f aca="false">'🤖 Llama-3.1-70b-instruct'!E10</f>
        <v>0.075</v>
      </c>
      <c r="E835" s="182" t="n">
        <f aca="false">'🤖 Llama-3.1-70b-instruct'!F10</f>
        <v>2</v>
      </c>
      <c r="F835" s="182" t="n">
        <f aca="false">'🤖 Llama-3.1-70b-instruct'!G10</f>
        <v>2</v>
      </c>
      <c r="G835" s="182" t="n">
        <f aca="false">'🤖 Llama-3.1-70b-instruct'!H10</f>
        <v>4</v>
      </c>
      <c r="H835" s="182" t="n">
        <f aca="false">'🤖 Llama-3.1-70b-instruct'!I10</f>
        <v>5</v>
      </c>
      <c r="I835" s="182" t="n">
        <f aca="false">'🤖 Llama-3.1-70b-instruct'!J10</f>
        <v>2</v>
      </c>
    </row>
    <row r="836" customFormat="false" ht="15.75" hidden="false" customHeight="false" outlineLevel="0" collapsed="false">
      <c r="A836" s="8"/>
      <c r="B836" s="8"/>
      <c r="C836" s="50"/>
      <c r="D836" s="8"/>
      <c r="E836" s="8"/>
      <c r="F836" s="8"/>
      <c r="G836" s="8"/>
      <c r="H836" s="8"/>
      <c r="I836" s="8"/>
    </row>
    <row r="837" customFormat="false" ht="15.75" hidden="false" customHeight="false" outlineLevel="0" collapsed="false">
      <c r="A837" s="116" t="str">
        <f aca="false">'🤖 Llama-3.1-70b-instruct'!$A$12</f>
        <v>https://www.berria.eus/kirola/berriro-etxean-sentitzeko_2117830_102.html</v>
      </c>
      <c r="B837" s="8" t="s">
        <v>24</v>
      </c>
      <c r="C837" s="5" t="str">
        <f aca="false">'🤖 Llama-3.1-70b-instruct'!C12</f>
        <v>Base</v>
      </c>
      <c r="D837" s="173" t="n">
        <f aca="false">'🤖 Llama-3.1-70b-instruct'!E12</f>
        <v>0.07454545455</v>
      </c>
      <c r="E837" s="182" t="n">
        <f aca="false">'🤖 Llama-3.1-70b-instruct'!F12</f>
        <v>3</v>
      </c>
      <c r="F837" s="182" t="n">
        <f aca="false">'🤖 Llama-3.1-70b-instruct'!G12</f>
        <v>4</v>
      </c>
      <c r="G837" s="182" t="n">
        <f aca="false">'🤖 Llama-3.1-70b-instruct'!H12</f>
        <v>5</v>
      </c>
      <c r="H837" s="182" t="n">
        <f aca="false">'🤖 Llama-3.1-70b-instruct'!I12</f>
        <v>5</v>
      </c>
      <c r="I837" s="182" t="n">
        <f aca="false">'🤖 Llama-3.1-70b-instruct'!J12</f>
        <v>5</v>
      </c>
    </row>
    <row r="838" customFormat="false" ht="15.75" hidden="false" customHeight="false" outlineLevel="0" collapsed="false">
      <c r="A838" s="116" t="str">
        <f aca="false">'🤖 Llama-3.1-70b-instruct'!$A$12</f>
        <v>https://www.berria.eus/kirola/berriro-etxean-sentitzeko_2117830_102.html</v>
      </c>
      <c r="B838" s="8" t="s">
        <v>24</v>
      </c>
      <c r="C838" s="5" t="str">
        <f aca="false">'🤖 Llama-3.1-70b-instruct'!C13</f>
        <v>CoT</v>
      </c>
      <c r="D838" s="148" t="n">
        <f aca="false">'🤖 Llama-3.1-70b-instruct'!E13</f>
        <v>0.1436363636</v>
      </c>
      <c r="E838" s="182" t="n">
        <f aca="false">'🤖 Llama-3.1-70b-instruct'!F13</f>
        <v>3</v>
      </c>
      <c r="F838" s="182" t="n">
        <f aca="false">'🤖 Llama-3.1-70b-instruct'!G13</f>
        <v>4</v>
      </c>
      <c r="G838" s="182" t="n">
        <f aca="false">'🤖 Llama-3.1-70b-instruct'!H13</f>
        <v>4</v>
      </c>
      <c r="H838" s="182" t="n">
        <f aca="false">'🤖 Llama-3.1-70b-instruct'!I13</f>
        <v>4</v>
      </c>
      <c r="I838" s="182" t="n">
        <f aca="false">'🤖 Llama-3.1-70b-instruct'!J13</f>
        <v>4</v>
      </c>
    </row>
    <row r="839" customFormat="false" ht="15.75" hidden="false" customHeight="false" outlineLevel="0" collapsed="false">
      <c r="A839" s="116" t="str">
        <f aca="false">'🤖 Llama-3.1-70b-instruct'!$A$12</f>
        <v>https://www.berria.eus/kirola/berriro-etxean-sentitzeko_2117830_102.html</v>
      </c>
      <c r="B839" s="8" t="s">
        <v>24</v>
      </c>
      <c r="C839" s="5" t="str">
        <f aca="false">'🤖 Llama-3.1-70b-instruct'!C14</f>
        <v>5W1H</v>
      </c>
      <c r="D839" s="131" t="n">
        <f aca="false">'🤖 Llama-3.1-70b-instruct'!E14</f>
        <v>0.1581818182</v>
      </c>
      <c r="E839" s="182" t="n">
        <f aca="false">'🤖 Llama-3.1-70b-instruct'!F14</f>
        <v>2</v>
      </c>
      <c r="F839" s="182" t="n">
        <f aca="false">'🤖 Llama-3.1-70b-instruct'!G14</f>
        <v>5</v>
      </c>
      <c r="G839" s="182" t="n">
        <f aca="false">'🤖 Llama-3.1-70b-instruct'!H14</f>
        <v>4</v>
      </c>
      <c r="H839" s="182" t="n">
        <f aca="false">'🤖 Llama-3.1-70b-instruct'!I14</f>
        <v>5</v>
      </c>
      <c r="I839" s="182" t="n">
        <f aca="false">'🤖 Llama-3.1-70b-instruct'!J14</f>
        <v>5</v>
      </c>
    </row>
    <row r="840" customFormat="false" ht="15.75" hidden="false" customHeight="false" outlineLevel="0" collapsed="false">
      <c r="A840" s="116" t="str">
        <f aca="false">'🤖 Llama-3.1-70b-instruct'!$A$12</f>
        <v>https://www.berria.eus/kirola/berriro-etxean-sentitzeko_2117830_102.html</v>
      </c>
      <c r="B840" s="8" t="s">
        <v>24</v>
      </c>
      <c r="C840" s="5" t="str">
        <f aca="false">'🤖 Llama-3.1-70b-instruct'!C15</f>
        <v>tldr</v>
      </c>
      <c r="D840" s="184" t="n">
        <f aca="false">'🤖 Llama-3.1-70b-instruct'!E15</f>
        <v>0.08181818182</v>
      </c>
      <c r="E840" s="182" t="n">
        <f aca="false">'🤖 Llama-3.1-70b-instruct'!F15</f>
        <v>3</v>
      </c>
      <c r="F840" s="182" t="n">
        <f aca="false">'🤖 Llama-3.1-70b-instruct'!G15</f>
        <v>4</v>
      </c>
      <c r="G840" s="182" t="n">
        <f aca="false">'🤖 Llama-3.1-70b-instruct'!H15</f>
        <v>3</v>
      </c>
      <c r="H840" s="182" t="n">
        <f aca="false">'🤖 Llama-3.1-70b-instruct'!I15</f>
        <v>5</v>
      </c>
      <c r="I840" s="182" t="n">
        <f aca="false">'🤖 Llama-3.1-70b-instruct'!J15</f>
        <v>3</v>
      </c>
    </row>
    <row r="841" customFormat="false" ht="15.75" hidden="false" customHeight="false" outlineLevel="0" collapsed="false">
      <c r="A841" s="8"/>
      <c r="B841" s="8"/>
      <c r="C841" s="50"/>
      <c r="D841" s="8"/>
      <c r="E841" s="8"/>
      <c r="F841" s="8"/>
      <c r="G841" s="8"/>
      <c r="H841" s="8"/>
      <c r="I841" s="8"/>
    </row>
    <row r="842" customFormat="false" ht="15.75" hidden="false" customHeight="false" outlineLevel="0" collapsed="false">
      <c r="A842" s="116" t="str">
        <f aca="false">'🤖 Llama-3.1-70b-instruct'!$A$17</f>
        <v>https://www.berria.eus/komunikazioa/generacion-porno-dokumental-saioa-egin-dute-etbk-eta-tv3ek_1341518_102.html</v>
      </c>
      <c r="B842" s="8" t="s">
        <v>24</v>
      </c>
      <c r="C842" s="5" t="str">
        <f aca="false">'🤖 Llama-3.1-70b-instruct'!C17</f>
        <v>Base</v>
      </c>
      <c r="D842" s="148" t="n">
        <f aca="false">'🤖 Llama-3.1-70b-instruct'!E17</f>
        <v>0.1994134897</v>
      </c>
      <c r="E842" s="182" t="n">
        <f aca="false">'🤖 Llama-3.1-70b-instruct'!F17</f>
        <v>4</v>
      </c>
      <c r="F842" s="182" t="n">
        <f aca="false">'🤖 Llama-3.1-70b-instruct'!G17</f>
        <v>4</v>
      </c>
      <c r="G842" s="182" t="n">
        <f aca="false">'🤖 Llama-3.1-70b-instruct'!H17</f>
        <v>4</v>
      </c>
      <c r="H842" s="182" t="n">
        <f aca="false">'🤖 Llama-3.1-70b-instruct'!I17</f>
        <v>5</v>
      </c>
      <c r="I842" s="182" t="n">
        <f aca="false">'🤖 Llama-3.1-70b-instruct'!J17</f>
        <v>4</v>
      </c>
    </row>
    <row r="843" customFormat="false" ht="15.75" hidden="false" customHeight="false" outlineLevel="0" collapsed="false">
      <c r="A843" s="116" t="str">
        <f aca="false">'🤖 Llama-3.1-70b-instruct'!$A$17</f>
        <v>https://www.berria.eus/komunikazioa/generacion-porno-dokumental-saioa-egin-dute-etbk-eta-tv3ek_1341518_102.html</v>
      </c>
      <c r="B843" s="8" t="s">
        <v>24</v>
      </c>
      <c r="C843" s="5" t="str">
        <f aca="false">'🤖 Llama-3.1-70b-instruct'!C18</f>
        <v>CoT</v>
      </c>
      <c r="D843" s="173" t="n">
        <f aca="false">'🤖 Llama-3.1-70b-instruct'!E18</f>
        <v>0.02346041056</v>
      </c>
      <c r="E843" s="182" t="n">
        <f aca="false">'🤖 Llama-3.1-70b-instruct'!F18</f>
        <v>3</v>
      </c>
      <c r="F843" s="182" t="n">
        <f aca="false">'🤖 Llama-3.1-70b-instruct'!G18</f>
        <v>3</v>
      </c>
      <c r="G843" s="182" t="n">
        <f aca="false">'🤖 Llama-3.1-70b-instruct'!H18</f>
        <v>5</v>
      </c>
      <c r="H843" s="182" t="n">
        <f aca="false">'🤖 Llama-3.1-70b-instruct'!I18</f>
        <v>5</v>
      </c>
      <c r="I843" s="182" t="n">
        <f aca="false">'🤖 Llama-3.1-70b-instruct'!J18</f>
        <v>2</v>
      </c>
    </row>
    <row r="844" customFormat="false" ht="15.75" hidden="false" customHeight="false" outlineLevel="0" collapsed="false">
      <c r="A844" s="116" t="str">
        <f aca="false">'🤖 Llama-3.1-70b-instruct'!$A$17</f>
        <v>https://www.berria.eus/komunikazioa/generacion-porno-dokumental-saioa-egin-dute-etbk-eta-tv3ek_1341518_102.html</v>
      </c>
      <c r="B844" s="8" t="s">
        <v>24</v>
      </c>
      <c r="C844" s="5" t="str">
        <f aca="false">'🤖 Llama-3.1-70b-instruct'!C19</f>
        <v>5W1H</v>
      </c>
      <c r="D844" s="140" t="n">
        <f aca="false">'🤖 Llama-3.1-70b-instruct'!E19</f>
        <v>0.219941349</v>
      </c>
      <c r="E844" s="182" t="n">
        <f aca="false">'🤖 Llama-3.1-70b-instruct'!F19</f>
        <v>2</v>
      </c>
      <c r="F844" s="182" t="n">
        <f aca="false">'🤖 Llama-3.1-70b-instruct'!G19</f>
        <v>4</v>
      </c>
      <c r="G844" s="182" t="n">
        <f aca="false">'🤖 Llama-3.1-70b-instruct'!H19</f>
        <v>5</v>
      </c>
      <c r="H844" s="182" t="n">
        <f aca="false">'🤖 Llama-3.1-70b-instruct'!I19</f>
        <v>5</v>
      </c>
      <c r="I844" s="182" t="n">
        <f aca="false">'🤖 Llama-3.1-70b-instruct'!J19</f>
        <v>4</v>
      </c>
    </row>
    <row r="845" customFormat="false" ht="15.75" hidden="false" customHeight="false" outlineLevel="0" collapsed="false">
      <c r="A845" s="116" t="str">
        <f aca="false">'🤖 Llama-3.1-70b-instruct'!$A$17</f>
        <v>https://www.berria.eus/komunikazioa/generacion-porno-dokumental-saioa-egin-dute-etbk-eta-tv3ek_1341518_102.html</v>
      </c>
      <c r="B845" s="8" t="s">
        <v>24</v>
      </c>
      <c r="C845" s="5" t="str">
        <f aca="false">'🤖 Llama-3.1-70b-instruct'!C20</f>
        <v>tldr</v>
      </c>
      <c r="D845" s="126" t="n">
        <f aca="false">'🤖 Llama-3.1-70b-instruct'!E20</f>
        <v>0.1202346041</v>
      </c>
      <c r="E845" s="182" t="n">
        <f aca="false">'🤖 Llama-3.1-70b-instruct'!F20</f>
        <v>4</v>
      </c>
      <c r="F845" s="182" t="n">
        <f aca="false">'🤖 Llama-3.1-70b-instruct'!G20</f>
        <v>5</v>
      </c>
      <c r="G845" s="182" t="n">
        <f aca="false">'🤖 Llama-3.1-70b-instruct'!H20</f>
        <v>5</v>
      </c>
      <c r="H845" s="182" t="n">
        <f aca="false">'🤖 Llama-3.1-70b-instruct'!I20</f>
        <v>5</v>
      </c>
      <c r="I845" s="182" t="n">
        <f aca="false">'🤖 Llama-3.1-70b-instruct'!J20</f>
        <v>3</v>
      </c>
    </row>
    <row r="846" customFormat="false" ht="15.75" hidden="false" customHeight="false" outlineLevel="0" collapsed="false">
      <c r="A846" s="8"/>
      <c r="B846" s="8"/>
      <c r="C846" s="50"/>
      <c r="D846" s="8"/>
      <c r="E846" s="8"/>
      <c r="F846" s="8"/>
      <c r="G846" s="8"/>
      <c r="H846" s="8"/>
      <c r="I846" s="8"/>
    </row>
    <row r="847" customFormat="false" ht="15.75" hidden="false" customHeight="false" outlineLevel="0" collapsed="false">
      <c r="A847" s="116" t="str">
        <f aca="false">'🤖 Llama-3.1-70b-instruct'!$A$22</f>
        <v>https://www.berria.eus/kirola/artolak-nagusitasunez-irabazi-dio-zabaleri_2124679_102.html</v>
      </c>
      <c r="B847" s="8" t="s">
        <v>24</v>
      </c>
      <c r="C847" s="5" t="str">
        <f aca="false">'🤖 Llama-3.1-70b-instruct'!C22</f>
        <v>Base</v>
      </c>
      <c r="D847" s="120" t="n">
        <f aca="false">'🤖 Llama-3.1-70b-instruct'!E22</f>
        <v>0.01256281407</v>
      </c>
      <c r="E847" s="182" t="n">
        <f aca="false">'🤖 Llama-3.1-70b-instruct'!F22</f>
        <v>3</v>
      </c>
      <c r="F847" s="182" t="n">
        <f aca="false">'🤖 Llama-3.1-70b-instruct'!G22</f>
        <v>4</v>
      </c>
      <c r="G847" s="182" t="n">
        <f aca="false">'🤖 Llama-3.1-70b-instruct'!H22</f>
        <v>5</v>
      </c>
      <c r="H847" s="182" t="n">
        <f aca="false">'🤖 Llama-3.1-70b-instruct'!I22</f>
        <v>5</v>
      </c>
      <c r="I847" s="182" t="n">
        <f aca="false">'🤖 Llama-3.1-70b-instruct'!J22</f>
        <v>1</v>
      </c>
    </row>
    <row r="848" customFormat="false" ht="15.75" hidden="false" customHeight="false" outlineLevel="0" collapsed="false">
      <c r="A848" s="116" t="str">
        <f aca="false">'🤖 Llama-3.1-70b-instruct'!$A$22</f>
        <v>https://www.berria.eus/kirola/artolak-nagusitasunez-irabazi-dio-zabaleri_2124679_102.html</v>
      </c>
      <c r="B848" s="8" t="s">
        <v>24</v>
      </c>
      <c r="C848" s="5" t="str">
        <f aca="false">'🤖 Llama-3.1-70b-instruct'!C23</f>
        <v>CoT</v>
      </c>
      <c r="D848" s="184" t="n">
        <f aca="false">'🤖 Llama-3.1-70b-instruct'!E23</f>
        <v>0.01507537688</v>
      </c>
      <c r="E848" s="182" t="n">
        <f aca="false">'🤖 Llama-3.1-70b-instruct'!F23</f>
        <v>1</v>
      </c>
      <c r="F848" s="182" t="n">
        <f aca="false">'🤖 Llama-3.1-70b-instruct'!G23</f>
        <v>5</v>
      </c>
      <c r="G848" s="182" t="n">
        <f aca="false">'🤖 Llama-3.1-70b-instruct'!H23</f>
        <v>4</v>
      </c>
      <c r="H848" s="182" t="n">
        <f aca="false">'🤖 Llama-3.1-70b-instruct'!I23</f>
        <v>5</v>
      </c>
      <c r="I848" s="182" t="n">
        <f aca="false">'🤖 Llama-3.1-70b-instruct'!J23</f>
        <v>1</v>
      </c>
    </row>
    <row r="849" customFormat="false" ht="15.75" hidden="false" customHeight="false" outlineLevel="0" collapsed="false">
      <c r="A849" s="116" t="str">
        <f aca="false">'🤖 Llama-3.1-70b-instruct'!$A$22</f>
        <v>https://www.berria.eus/kirola/artolak-nagusitasunez-irabazi-dio-zabaleri_2124679_102.html</v>
      </c>
      <c r="B849" s="8" t="s">
        <v>24</v>
      </c>
      <c r="C849" s="5" t="str">
        <f aca="false">'🤖 Llama-3.1-70b-instruct'!C24</f>
        <v>5W1H</v>
      </c>
      <c r="D849" s="124" t="n">
        <f aca="false">'🤖 Llama-3.1-70b-instruct'!E24</f>
        <v>0.1984924623</v>
      </c>
      <c r="E849" s="182" t="n">
        <f aca="false">'🤖 Llama-3.1-70b-instruct'!F24</f>
        <v>2</v>
      </c>
      <c r="F849" s="182" t="n">
        <f aca="false">'🤖 Llama-3.1-70b-instruct'!G24</f>
        <v>4</v>
      </c>
      <c r="G849" s="182" t="n">
        <f aca="false">'🤖 Llama-3.1-70b-instruct'!H24</f>
        <v>4</v>
      </c>
      <c r="H849" s="182" t="n">
        <f aca="false">'🤖 Llama-3.1-70b-instruct'!I24</f>
        <v>5</v>
      </c>
      <c r="I849" s="182" t="n">
        <f aca="false">'🤖 Llama-3.1-70b-instruct'!J24</f>
        <v>4</v>
      </c>
    </row>
    <row r="850" customFormat="false" ht="15.75" hidden="false" customHeight="false" outlineLevel="0" collapsed="false">
      <c r="A850" s="116" t="str">
        <f aca="false">'🤖 Llama-3.1-70b-instruct'!$A$22</f>
        <v>https://www.berria.eus/kirola/artolak-nagusitasunez-irabazi-dio-zabaleri_2124679_102.html</v>
      </c>
      <c r="B850" s="8" t="s">
        <v>24</v>
      </c>
      <c r="C850" s="5" t="str">
        <f aca="false">'🤖 Llama-3.1-70b-instruct'!C25</f>
        <v>tldr</v>
      </c>
      <c r="D850" s="185" t="n">
        <f aca="false">'🤖 Llama-3.1-70b-instruct'!E25</f>
        <v>0.08542713568</v>
      </c>
      <c r="E850" s="182" t="n">
        <f aca="false">'🤖 Llama-3.1-70b-instruct'!F25</f>
        <v>5</v>
      </c>
      <c r="F850" s="182" t="n">
        <f aca="false">'🤖 Llama-3.1-70b-instruct'!G25</f>
        <v>5</v>
      </c>
      <c r="G850" s="182" t="n">
        <f aca="false">'🤖 Llama-3.1-70b-instruct'!H25</f>
        <v>4</v>
      </c>
      <c r="H850" s="182" t="n">
        <f aca="false">'🤖 Llama-3.1-70b-instruct'!I25</f>
        <v>5</v>
      </c>
      <c r="I850" s="182" t="n">
        <f aca="false">'🤖 Llama-3.1-70b-instruct'!J25</f>
        <v>3</v>
      </c>
    </row>
    <row r="851" customFormat="false" ht="15.75" hidden="false" customHeight="false" outlineLevel="0" collapsed="false">
      <c r="A851" s="8"/>
      <c r="B851" s="8"/>
      <c r="C851" s="50"/>
      <c r="D851" s="8"/>
      <c r="E851" s="8"/>
      <c r="F851" s="8"/>
      <c r="G851" s="8"/>
      <c r="H851" s="8"/>
      <c r="I851" s="8"/>
    </row>
    <row r="852" customFormat="false" ht="15.75" hidden="false" customHeight="false" outlineLevel="0" collapsed="false">
      <c r="A852" s="116" t="str">
        <f aca="false">'🤖 Llama-3.1-70b-instruct'!$A$27</f>
        <v>https://www.berria.eus/mundua/gutxienez-40-hildako-eta-dozenaka-zauritu-moskun-gertatutako-tiroketa-batean_2122731_102.html</v>
      </c>
      <c r="B852" s="8" t="s">
        <v>24</v>
      </c>
      <c r="C852" s="5" t="str">
        <f aca="false">'🤖 Llama-3.1-70b-instruct'!C27</f>
        <v>Base</v>
      </c>
      <c r="D852" s="186" t="n">
        <f aca="false">'🤖 Llama-3.1-70b-instruct'!E27</f>
        <v>0.00293255132</v>
      </c>
      <c r="E852" s="182" t="n">
        <f aca="false">'🤖 Llama-3.1-70b-instruct'!F27</f>
        <v>1</v>
      </c>
      <c r="F852" s="182" t="n">
        <f aca="false">'🤖 Llama-3.1-70b-instruct'!G27</f>
        <v>1</v>
      </c>
      <c r="G852" s="182" t="n">
        <f aca="false">'🤖 Llama-3.1-70b-instruct'!H27</f>
        <v>5</v>
      </c>
      <c r="H852" s="182" t="n">
        <f aca="false">'🤖 Llama-3.1-70b-instruct'!I27</f>
        <v>3</v>
      </c>
      <c r="I852" s="182" t="n">
        <f aca="false">'🤖 Llama-3.1-70b-instruct'!J27</f>
        <v>1</v>
      </c>
    </row>
    <row r="853" customFormat="false" ht="15.75" hidden="false" customHeight="false" outlineLevel="0" collapsed="false">
      <c r="A853" s="116" t="str">
        <f aca="false">'🤖 Llama-3.1-70b-instruct'!$A$27</f>
        <v>https://www.berria.eus/mundua/gutxienez-40-hildako-eta-dozenaka-zauritu-moskun-gertatutako-tiroketa-batean_2122731_102.html</v>
      </c>
      <c r="B853" s="8" t="s">
        <v>24</v>
      </c>
      <c r="C853" s="5" t="str">
        <f aca="false">'🤖 Llama-3.1-70b-instruct'!C28</f>
        <v>CoT</v>
      </c>
      <c r="D853" s="140" t="n">
        <f aca="false">'🤖 Llama-3.1-70b-instruct'!E28</f>
        <v>0.07038123167</v>
      </c>
      <c r="E853" s="182" t="n">
        <f aca="false">'🤖 Llama-3.1-70b-instruct'!F28</f>
        <v>4</v>
      </c>
      <c r="F853" s="182" t="n">
        <f aca="false">'🤖 Llama-3.1-70b-instruct'!G28</f>
        <v>5</v>
      </c>
      <c r="G853" s="182" t="n">
        <f aca="false">'🤖 Llama-3.1-70b-instruct'!H28</f>
        <v>4</v>
      </c>
      <c r="H853" s="182" t="n">
        <f aca="false">'🤖 Llama-3.1-70b-instruct'!I28</f>
        <v>5</v>
      </c>
      <c r="I853" s="182" t="n">
        <f aca="false">'🤖 Llama-3.1-70b-instruct'!J28</f>
        <v>3</v>
      </c>
    </row>
    <row r="854" customFormat="false" ht="15.75" hidden="false" customHeight="false" outlineLevel="0" collapsed="false">
      <c r="A854" s="116" t="str">
        <f aca="false">'🤖 Llama-3.1-70b-instruct'!$A$27</f>
        <v>https://www.berria.eus/mundua/gutxienez-40-hildako-eta-dozenaka-zauritu-moskun-gertatutako-tiroketa-batean_2122731_102.html</v>
      </c>
      <c r="B854" s="8" t="s">
        <v>24</v>
      </c>
      <c r="C854" s="5" t="str">
        <f aca="false">'🤖 Llama-3.1-70b-instruct'!C29</f>
        <v>5W1H</v>
      </c>
      <c r="D854" s="180" t="n">
        <f aca="false">'🤖 Llama-3.1-70b-instruct'!E29</f>
        <v>0.2609970674</v>
      </c>
      <c r="E854" s="182" t="n">
        <f aca="false">'🤖 Llama-3.1-70b-instruct'!F29</f>
        <v>2</v>
      </c>
      <c r="F854" s="182" t="n">
        <f aca="false">'🤖 Llama-3.1-70b-instruct'!G29</f>
        <v>5</v>
      </c>
      <c r="G854" s="182" t="n">
        <f aca="false">'🤖 Llama-3.1-70b-instruct'!H29</f>
        <v>4</v>
      </c>
      <c r="H854" s="182" t="n">
        <f aca="false">'🤖 Llama-3.1-70b-instruct'!I29</f>
        <v>4</v>
      </c>
      <c r="I854" s="182" t="n">
        <f aca="false">'🤖 Llama-3.1-70b-instruct'!J29</f>
        <v>5</v>
      </c>
    </row>
    <row r="855" customFormat="false" ht="15.75" hidden="false" customHeight="false" outlineLevel="0" collapsed="false">
      <c r="A855" s="116" t="str">
        <f aca="false">'🤖 Llama-3.1-70b-instruct'!$A$27</f>
        <v>https://www.berria.eus/mundua/gutxienez-40-hildako-eta-dozenaka-zauritu-moskun-gertatutako-tiroketa-batean_2122731_102.html</v>
      </c>
      <c r="B855" s="8" t="s">
        <v>24</v>
      </c>
      <c r="C855" s="5" t="str">
        <f aca="false">'🤖 Llama-3.1-70b-instruct'!C30</f>
        <v>tldr</v>
      </c>
      <c r="D855" s="179" t="n">
        <f aca="false">'🤖 Llama-3.1-70b-instruct'!E30</f>
        <v>0.1202346041</v>
      </c>
      <c r="E855" s="182" t="n">
        <f aca="false">'🤖 Llama-3.1-70b-instruct'!F30</f>
        <v>4</v>
      </c>
      <c r="F855" s="182" t="n">
        <f aca="false">'🤖 Llama-3.1-70b-instruct'!G30</f>
        <v>5</v>
      </c>
      <c r="G855" s="182" t="n">
        <f aca="false">'🤖 Llama-3.1-70b-instruct'!H30</f>
        <v>4</v>
      </c>
      <c r="H855" s="182" t="n">
        <f aca="false">'🤖 Llama-3.1-70b-instruct'!I30</f>
        <v>5</v>
      </c>
      <c r="I855" s="182" t="n">
        <f aca="false">'🤖 Llama-3.1-70b-instruct'!J30</f>
        <v>4</v>
      </c>
    </row>
    <row r="856" customFormat="false" ht="15.75" hidden="false" customHeight="false" outlineLevel="0" collapsed="false">
      <c r="A856" s="8"/>
      <c r="B856" s="8"/>
      <c r="C856" s="50"/>
      <c r="D856" s="8"/>
      <c r="E856" s="8"/>
      <c r="F856" s="8"/>
      <c r="G856" s="8"/>
      <c r="H856" s="8"/>
      <c r="I856" s="8"/>
    </row>
    <row r="857" customFormat="false" ht="15.75" hidden="false" customHeight="false" outlineLevel="0" collapsed="false">
      <c r="A857" s="116" t="str">
        <f aca="false">'🤖 Llama-3.1-70b-instruct'!$A$32</f>
        <v>https://www.berria.eus/bizigiro/ohartu-behar-dugu-bizi-garen-jendartea-dominazioaren-kultura-batean-oinarritzen-dela_2121952_102.html</v>
      </c>
      <c r="B857" s="8" t="s">
        <v>24</v>
      </c>
      <c r="C857" s="5" t="str">
        <f aca="false">'🤖 Llama-3.1-70b-instruct'!C32</f>
        <v>Base</v>
      </c>
      <c r="D857" s="140" t="n">
        <f aca="false">'🤖 Llama-3.1-70b-instruct'!E32</f>
        <v>0.1638225256</v>
      </c>
      <c r="E857" s="182" t="n">
        <f aca="false">'🤖 Llama-3.1-70b-instruct'!F32</f>
        <v>4</v>
      </c>
      <c r="F857" s="182" t="n">
        <f aca="false">'🤖 Llama-3.1-70b-instruct'!G32</f>
        <v>4</v>
      </c>
      <c r="G857" s="182" t="n">
        <f aca="false">'🤖 Llama-3.1-70b-instruct'!H32</f>
        <v>4</v>
      </c>
      <c r="H857" s="182" t="n">
        <f aca="false">'🤖 Llama-3.1-70b-instruct'!I32</f>
        <v>5</v>
      </c>
      <c r="I857" s="182" t="n">
        <f aca="false">'🤖 Llama-3.1-70b-instruct'!J32</f>
        <v>4</v>
      </c>
    </row>
    <row r="858" customFormat="false" ht="15.75" hidden="false" customHeight="false" outlineLevel="0" collapsed="false">
      <c r="A858" s="116" t="str">
        <f aca="false">'🤖 Llama-3.1-70b-instruct'!$A$32</f>
        <v>https://www.berria.eus/bizigiro/ohartu-behar-dugu-bizi-garen-jendartea-dominazioaren-kultura-batean-oinarritzen-dela_2121952_102.html</v>
      </c>
      <c r="B858" s="8" t="s">
        <v>24</v>
      </c>
      <c r="C858" s="5" t="str">
        <f aca="false">'🤖 Llama-3.1-70b-instruct'!C33</f>
        <v>CoT</v>
      </c>
      <c r="D858" s="186" t="n">
        <f aca="false">'🤖 Llama-3.1-70b-instruct'!E33</f>
        <v>0.1638225256</v>
      </c>
      <c r="E858" s="182" t="n">
        <f aca="false">'🤖 Llama-3.1-70b-instruct'!F33</f>
        <v>3</v>
      </c>
      <c r="F858" s="182" t="n">
        <f aca="false">'🤖 Llama-3.1-70b-instruct'!G33</f>
        <v>4</v>
      </c>
      <c r="G858" s="182" t="n">
        <f aca="false">'🤖 Llama-3.1-70b-instruct'!H33</f>
        <v>4</v>
      </c>
      <c r="H858" s="182" t="n">
        <f aca="false">'🤖 Llama-3.1-70b-instruct'!I33</f>
        <v>4</v>
      </c>
      <c r="I858" s="182" t="n">
        <f aca="false">'🤖 Llama-3.1-70b-instruct'!J33</f>
        <v>3</v>
      </c>
    </row>
    <row r="859" customFormat="false" ht="15.75" hidden="false" customHeight="false" outlineLevel="0" collapsed="false">
      <c r="A859" s="116" t="str">
        <f aca="false">'🤖 Llama-3.1-70b-instruct'!$A$32</f>
        <v>https://www.berria.eus/bizigiro/ohartu-behar-dugu-bizi-garen-jendartea-dominazioaren-kultura-batean-oinarritzen-dela_2121952_102.html</v>
      </c>
      <c r="B859" s="8" t="s">
        <v>24</v>
      </c>
      <c r="C859" s="5" t="str">
        <f aca="false">'🤖 Llama-3.1-70b-instruct'!C34</f>
        <v>5W1H</v>
      </c>
      <c r="D859" s="187" t="n">
        <f aca="false">'🤖 Llama-3.1-70b-instruct'!E34</f>
        <v>0.1774744027</v>
      </c>
      <c r="E859" s="182" t="n">
        <f aca="false">'🤖 Llama-3.1-70b-instruct'!F34</f>
        <v>2</v>
      </c>
      <c r="F859" s="182" t="n">
        <f aca="false">'🤖 Llama-3.1-70b-instruct'!G34</f>
        <v>4</v>
      </c>
      <c r="G859" s="182" t="n">
        <f aca="false">'🤖 Llama-3.1-70b-instruct'!H34</f>
        <v>4</v>
      </c>
      <c r="H859" s="182" t="n">
        <f aca="false">'🤖 Llama-3.1-70b-instruct'!I34</f>
        <v>5</v>
      </c>
      <c r="I859" s="182" t="n">
        <f aca="false">'🤖 Llama-3.1-70b-instruct'!J34</f>
        <v>5</v>
      </c>
    </row>
    <row r="860" customFormat="false" ht="15.75" hidden="false" customHeight="false" outlineLevel="0" collapsed="false">
      <c r="A860" s="116" t="str">
        <f aca="false">'🤖 Llama-3.1-70b-instruct'!$A$32</f>
        <v>https://www.berria.eus/bizigiro/ohartu-behar-dugu-bizi-garen-jendartea-dominazioaren-kultura-batean-oinarritzen-dela_2121952_102.html</v>
      </c>
      <c r="B860" s="8" t="s">
        <v>24</v>
      </c>
      <c r="C860" s="5" t="str">
        <f aca="false">'🤖 Llama-3.1-70b-instruct'!C35</f>
        <v>tldr</v>
      </c>
      <c r="D860" s="162" t="n">
        <f aca="false">'🤖 Llama-3.1-70b-instruct'!E35</f>
        <v>0.1006825939</v>
      </c>
      <c r="E860" s="182" t="n">
        <f aca="false">'🤖 Llama-3.1-70b-instruct'!F35</f>
        <v>5</v>
      </c>
      <c r="F860" s="182" t="n">
        <f aca="false">'🤖 Llama-3.1-70b-instruct'!G35</f>
        <v>5</v>
      </c>
      <c r="G860" s="182" t="n">
        <f aca="false">'🤖 Llama-3.1-70b-instruct'!H35</f>
        <v>4</v>
      </c>
      <c r="H860" s="182" t="n">
        <f aca="false">'🤖 Llama-3.1-70b-instruct'!I35</f>
        <v>5</v>
      </c>
      <c r="I860" s="182" t="n">
        <f aca="false">'🤖 Llama-3.1-70b-instruct'!J35</f>
        <v>3</v>
      </c>
    </row>
    <row r="861" customFormat="false" ht="15.75" hidden="false" customHeight="false" outlineLevel="0" collapsed="false">
      <c r="A861" s="8"/>
      <c r="B861" s="8"/>
      <c r="C861" s="50"/>
      <c r="D861" s="8"/>
      <c r="E861" s="8"/>
      <c r="F861" s="8"/>
      <c r="G861" s="8"/>
      <c r="H861" s="8"/>
      <c r="I861" s="8"/>
    </row>
    <row r="862" customFormat="false" ht="15.75" hidden="false" customHeight="false" outlineLevel="0" collapsed="false">
      <c r="A862" s="116" t="str">
        <f aca="false">'🤖 Llama-3.1-70b-instruct'!$A$37</f>
        <v>https://www.berria.eus/ekonomia/energiaren-euskal-erakundea-energia-konpainien-zergaren-aurka_234607_102.html</v>
      </c>
      <c r="B862" s="8" t="s">
        <v>24</v>
      </c>
      <c r="C862" s="5" t="str">
        <f aca="false">'🤖 Llama-3.1-70b-instruct'!C37</f>
        <v>Base</v>
      </c>
      <c r="D862" s="149" t="n">
        <f aca="false">'🤖 Llama-3.1-70b-instruct'!E37</f>
        <v>0.1474530831</v>
      </c>
      <c r="E862" s="182" t="n">
        <f aca="false">'🤖 Llama-3.1-70b-instruct'!F37</f>
        <v>5</v>
      </c>
      <c r="F862" s="182" t="n">
        <f aca="false">'🤖 Llama-3.1-70b-instruct'!G37</f>
        <v>4</v>
      </c>
      <c r="G862" s="182" t="n">
        <f aca="false">'🤖 Llama-3.1-70b-instruct'!H37</f>
        <v>4</v>
      </c>
      <c r="H862" s="182" t="n">
        <f aca="false">'🤖 Llama-3.1-70b-instruct'!I37</f>
        <v>4</v>
      </c>
      <c r="I862" s="182" t="n">
        <f aca="false">'🤖 Llama-3.1-70b-instruct'!J37</f>
        <v>3</v>
      </c>
    </row>
    <row r="863" customFormat="false" ht="15.75" hidden="false" customHeight="false" outlineLevel="0" collapsed="false">
      <c r="A863" s="116" t="str">
        <f aca="false">'🤖 Llama-3.1-70b-instruct'!$A$37</f>
        <v>https://www.berria.eus/ekonomia/energiaren-euskal-erakundea-energia-konpainien-zergaren-aurka_234607_102.html</v>
      </c>
      <c r="B863" s="8" t="s">
        <v>24</v>
      </c>
      <c r="C863" s="5" t="str">
        <f aca="false">'🤖 Llama-3.1-70b-instruct'!C38</f>
        <v>CoT</v>
      </c>
      <c r="D863" s="188" t="n">
        <f aca="false">'🤖 Llama-3.1-70b-instruct'!E38</f>
        <v>0.2707774799</v>
      </c>
      <c r="E863" s="182" t="n">
        <f aca="false">'🤖 Llama-3.1-70b-instruct'!F38</f>
        <v>4</v>
      </c>
      <c r="F863" s="182" t="n">
        <f aca="false">'🤖 Llama-3.1-70b-instruct'!G38</f>
        <v>4</v>
      </c>
      <c r="G863" s="182" t="n">
        <f aca="false">'🤖 Llama-3.1-70b-instruct'!H38</f>
        <v>4</v>
      </c>
      <c r="H863" s="182" t="n">
        <f aca="false">'🤖 Llama-3.1-70b-instruct'!I38</f>
        <v>3</v>
      </c>
      <c r="I863" s="182" t="n">
        <f aca="false">'🤖 Llama-3.1-70b-instruct'!J38</f>
        <v>3</v>
      </c>
    </row>
    <row r="864" customFormat="false" ht="15.75" hidden="false" customHeight="false" outlineLevel="0" collapsed="false">
      <c r="A864" s="116" t="str">
        <f aca="false">'🤖 Llama-3.1-70b-instruct'!$A$37</f>
        <v>https://www.berria.eus/ekonomia/energiaren-euskal-erakundea-energia-konpainien-zergaren-aurka_234607_102.html</v>
      </c>
      <c r="B864" s="8" t="s">
        <v>24</v>
      </c>
      <c r="C864" s="5" t="str">
        <f aca="false">'🤖 Llama-3.1-70b-instruct'!C39</f>
        <v>5W1H</v>
      </c>
      <c r="D864" s="128" t="n">
        <f aca="false">'🤖 Llama-3.1-70b-instruct'!E39</f>
        <v>0.3002680965</v>
      </c>
      <c r="E864" s="182" t="n">
        <f aca="false">'🤖 Llama-3.1-70b-instruct'!F39</f>
        <v>1</v>
      </c>
      <c r="F864" s="182" t="n">
        <f aca="false">'🤖 Llama-3.1-70b-instruct'!G39</f>
        <v>4</v>
      </c>
      <c r="G864" s="182" t="n">
        <f aca="false">'🤖 Llama-3.1-70b-instruct'!H39</f>
        <v>4</v>
      </c>
      <c r="H864" s="182" t="n">
        <f aca="false">'🤖 Llama-3.1-70b-instruct'!I39</f>
        <v>4</v>
      </c>
      <c r="I864" s="182" t="n">
        <f aca="false">'🤖 Llama-3.1-70b-instruct'!J39</f>
        <v>4</v>
      </c>
    </row>
    <row r="865" customFormat="false" ht="15.75" hidden="false" customHeight="false" outlineLevel="0" collapsed="false">
      <c r="A865" s="116" t="str">
        <f aca="false">'🤖 Llama-3.1-70b-instruct'!$A$37</f>
        <v>https://www.berria.eus/ekonomia/energiaren-euskal-erakundea-energia-konpainien-zergaren-aurka_234607_102.html</v>
      </c>
      <c r="B865" s="8" t="s">
        <v>24</v>
      </c>
      <c r="C865" s="5" t="str">
        <f aca="false">'🤖 Llama-3.1-70b-instruct'!C40</f>
        <v>tldr</v>
      </c>
      <c r="D865" s="160" t="n">
        <f aca="false">'🤖 Llama-3.1-70b-instruct'!E40</f>
        <v>0.1528150134</v>
      </c>
      <c r="E865" s="182" t="n">
        <f aca="false">'🤖 Llama-3.1-70b-instruct'!F40</f>
        <v>5</v>
      </c>
      <c r="F865" s="182" t="n">
        <f aca="false">'🤖 Llama-3.1-70b-instruct'!G40</f>
        <v>5</v>
      </c>
      <c r="G865" s="182" t="n">
        <f aca="false">'🤖 Llama-3.1-70b-instruct'!H40</f>
        <v>5</v>
      </c>
      <c r="H865" s="182" t="n">
        <f aca="false">'🤖 Llama-3.1-70b-instruct'!I40</f>
        <v>5</v>
      </c>
      <c r="I865" s="182" t="n">
        <f aca="false">'🤖 Llama-3.1-70b-instruct'!J40</f>
        <v>3</v>
      </c>
    </row>
    <row r="866" customFormat="false" ht="15.75" hidden="false" customHeight="false" outlineLevel="0" collapsed="false">
      <c r="A866" s="8"/>
      <c r="B866" s="8"/>
      <c r="C866" s="50"/>
      <c r="D866" s="8"/>
      <c r="E866" s="8"/>
      <c r="F866" s="8"/>
      <c r="G866" s="8"/>
      <c r="H866" s="8"/>
      <c r="I866" s="8"/>
    </row>
    <row r="867" customFormat="false" ht="15.75" hidden="false" customHeight="false" outlineLevel="0" collapsed="false">
      <c r="A867" s="116" t="str">
        <f aca="false">'🤖 Llama-3.1-70b-instruct'!$A$42</f>
        <v>https://www.berria.eus/kultura/benat-arrutik-irabazi-du-donostia-kultura-vii-poesia-lehiaketa_2122642_102.html</v>
      </c>
      <c r="B867" s="8" t="s">
        <v>24</v>
      </c>
      <c r="C867" s="5" t="str">
        <f aca="false">'🤖 Llama-3.1-70b-instruct'!C42</f>
        <v>Base</v>
      </c>
      <c r="D867" s="124" t="n">
        <f aca="false">'🤖 Llama-3.1-70b-instruct'!E42</f>
        <v>0.2971698113</v>
      </c>
      <c r="E867" s="182" t="n">
        <f aca="false">'🤖 Llama-3.1-70b-instruct'!F42</f>
        <v>5</v>
      </c>
      <c r="F867" s="182" t="n">
        <f aca="false">'🤖 Llama-3.1-70b-instruct'!G42</f>
        <v>5</v>
      </c>
      <c r="G867" s="182" t="n">
        <f aca="false">'🤖 Llama-3.1-70b-instruct'!H42</f>
        <v>5</v>
      </c>
      <c r="H867" s="182" t="n">
        <f aca="false">'🤖 Llama-3.1-70b-instruct'!I42</f>
        <v>4</v>
      </c>
      <c r="I867" s="182" t="n">
        <f aca="false">'🤖 Llama-3.1-70b-instruct'!J42</f>
        <v>4</v>
      </c>
    </row>
    <row r="868" customFormat="false" ht="15.75" hidden="false" customHeight="false" outlineLevel="0" collapsed="false">
      <c r="A868" s="116" t="str">
        <f aca="false">'🤖 Llama-3.1-70b-instruct'!$A$42</f>
        <v>https://www.berria.eus/kultura/benat-arrutik-irabazi-du-donostia-kultura-vii-poesia-lehiaketa_2122642_102.html</v>
      </c>
      <c r="B868" s="8" t="s">
        <v>24</v>
      </c>
      <c r="C868" s="5" t="str">
        <f aca="false">'🤖 Llama-3.1-70b-instruct'!C43</f>
        <v>CoT</v>
      </c>
      <c r="D868" s="124" t="n">
        <f aca="false">'🤖 Llama-3.1-70b-instruct'!E43</f>
        <v>0.2547169811</v>
      </c>
      <c r="E868" s="182" t="n">
        <f aca="false">'🤖 Llama-3.1-70b-instruct'!F43</f>
        <v>4</v>
      </c>
      <c r="F868" s="182" t="n">
        <f aca="false">'🤖 Llama-3.1-70b-instruct'!G43</f>
        <v>5</v>
      </c>
      <c r="G868" s="182" t="n">
        <f aca="false">'🤖 Llama-3.1-70b-instruct'!H43</f>
        <v>5</v>
      </c>
      <c r="H868" s="182" t="n">
        <f aca="false">'🤖 Llama-3.1-70b-instruct'!I43</f>
        <v>4</v>
      </c>
      <c r="I868" s="182" t="n">
        <f aca="false">'🤖 Llama-3.1-70b-instruct'!J43</f>
        <v>4</v>
      </c>
    </row>
    <row r="869" customFormat="false" ht="15.75" hidden="false" customHeight="false" outlineLevel="0" collapsed="false">
      <c r="A869" s="116" t="str">
        <f aca="false">'🤖 Llama-3.1-70b-instruct'!$A$42</f>
        <v>https://www.berria.eus/kultura/benat-arrutik-irabazi-du-donostia-kultura-vii-poesia-lehiaketa_2122642_102.html</v>
      </c>
      <c r="B869" s="8" t="s">
        <v>24</v>
      </c>
      <c r="C869" s="5" t="str">
        <f aca="false">'🤖 Llama-3.1-70b-instruct'!C44</f>
        <v>5W1H</v>
      </c>
      <c r="D869" s="179" t="n">
        <f aca="false">'🤖 Llama-3.1-70b-instruct'!E44</f>
        <v>0.4198113208</v>
      </c>
      <c r="E869" s="182" t="n">
        <f aca="false">'🤖 Llama-3.1-70b-instruct'!F44</f>
        <v>3</v>
      </c>
      <c r="F869" s="182" t="n">
        <f aca="false">'🤖 Llama-3.1-70b-instruct'!G44</f>
        <v>4</v>
      </c>
      <c r="G869" s="182" t="n">
        <f aca="false">'🤖 Llama-3.1-70b-instruct'!H44</f>
        <v>5</v>
      </c>
      <c r="H869" s="182" t="n">
        <f aca="false">'🤖 Llama-3.1-70b-instruct'!I44</f>
        <v>4</v>
      </c>
      <c r="I869" s="182" t="n">
        <f aca="false">'🤖 Llama-3.1-70b-instruct'!J44</f>
        <v>4</v>
      </c>
    </row>
    <row r="870" customFormat="false" ht="15.75" hidden="false" customHeight="false" outlineLevel="0" collapsed="false">
      <c r="A870" s="116" t="str">
        <f aca="false">'🤖 Llama-3.1-70b-instruct'!$A$42</f>
        <v>https://www.berria.eus/kultura/benat-arrutik-irabazi-du-donostia-kultura-vii-poesia-lehiaketa_2122642_102.html</v>
      </c>
      <c r="B870" s="8" t="s">
        <v>24</v>
      </c>
      <c r="C870" s="5" t="str">
        <f aca="false">'🤖 Llama-3.1-70b-instruct'!C45</f>
        <v>tldr</v>
      </c>
      <c r="D870" s="142" t="n">
        <f aca="false">'🤖 Llama-3.1-70b-instruct'!E45</f>
        <v>0.2075471698</v>
      </c>
      <c r="E870" s="182" t="n">
        <f aca="false">'🤖 Llama-3.1-70b-instruct'!F45</f>
        <v>5</v>
      </c>
      <c r="F870" s="182" t="n">
        <f aca="false">'🤖 Llama-3.1-70b-instruct'!G45</f>
        <v>5</v>
      </c>
      <c r="G870" s="182" t="n">
        <f aca="false">'🤖 Llama-3.1-70b-instruct'!H45</f>
        <v>5</v>
      </c>
      <c r="H870" s="182" t="n">
        <f aca="false">'🤖 Llama-3.1-70b-instruct'!I45</f>
        <v>5</v>
      </c>
      <c r="I870" s="182" t="n">
        <f aca="false">'🤖 Llama-3.1-70b-instruct'!J45</f>
        <v>5</v>
      </c>
    </row>
    <row r="871" customFormat="false" ht="15.75" hidden="false" customHeight="false" outlineLevel="0" collapsed="false">
      <c r="A871" s="8"/>
      <c r="B871" s="8"/>
      <c r="C871" s="50"/>
      <c r="D871" s="8"/>
      <c r="E871" s="8"/>
      <c r="F871" s="8"/>
      <c r="G871" s="8"/>
      <c r="H871" s="8"/>
      <c r="I871" s="8"/>
    </row>
    <row r="872" customFormat="false" ht="15.75" hidden="false" customHeight="false" outlineLevel="0" collapsed="false">
      <c r="A872" s="116" t="str">
        <f aca="false">'🤖 Llama-3.1-70b-instruct'!$A$47</f>
        <v>https://www.berria.eus/mundua/aleksei-navalni-hil-da_2120844_102.html</v>
      </c>
      <c r="B872" s="8" t="s">
        <v>24</v>
      </c>
      <c r="C872" s="5" t="str">
        <f aca="false">'🤖 Llama-3.1-70b-instruct'!C47</f>
        <v>Base</v>
      </c>
      <c r="D872" s="126" t="n">
        <f aca="false">'🤖 Llama-3.1-70b-instruct'!E47</f>
        <v>0.1577669903</v>
      </c>
      <c r="E872" s="182" t="n">
        <f aca="false">'🤖 Llama-3.1-70b-instruct'!F47</f>
        <v>4</v>
      </c>
      <c r="F872" s="182" t="n">
        <f aca="false">'🤖 Llama-3.1-70b-instruct'!G47</f>
        <v>4</v>
      </c>
      <c r="G872" s="182" t="n">
        <f aca="false">'🤖 Llama-3.1-70b-instruct'!H47</f>
        <v>4</v>
      </c>
      <c r="H872" s="182" t="n">
        <f aca="false">'🤖 Llama-3.1-70b-instruct'!I47</f>
        <v>4</v>
      </c>
      <c r="I872" s="182" t="n">
        <f aca="false">'🤖 Llama-3.1-70b-instruct'!J47</f>
        <v>4</v>
      </c>
    </row>
    <row r="873" customFormat="false" ht="15.75" hidden="false" customHeight="false" outlineLevel="0" collapsed="false">
      <c r="A873" s="116" t="str">
        <f aca="false">'🤖 Llama-3.1-70b-instruct'!$A$47</f>
        <v>https://www.berria.eus/mundua/aleksei-navalni-hil-da_2120844_102.html</v>
      </c>
      <c r="B873" s="8" t="s">
        <v>24</v>
      </c>
      <c r="C873" s="5" t="str">
        <f aca="false">'🤖 Llama-3.1-70b-instruct'!C48</f>
        <v>CoT</v>
      </c>
      <c r="D873" s="160" t="n">
        <f aca="false">'🤖 Llama-3.1-70b-instruct'!E48</f>
        <v>0.05339805825</v>
      </c>
      <c r="E873" s="182" t="n">
        <f aca="false">'🤖 Llama-3.1-70b-instruct'!F48</f>
        <v>3</v>
      </c>
      <c r="F873" s="182" t="n">
        <f aca="false">'🤖 Llama-3.1-70b-instruct'!G48</f>
        <v>5</v>
      </c>
      <c r="G873" s="182" t="n">
        <f aca="false">'🤖 Llama-3.1-70b-instruct'!H48</f>
        <v>5</v>
      </c>
      <c r="H873" s="182" t="n">
        <f aca="false">'🤖 Llama-3.1-70b-instruct'!I48</f>
        <v>4</v>
      </c>
      <c r="I873" s="182" t="n">
        <f aca="false">'🤖 Llama-3.1-70b-instruct'!J48</f>
        <v>3</v>
      </c>
    </row>
    <row r="874" customFormat="false" ht="15.75" hidden="false" customHeight="false" outlineLevel="0" collapsed="false">
      <c r="A874" s="116" t="str">
        <f aca="false">'🤖 Llama-3.1-70b-instruct'!$A$47</f>
        <v>https://www.berria.eus/mundua/aleksei-navalni-hil-da_2120844_102.html</v>
      </c>
      <c r="B874" s="8" t="s">
        <v>24</v>
      </c>
      <c r="C874" s="5" t="str">
        <f aca="false">'🤖 Llama-3.1-70b-instruct'!C49</f>
        <v>5W1H</v>
      </c>
      <c r="D874" s="141" t="n">
        <f aca="false">'🤖 Llama-3.1-70b-instruct'!E49</f>
        <v>0.2572815534</v>
      </c>
      <c r="E874" s="182" t="n">
        <f aca="false">'🤖 Llama-3.1-70b-instruct'!F49</f>
        <v>3</v>
      </c>
      <c r="F874" s="182" t="n">
        <f aca="false">'🤖 Llama-3.1-70b-instruct'!G49</f>
        <v>4</v>
      </c>
      <c r="G874" s="182" t="n">
        <f aca="false">'🤖 Llama-3.1-70b-instruct'!H49</f>
        <v>5</v>
      </c>
      <c r="H874" s="182" t="n">
        <f aca="false">'🤖 Llama-3.1-70b-instruct'!I49</f>
        <v>4</v>
      </c>
      <c r="I874" s="182" t="n">
        <f aca="false">'🤖 Llama-3.1-70b-instruct'!J49</f>
        <v>5</v>
      </c>
    </row>
    <row r="875" customFormat="false" ht="15.75" hidden="false" customHeight="false" outlineLevel="0" collapsed="false">
      <c r="A875" s="116" t="str">
        <f aca="false">'🤖 Llama-3.1-70b-instruct'!$A$47</f>
        <v>https://www.berria.eus/mundua/aleksei-navalni-hil-da_2120844_102.html</v>
      </c>
      <c r="B875" s="8" t="s">
        <v>24</v>
      </c>
      <c r="C875" s="5" t="str">
        <f aca="false">'🤖 Llama-3.1-70b-instruct'!C50</f>
        <v>tldr</v>
      </c>
      <c r="D875" s="143" t="n">
        <f aca="false">'🤖 Llama-3.1-70b-instruct'!E50</f>
        <v>0.109223301</v>
      </c>
      <c r="E875" s="182" t="n">
        <f aca="false">'🤖 Llama-3.1-70b-instruct'!F50</f>
        <v>3</v>
      </c>
      <c r="F875" s="182" t="n">
        <f aca="false">'🤖 Llama-3.1-70b-instruct'!G50</f>
        <v>5</v>
      </c>
      <c r="G875" s="182" t="n">
        <f aca="false">'🤖 Llama-3.1-70b-instruct'!H50</f>
        <v>5</v>
      </c>
      <c r="H875" s="182" t="n">
        <f aca="false">'🤖 Llama-3.1-70b-instruct'!I50</f>
        <v>5</v>
      </c>
      <c r="I875" s="182" t="n">
        <f aca="false">'🤖 Llama-3.1-70b-instruct'!J50</f>
        <v>4</v>
      </c>
    </row>
    <row r="876" customFormat="false" ht="15.75" hidden="false" customHeight="false" outlineLevel="0" collapsed="false">
      <c r="A876" s="116"/>
      <c r="B876" s="8"/>
      <c r="C876" s="5"/>
      <c r="D876" s="143"/>
      <c r="E876" s="3"/>
      <c r="F876" s="3"/>
      <c r="G876" s="3"/>
      <c r="H876" s="3"/>
      <c r="I876" s="3"/>
    </row>
    <row r="877" customFormat="false" ht="15.75" hidden="false" customHeight="false" outlineLevel="0" collapsed="false">
      <c r="A877" s="116" t="n">
        <f aca="false">'🤖 Llama-3.1-70b-instruct'!$A$52</f>
        <v>0</v>
      </c>
      <c r="B877" s="8" t="s">
        <v>24</v>
      </c>
      <c r="C877" s="5" t="str">
        <f aca="false">'🤖 Llama-3.1-70b-instruct'!C52</f>
        <v>Base</v>
      </c>
      <c r="D877" s="143" t="n">
        <f aca="false">'🤖 Llama-3.1-70b-instruct'!E52</f>
        <v>0.002427184466</v>
      </c>
      <c r="E877" s="182" t="n">
        <f aca="false">'🤖 Llama-3.1-70b-instruct'!F52</f>
        <v>0</v>
      </c>
      <c r="F877" s="182" t="n">
        <f aca="false">'🤖 Llama-3.1-70b-instruct'!G52</f>
        <v>0</v>
      </c>
      <c r="G877" s="182" t="n">
        <f aca="false">'🤖 Llama-3.1-70b-instruct'!H52</f>
        <v>0</v>
      </c>
      <c r="H877" s="182" t="n">
        <f aca="false">'🤖 Llama-3.1-70b-instruct'!I52</f>
        <v>0</v>
      </c>
      <c r="I877" s="182" t="n">
        <f aca="false">'🤖 Llama-3.1-70b-instruct'!J52</f>
        <v>0</v>
      </c>
    </row>
    <row r="878" customFormat="false" ht="15.75" hidden="false" customHeight="false" outlineLevel="0" collapsed="false">
      <c r="A878" s="116" t="n">
        <f aca="false">'🤖 Llama-3.1-70b-instruct'!$A$52</f>
        <v>0</v>
      </c>
      <c r="B878" s="8" t="s">
        <v>24</v>
      </c>
      <c r="C878" s="5" t="str">
        <f aca="false">'🤖 Llama-3.1-70b-instruct'!C53</f>
        <v>CoT</v>
      </c>
      <c r="D878" s="143" t="n">
        <f aca="false">'🤖 Llama-3.1-70b-instruct'!E53</f>
        <v>0.002427184466</v>
      </c>
      <c r="E878" s="182" t="n">
        <f aca="false">'🤖 Llama-3.1-70b-instruct'!F53</f>
        <v>0</v>
      </c>
      <c r="F878" s="182" t="n">
        <f aca="false">'🤖 Llama-3.1-70b-instruct'!G53</f>
        <v>0</v>
      </c>
      <c r="G878" s="182" t="n">
        <f aca="false">'🤖 Llama-3.1-70b-instruct'!H53</f>
        <v>0</v>
      </c>
      <c r="H878" s="182" t="n">
        <f aca="false">'🤖 Llama-3.1-70b-instruct'!I53</f>
        <v>0</v>
      </c>
      <c r="I878" s="182" t="n">
        <f aca="false">'🤖 Llama-3.1-70b-instruct'!J53</f>
        <v>0</v>
      </c>
    </row>
    <row r="879" customFormat="false" ht="15.75" hidden="false" customHeight="false" outlineLevel="0" collapsed="false">
      <c r="A879" s="116" t="n">
        <f aca="false">'🤖 Llama-3.1-70b-instruct'!$A$52</f>
        <v>0</v>
      </c>
      <c r="B879" s="8" t="s">
        <v>24</v>
      </c>
      <c r="C879" s="5" t="str">
        <f aca="false">'🤖 Llama-3.1-70b-instruct'!C54</f>
        <v>5W1H</v>
      </c>
      <c r="D879" s="143" t="n">
        <f aca="false">'🤖 Llama-3.1-70b-instruct'!E54</f>
        <v>0.002427184466</v>
      </c>
      <c r="E879" s="182" t="n">
        <f aca="false">'🤖 Llama-3.1-70b-instruct'!F54</f>
        <v>0</v>
      </c>
      <c r="F879" s="182" t="n">
        <f aca="false">'🤖 Llama-3.1-70b-instruct'!G54</f>
        <v>0</v>
      </c>
      <c r="G879" s="182" t="n">
        <f aca="false">'🤖 Llama-3.1-70b-instruct'!H54</f>
        <v>0</v>
      </c>
      <c r="H879" s="182" t="n">
        <f aca="false">'🤖 Llama-3.1-70b-instruct'!I54</f>
        <v>0</v>
      </c>
      <c r="I879" s="182" t="n">
        <f aca="false">'🤖 Llama-3.1-70b-instruct'!J54</f>
        <v>0</v>
      </c>
    </row>
    <row r="880" customFormat="false" ht="15.75" hidden="false" customHeight="false" outlineLevel="0" collapsed="false">
      <c r="A880" s="116" t="n">
        <f aca="false">'🤖 Llama-3.1-70b-instruct'!$A$52</f>
        <v>0</v>
      </c>
      <c r="B880" s="8" t="s">
        <v>24</v>
      </c>
      <c r="C880" s="5" t="str">
        <f aca="false">'🤖 Llama-3.1-70b-instruct'!C55</f>
        <v>tldr</v>
      </c>
      <c r="D880" s="143" t="n">
        <f aca="false">'🤖 Llama-3.1-70b-instruct'!E55</f>
        <v>0.002427184466</v>
      </c>
      <c r="E880" s="182" t="n">
        <f aca="false">'🤖 Llama-3.1-70b-instruct'!F55</f>
        <v>0</v>
      </c>
      <c r="F880" s="182" t="n">
        <f aca="false">'🤖 Llama-3.1-70b-instruct'!G55</f>
        <v>0</v>
      </c>
      <c r="G880" s="182" t="n">
        <f aca="false">'🤖 Llama-3.1-70b-instruct'!H55</f>
        <v>0</v>
      </c>
      <c r="H880" s="182" t="n">
        <f aca="false">'🤖 Llama-3.1-70b-instruct'!I55</f>
        <v>0</v>
      </c>
      <c r="I880" s="182" t="n">
        <f aca="false">'🤖 Llama-3.1-70b-instruct'!J55</f>
        <v>0</v>
      </c>
    </row>
    <row r="881" customFormat="false" ht="15.75" hidden="false" customHeight="false" outlineLevel="0" collapsed="false">
      <c r="A881" s="116"/>
      <c r="B881" s="8"/>
      <c r="C881" s="5"/>
      <c r="D881" s="143"/>
      <c r="E881" s="3"/>
      <c r="F881" s="3"/>
      <c r="G881" s="3"/>
      <c r="H881" s="3"/>
      <c r="I881" s="3"/>
    </row>
    <row r="882" customFormat="false" ht="15.75" hidden="false" customHeight="false" outlineLevel="0" collapsed="false">
      <c r="A882" s="116" t="n">
        <f aca="false">'🤖 Llama-3.1-70b-instruct'!$A$57</f>
        <v>0</v>
      </c>
      <c r="B882" s="8" t="s">
        <v>24</v>
      </c>
      <c r="C882" s="5" t="str">
        <f aca="false">'🤖 Llama-3.1-70b-instruct'!C57</f>
        <v>Base</v>
      </c>
      <c r="D882" s="143" t="n">
        <f aca="false">'🤖 Llama-3.1-70b-instruct'!E57</f>
        <v>0.002427184466</v>
      </c>
      <c r="E882" s="182" t="n">
        <f aca="false">'🤖 Llama-3.1-70b-instruct'!F57</f>
        <v>0</v>
      </c>
      <c r="F882" s="182" t="n">
        <f aca="false">'🤖 Llama-3.1-70b-instruct'!G57</f>
        <v>0</v>
      </c>
      <c r="G882" s="182" t="n">
        <f aca="false">'🤖 Llama-3.1-70b-instruct'!H57</f>
        <v>0</v>
      </c>
      <c r="H882" s="182" t="n">
        <f aca="false">'🤖 Llama-3.1-70b-instruct'!I57</f>
        <v>0</v>
      </c>
      <c r="I882" s="182" t="n">
        <f aca="false">'🤖 Llama-3.1-70b-instruct'!J57</f>
        <v>0</v>
      </c>
    </row>
    <row r="883" customFormat="false" ht="15.75" hidden="false" customHeight="false" outlineLevel="0" collapsed="false">
      <c r="A883" s="116" t="n">
        <f aca="false">'🤖 Llama-3.1-70b-instruct'!$A$57</f>
        <v>0</v>
      </c>
      <c r="B883" s="8" t="s">
        <v>24</v>
      </c>
      <c r="C883" s="5" t="str">
        <f aca="false">'🤖 Llama-3.1-70b-instruct'!C58</f>
        <v>CoT</v>
      </c>
      <c r="D883" s="143" t="n">
        <f aca="false">'🤖 Llama-3.1-70b-instruct'!E58</f>
        <v>0.002427184466</v>
      </c>
      <c r="E883" s="182" t="n">
        <f aca="false">'🤖 Llama-3.1-70b-instruct'!F58</f>
        <v>0</v>
      </c>
      <c r="F883" s="182" t="n">
        <f aca="false">'🤖 Llama-3.1-70b-instruct'!G58</f>
        <v>0</v>
      </c>
      <c r="G883" s="182" t="n">
        <f aca="false">'🤖 Llama-3.1-70b-instruct'!H58</f>
        <v>0</v>
      </c>
      <c r="H883" s="182" t="n">
        <f aca="false">'🤖 Llama-3.1-70b-instruct'!I58</f>
        <v>0</v>
      </c>
      <c r="I883" s="182" t="n">
        <f aca="false">'🤖 Llama-3.1-70b-instruct'!J58</f>
        <v>0</v>
      </c>
    </row>
    <row r="884" customFormat="false" ht="15.75" hidden="false" customHeight="false" outlineLevel="0" collapsed="false">
      <c r="A884" s="116" t="n">
        <f aca="false">'🤖 Llama-3.1-70b-instruct'!$A$57</f>
        <v>0</v>
      </c>
      <c r="B884" s="8" t="s">
        <v>24</v>
      </c>
      <c r="C884" s="5" t="str">
        <f aca="false">'🤖 Llama-3.1-70b-instruct'!C59</f>
        <v>5W1H</v>
      </c>
      <c r="D884" s="143" t="n">
        <f aca="false">'🤖 Llama-3.1-70b-instruct'!E59</f>
        <v>0.002427184466</v>
      </c>
      <c r="E884" s="182" t="n">
        <f aca="false">'🤖 Llama-3.1-70b-instruct'!F59</f>
        <v>0</v>
      </c>
      <c r="F884" s="182" t="n">
        <f aca="false">'🤖 Llama-3.1-70b-instruct'!G59</f>
        <v>0</v>
      </c>
      <c r="G884" s="182" t="n">
        <f aca="false">'🤖 Llama-3.1-70b-instruct'!H59</f>
        <v>0</v>
      </c>
      <c r="H884" s="182" t="n">
        <f aca="false">'🤖 Llama-3.1-70b-instruct'!I59</f>
        <v>0</v>
      </c>
      <c r="I884" s="182" t="n">
        <f aca="false">'🤖 Llama-3.1-70b-instruct'!J59</f>
        <v>0</v>
      </c>
    </row>
    <row r="885" customFormat="false" ht="15.75" hidden="false" customHeight="false" outlineLevel="0" collapsed="false">
      <c r="A885" s="116" t="n">
        <f aca="false">'🤖 Llama-3.1-70b-instruct'!$A$57</f>
        <v>0</v>
      </c>
      <c r="B885" s="8" t="s">
        <v>24</v>
      </c>
      <c r="C885" s="5" t="str">
        <f aca="false">'🤖 Llama-3.1-70b-instruct'!C60</f>
        <v>tldr</v>
      </c>
      <c r="D885" s="143" t="n">
        <f aca="false">'🤖 Llama-3.1-70b-instruct'!E60</f>
        <v>0.002427184466</v>
      </c>
      <c r="E885" s="182" t="n">
        <f aca="false">'🤖 Llama-3.1-70b-instruct'!F60</f>
        <v>0</v>
      </c>
      <c r="F885" s="182" t="n">
        <f aca="false">'🤖 Llama-3.1-70b-instruct'!G60</f>
        <v>0</v>
      </c>
      <c r="G885" s="182" t="n">
        <f aca="false">'🤖 Llama-3.1-70b-instruct'!H60</f>
        <v>0</v>
      </c>
      <c r="H885" s="182" t="n">
        <f aca="false">'🤖 Llama-3.1-70b-instruct'!I60</f>
        <v>0</v>
      </c>
      <c r="I885" s="182" t="n">
        <f aca="false">'🤖 Llama-3.1-70b-instruct'!J60</f>
        <v>0</v>
      </c>
    </row>
    <row r="886" customFormat="false" ht="15.75" hidden="false" customHeight="false" outlineLevel="0" collapsed="false">
      <c r="A886" s="116"/>
      <c r="B886" s="8"/>
      <c r="C886" s="5"/>
      <c r="D886" s="143"/>
      <c r="E886" s="3"/>
      <c r="F886" s="3"/>
      <c r="G886" s="3"/>
      <c r="H886" s="3"/>
      <c r="I886" s="3"/>
    </row>
    <row r="887" customFormat="false" ht="15.75" hidden="false" customHeight="false" outlineLevel="0" collapsed="false">
      <c r="A887" s="116" t="n">
        <f aca="false">'🤖 Llama-3.1-70b-instruct'!$A$62</f>
        <v>0</v>
      </c>
      <c r="B887" s="8" t="s">
        <v>24</v>
      </c>
      <c r="C887" s="5" t="str">
        <f aca="false">'🤖 Llama-3.1-70b-instruct'!C62</f>
        <v>Base</v>
      </c>
      <c r="D887" s="143" t="n">
        <f aca="false">'🤖 Llama-3.1-70b-instruct'!E62</f>
        <v>0.002427184466</v>
      </c>
      <c r="E887" s="182" t="n">
        <f aca="false">'🤖 Llama-3.1-70b-instruct'!F62</f>
        <v>0</v>
      </c>
      <c r="F887" s="182" t="n">
        <f aca="false">'🤖 Llama-3.1-70b-instruct'!G62</f>
        <v>0</v>
      </c>
      <c r="G887" s="182" t="n">
        <f aca="false">'🤖 Llama-3.1-70b-instruct'!H62</f>
        <v>0</v>
      </c>
      <c r="H887" s="182" t="n">
        <f aca="false">'🤖 Llama-3.1-70b-instruct'!I62</f>
        <v>0</v>
      </c>
      <c r="I887" s="182" t="n">
        <f aca="false">'🤖 Llama-3.1-70b-instruct'!J62</f>
        <v>0</v>
      </c>
    </row>
    <row r="888" customFormat="false" ht="15.75" hidden="false" customHeight="false" outlineLevel="0" collapsed="false">
      <c r="A888" s="116" t="n">
        <f aca="false">'🤖 Llama-3.1-70b-instruct'!$A$62</f>
        <v>0</v>
      </c>
      <c r="B888" s="8" t="s">
        <v>24</v>
      </c>
      <c r="C888" s="5" t="str">
        <f aca="false">'🤖 Llama-3.1-70b-instruct'!C63</f>
        <v>CoT</v>
      </c>
      <c r="D888" s="143" t="n">
        <f aca="false">'🤖 Llama-3.1-70b-instruct'!E63</f>
        <v>0.002427184466</v>
      </c>
      <c r="E888" s="182" t="n">
        <f aca="false">'🤖 Llama-3.1-70b-instruct'!F63</f>
        <v>0</v>
      </c>
      <c r="F888" s="182" t="n">
        <f aca="false">'🤖 Llama-3.1-70b-instruct'!G63</f>
        <v>0</v>
      </c>
      <c r="G888" s="182" t="n">
        <f aca="false">'🤖 Llama-3.1-70b-instruct'!H63</f>
        <v>0</v>
      </c>
      <c r="H888" s="182" t="n">
        <f aca="false">'🤖 Llama-3.1-70b-instruct'!I63</f>
        <v>0</v>
      </c>
      <c r="I888" s="182" t="n">
        <f aca="false">'🤖 Llama-3.1-70b-instruct'!J63</f>
        <v>0</v>
      </c>
    </row>
    <row r="889" customFormat="false" ht="15.75" hidden="false" customHeight="false" outlineLevel="0" collapsed="false">
      <c r="A889" s="116" t="n">
        <f aca="false">'🤖 Llama-3.1-70b-instruct'!$A$62</f>
        <v>0</v>
      </c>
      <c r="B889" s="8" t="s">
        <v>24</v>
      </c>
      <c r="C889" s="5" t="str">
        <f aca="false">'🤖 Llama-3.1-70b-instruct'!C64</f>
        <v>5W1H</v>
      </c>
      <c r="D889" s="143" t="n">
        <f aca="false">'🤖 Llama-3.1-70b-instruct'!E64</f>
        <v>0.002427184466</v>
      </c>
      <c r="E889" s="182" t="n">
        <f aca="false">'🤖 Llama-3.1-70b-instruct'!F64</f>
        <v>0</v>
      </c>
      <c r="F889" s="182" t="n">
        <f aca="false">'🤖 Llama-3.1-70b-instruct'!G64</f>
        <v>0</v>
      </c>
      <c r="G889" s="182" t="n">
        <f aca="false">'🤖 Llama-3.1-70b-instruct'!H64</f>
        <v>0</v>
      </c>
      <c r="H889" s="182" t="n">
        <f aca="false">'🤖 Llama-3.1-70b-instruct'!I64</f>
        <v>0</v>
      </c>
      <c r="I889" s="182" t="n">
        <f aca="false">'🤖 Llama-3.1-70b-instruct'!J64</f>
        <v>0</v>
      </c>
    </row>
    <row r="890" customFormat="false" ht="15.75" hidden="false" customHeight="false" outlineLevel="0" collapsed="false">
      <c r="A890" s="116" t="n">
        <f aca="false">'🤖 Llama-3.1-70b-instruct'!$A$62</f>
        <v>0</v>
      </c>
      <c r="B890" s="8" t="s">
        <v>24</v>
      </c>
      <c r="C890" s="5" t="str">
        <f aca="false">'🤖 Llama-3.1-70b-instruct'!C65</f>
        <v>tldr</v>
      </c>
      <c r="D890" s="143" t="n">
        <f aca="false">'🤖 Llama-3.1-70b-instruct'!E65</f>
        <v>0.002427184466</v>
      </c>
      <c r="E890" s="182" t="n">
        <f aca="false">'🤖 Llama-3.1-70b-instruct'!F65</f>
        <v>0</v>
      </c>
      <c r="F890" s="182" t="n">
        <f aca="false">'🤖 Llama-3.1-70b-instruct'!G65</f>
        <v>0</v>
      </c>
      <c r="G890" s="182" t="n">
        <f aca="false">'🤖 Llama-3.1-70b-instruct'!H65</f>
        <v>0</v>
      </c>
      <c r="H890" s="182" t="n">
        <f aca="false">'🤖 Llama-3.1-70b-instruct'!I65</f>
        <v>0</v>
      </c>
      <c r="I890" s="182" t="n">
        <f aca="false">'🤖 Llama-3.1-70b-instruct'!J65</f>
        <v>0</v>
      </c>
    </row>
    <row r="891" customFormat="false" ht="15.75" hidden="false" customHeight="false" outlineLevel="0" collapsed="false">
      <c r="A891" s="116"/>
      <c r="B891" s="8"/>
      <c r="C891" s="5"/>
      <c r="D891" s="143"/>
      <c r="E891" s="3"/>
      <c r="F891" s="3"/>
      <c r="G891" s="3"/>
      <c r="H891" s="3"/>
      <c r="I891" s="3"/>
    </row>
    <row r="892" customFormat="false" ht="15.75" hidden="false" customHeight="false" outlineLevel="0" collapsed="false">
      <c r="A892" s="116" t="n">
        <f aca="false">'🤖 Llama-3.1-70b-instruct'!$A$67</f>
        <v>0</v>
      </c>
      <c r="B892" s="8" t="s">
        <v>24</v>
      </c>
      <c r="C892" s="5" t="str">
        <f aca="false">'🤖 Llama-3.1-70b-instruct'!C67</f>
        <v>Base</v>
      </c>
      <c r="D892" s="143" t="n">
        <f aca="false">'🤖 Llama-3.1-70b-instruct'!E67</f>
        <v>0.002427184466</v>
      </c>
      <c r="E892" s="182" t="n">
        <f aca="false">'🤖 Llama-3.1-70b-instruct'!F67</f>
        <v>0</v>
      </c>
      <c r="F892" s="182" t="n">
        <f aca="false">'🤖 Llama-3.1-70b-instruct'!G67</f>
        <v>0</v>
      </c>
      <c r="G892" s="182" t="n">
        <f aca="false">'🤖 Llama-3.1-70b-instruct'!H67</f>
        <v>0</v>
      </c>
      <c r="H892" s="182" t="n">
        <f aca="false">'🤖 Llama-3.1-70b-instruct'!I67</f>
        <v>0</v>
      </c>
      <c r="I892" s="182" t="n">
        <f aca="false">'🤖 Llama-3.1-70b-instruct'!J67</f>
        <v>0</v>
      </c>
    </row>
    <row r="893" customFormat="false" ht="15.75" hidden="false" customHeight="false" outlineLevel="0" collapsed="false">
      <c r="A893" s="116" t="n">
        <f aca="false">'🤖 Llama-3.1-70b-instruct'!$A$67</f>
        <v>0</v>
      </c>
      <c r="B893" s="8" t="s">
        <v>24</v>
      </c>
      <c r="C893" s="5" t="str">
        <f aca="false">'🤖 Llama-3.1-70b-instruct'!C68</f>
        <v>CoT</v>
      </c>
      <c r="D893" s="143" t="n">
        <f aca="false">'🤖 Llama-3.1-70b-instruct'!E68</f>
        <v>0.002427184466</v>
      </c>
      <c r="E893" s="182" t="n">
        <f aca="false">'🤖 Llama-3.1-70b-instruct'!F68</f>
        <v>0</v>
      </c>
      <c r="F893" s="182" t="n">
        <f aca="false">'🤖 Llama-3.1-70b-instruct'!G68</f>
        <v>0</v>
      </c>
      <c r="G893" s="182" t="n">
        <f aca="false">'🤖 Llama-3.1-70b-instruct'!H68</f>
        <v>0</v>
      </c>
      <c r="H893" s="182" t="n">
        <f aca="false">'🤖 Llama-3.1-70b-instruct'!I68</f>
        <v>0</v>
      </c>
      <c r="I893" s="182" t="n">
        <f aca="false">'🤖 Llama-3.1-70b-instruct'!J68</f>
        <v>0</v>
      </c>
    </row>
    <row r="894" customFormat="false" ht="15.75" hidden="false" customHeight="false" outlineLevel="0" collapsed="false">
      <c r="A894" s="116" t="n">
        <f aca="false">'🤖 Llama-3.1-70b-instruct'!$A$67</f>
        <v>0</v>
      </c>
      <c r="B894" s="8" t="s">
        <v>24</v>
      </c>
      <c r="C894" s="5" t="str">
        <f aca="false">'🤖 Llama-3.1-70b-instruct'!C69</f>
        <v>5W1H</v>
      </c>
      <c r="D894" s="143" t="n">
        <f aca="false">'🤖 Llama-3.1-70b-instruct'!E69</f>
        <v>0.002427184466</v>
      </c>
      <c r="E894" s="182" t="n">
        <f aca="false">'🤖 Llama-3.1-70b-instruct'!F69</f>
        <v>0</v>
      </c>
      <c r="F894" s="182" t="n">
        <f aca="false">'🤖 Llama-3.1-70b-instruct'!G69</f>
        <v>0</v>
      </c>
      <c r="G894" s="182" t="n">
        <f aca="false">'🤖 Llama-3.1-70b-instruct'!H69</f>
        <v>0</v>
      </c>
      <c r="H894" s="182" t="n">
        <f aca="false">'🤖 Llama-3.1-70b-instruct'!I69</f>
        <v>0</v>
      </c>
      <c r="I894" s="182" t="n">
        <f aca="false">'🤖 Llama-3.1-70b-instruct'!J69</f>
        <v>0</v>
      </c>
    </row>
    <row r="895" customFormat="false" ht="15.75" hidden="false" customHeight="false" outlineLevel="0" collapsed="false">
      <c r="A895" s="116" t="n">
        <f aca="false">'🤖 Llama-3.1-70b-instruct'!$A$67</f>
        <v>0</v>
      </c>
      <c r="B895" s="8" t="s">
        <v>24</v>
      </c>
      <c r="C895" s="5" t="str">
        <f aca="false">'🤖 Llama-3.1-70b-instruct'!C70</f>
        <v>tldr</v>
      </c>
      <c r="D895" s="143" t="n">
        <f aca="false">'🤖 Llama-3.1-70b-instruct'!E70</f>
        <v>0.002427184466</v>
      </c>
      <c r="E895" s="182" t="n">
        <f aca="false">'🤖 Llama-3.1-70b-instruct'!F70</f>
        <v>0</v>
      </c>
      <c r="F895" s="182" t="n">
        <f aca="false">'🤖 Llama-3.1-70b-instruct'!G70</f>
        <v>0</v>
      </c>
      <c r="G895" s="182" t="n">
        <f aca="false">'🤖 Llama-3.1-70b-instruct'!H70</f>
        <v>0</v>
      </c>
      <c r="H895" s="182" t="n">
        <f aca="false">'🤖 Llama-3.1-70b-instruct'!I70</f>
        <v>0</v>
      </c>
      <c r="I895" s="182" t="n">
        <f aca="false">'🤖 Llama-3.1-70b-instruct'!J70</f>
        <v>0</v>
      </c>
    </row>
    <row r="896" customFormat="false" ht="15.75" hidden="false" customHeight="false" outlineLevel="0" collapsed="false">
      <c r="A896" s="116"/>
      <c r="B896" s="8"/>
      <c r="C896" s="5"/>
      <c r="D896" s="143"/>
      <c r="E896" s="3"/>
      <c r="F896" s="3"/>
      <c r="G896" s="3"/>
      <c r="H896" s="3"/>
      <c r="I896" s="3"/>
    </row>
    <row r="897" customFormat="false" ht="15.75" hidden="false" customHeight="false" outlineLevel="0" collapsed="false">
      <c r="A897" s="116" t="n">
        <f aca="false">'🤖 Llama-3.1-70b-instruct'!$A$72</f>
        <v>0</v>
      </c>
      <c r="B897" s="8" t="s">
        <v>24</v>
      </c>
      <c r="C897" s="5" t="str">
        <f aca="false">'🤖 Llama-3.1-70b-instruct'!C72</f>
        <v>Base</v>
      </c>
      <c r="D897" s="143" t="n">
        <f aca="false">'🤖 Llama-3.1-70b-instruct'!E72</f>
        <v>0.002427184466</v>
      </c>
      <c r="E897" s="182" t="n">
        <f aca="false">'🤖 Llama-3.1-70b-instruct'!F72</f>
        <v>0</v>
      </c>
      <c r="F897" s="182" t="n">
        <f aca="false">'🤖 Llama-3.1-70b-instruct'!G72</f>
        <v>0</v>
      </c>
      <c r="G897" s="182" t="n">
        <f aca="false">'🤖 Llama-3.1-70b-instruct'!H72</f>
        <v>0</v>
      </c>
      <c r="H897" s="182" t="n">
        <f aca="false">'🤖 Llama-3.1-70b-instruct'!I72</f>
        <v>0</v>
      </c>
      <c r="I897" s="182" t="n">
        <f aca="false">'🤖 Llama-3.1-70b-instruct'!J72</f>
        <v>0</v>
      </c>
    </row>
    <row r="898" customFormat="false" ht="15.75" hidden="false" customHeight="false" outlineLevel="0" collapsed="false">
      <c r="A898" s="116" t="n">
        <f aca="false">'🤖 Llama-3.1-70b-instruct'!$A$72</f>
        <v>0</v>
      </c>
      <c r="B898" s="8" t="s">
        <v>24</v>
      </c>
      <c r="C898" s="5" t="str">
        <f aca="false">'🤖 Llama-3.1-70b-instruct'!C73</f>
        <v>CoT</v>
      </c>
      <c r="D898" s="143" t="n">
        <f aca="false">'🤖 Llama-3.1-70b-instruct'!E73</f>
        <v>0.002427184466</v>
      </c>
      <c r="E898" s="182" t="n">
        <f aca="false">'🤖 Llama-3.1-70b-instruct'!F73</f>
        <v>0</v>
      </c>
      <c r="F898" s="182" t="n">
        <f aca="false">'🤖 Llama-3.1-70b-instruct'!G73</f>
        <v>0</v>
      </c>
      <c r="G898" s="182" t="n">
        <f aca="false">'🤖 Llama-3.1-70b-instruct'!H73</f>
        <v>0</v>
      </c>
      <c r="H898" s="182" t="n">
        <f aca="false">'🤖 Llama-3.1-70b-instruct'!I73</f>
        <v>0</v>
      </c>
      <c r="I898" s="182" t="n">
        <f aca="false">'🤖 Llama-3.1-70b-instruct'!J73</f>
        <v>0</v>
      </c>
    </row>
    <row r="899" customFormat="false" ht="15.75" hidden="false" customHeight="false" outlineLevel="0" collapsed="false">
      <c r="A899" s="116" t="n">
        <f aca="false">'🤖 Llama-3.1-70b-instruct'!$A$72</f>
        <v>0</v>
      </c>
      <c r="B899" s="8" t="s">
        <v>24</v>
      </c>
      <c r="C899" s="5" t="str">
        <f aca="false">'🤖 Llama-3.1-70b-instruct'!C74</f>
        <v>5W1H</v>
      </c>
      <c r="D899" s="143" t="n">
        <f aca="false">'🤖 Llama-3.1-70b-instruct'!E74</f>
        <v>0.002427184466</v>
      </c>
      <c r="E899" s="182" t="n">
        <f aca="false">'🤖 Llama-3.1-70b-instruct'!F74</f>
        <v>0</v>
      </c>
      <c r="F899" s="182" t="n">
        <f aca="false">'🤖 Llama-3.1-70b-instruct'!G74</f>
        <v>0</v>
      </c>
      <c r="G899" s="182" t="n">
        <f aca="false">'🤖 Llama-3.1-70b-instruct'!H74</f>
        <v>0</v>
      </c>
      <c r="H899" s="182" t="n">
        <f aca="false">'🤖 Llama-3.1-70b-instruct'!I74</f>
        <v>0</v>
      </c>
      <c r="I899" s="182" t="n">
        <f aca="false">'🤖 Llama-3.1-70b-instruct'!J74</f>
        <v>0</v>
      </c>
    </row>
    <row r="900" customFormat="false" ht="15.75" hidden="false" customHeight="false" outlineLevel="0" collapsed="false">
      <c r="A900" s="116" t="n">
        <f aca="false">'🤖 Llama-3.1-70b-instruct'!$A$72</f>
        <v>0</v>
      </c>
      <c r="B900" s="8" t="s">
        <v>24</v>
      </c>
      <c r="C900" s="5" t="str">
        <f aca="false">'🤖 Llama-3.1-70b-instruct'!C75</f>
        <v>tldr</v>
      </c>
      <c r="D900" s="143" t="n">
        <f aca="false">'🤖 Llama-3.1-70b-instruct'!E75</f>
        <v>0.002427184466</v>
      </c>
      <c r="E900" s="182" t="n">
        <f aca="false">'🤖 Llama-3.1-70b-instruct'!F75</f>
        <v>0</v>
      </c>
      <c r="F900" s="182" t="n">
        <f aca="false">'🤖 Llama-3.1-70b-instruct'!G75</f>
        <v>0</v>
      </c>
      <c r="G900" s="182" t="n">
        <f aca="false">'🤖 Llama-3.1-70b-instruct'!H75</f>
        <v>0</v>
      </c>
      <c r="H900" s="182" t="n">
        <f aca="false">'🤖 Llama-3.1-70b-instruct'!I75</f>
        <v>0</v>
      </c>
      <c r="I900" s="182" t="n">
        <f aca="false">'🤖 Llama-3.1-70b-instruct'!J75</f>
        <v>0</v>
      </c>
    </row>
    <row r="901" customFormat="false" ht="15.75" hidden="false" customHeight="false" outlineLevel="0" collapsed="false">
      <c r="A901" s="116"/>
      <c r="B901" s="8"/>
      <c r="C901" s="5"/>
      <c r="D901" s="143"/>
      <c r="E901" s="3"/>
      <c r="F901" s="3"/>
      <c r="G901" s="3"/>
      <c r="H901" s="3"/>
      <c r="I901" s="3"/>
    </row>
    <row r="902" customFormat="false" ht="15.75" hidden="false" customHeight="false" outlineLevel="0" collapsed="false">
      <c r="A902" s="116" t="n">
        <f aca="false">'🤖 Llama-3.1-70b-instruct'!$A$77</f>
        <v>0</v>
      </c>
      <c r="B902" s="8" t="s">
        <v>24</v>
      </c>
      <c r="C902" s="5" t="str">
        <f aca="false">'🤖 Llama-3.1-70b-instruct'!C77</f>
        <v>Base</v>
      </c>
      <c r="D902" s="143" t="n">
        <f aca="false">'🤖 Llama-3.1-70b-instruct'!E77</f>
        <v>0.002427184466</v>
      </c>
      <c r="E902" s="182" t="n">
        <f aca="false">'🤖 Llama-3.1-70b-instruct'!F77</f>
        <v>0</v>
      </c>
      <c r="F902" s="182" t="n">
        <f aca="false">'🤖 Llama-3.1-70b-instruct'!G77</f>
        <v>0</v>
      </c>
      <c r="G902" s="182" t="n">
        <f aca="false">'🤖 Llama-3.1-70b-instruct'!H77</f>
        <v>0</v>
      </c>
      <c r="H902" s="182" t="n">
        <f aca="false">'🤖 Llama-3.1-70b-instruct'!I77</f>
        <v>0</v>
      </c>
      <c r="I902" s="182" t="n">
        <f aca="false">'🤖 Llama-3.1-70b-instruct'!J77</f>
        <v>0</v>
      </c>
    </row>
    <row r="903" customFormat="false" ht="15.75" hidden="false" customHeight="false" outlineLevel="0" collapsed="false">
      <c r="A903" s="116" t="n">
        <f aca="false">'🤖 Llama-3.1-70b-instruct'!$A$77</f>
        <v>0</v>
      </c>
      <c r="B903" s="8" t="s">
        <v>24</v>
      </c>
      <c r="C903" s="5" t="str">
        <f aca="false">'🤖 Llama-3.1-70b-instruct'!C78</f>
        <v>CoT</v>
      </c>
      <c r="D903" s="143" t="n">
        <f aca="false">'🤖 Llama-3.1-70b-instruct'!E78</f>
        <v>0.002427184466</v>
      </c>
      <c r="E903" s="182" t="n">
        <f aca="false">'🤖 Llama-3.1-70b-instruct'!F78</f>
        <v>0</v>
      </c>
      <c r="F903" s="182" t="n">
        <f aca="false">'🤖 Llama-3.1-70b-instruct'!G78</f>
        <v>0</v>
      </c>
      <c r="G903" s="182" t="n">
        <f aca="false">'🤖 Llama-3.1-70b-instruct'!H78</f>
        <v>0</v>
      </c>
      <c r="H903" s="182" t="n">
        <f aca="false">'🤖 Llama-3.1-70b-instruct'!I78</f>
        <v>0</v>
      </c>
      <c r="I903" s="182" t="n">
        <f aca="false">'🤖 Llama-3.1-70b-instruct'!J78</f>
        <v>0</v>
      </c>
    </row>
    <row r="904" customFormat="false" ht="15.75" hidden="false" customHeight="false" outlineLevel="0" collapsed="false">
      <c r="A904" s="116" t="n">
        <f aca="false">'🤖 Llama-3.1-70b-instruct'!$A$77</f>
        <v>0</v>
      </c>
      <c r="B904" s="8" t="s">
        <v>24</v>
      </c>
      <c r="C904" s="5" t="str">
        <f aca="false">'🤖 Llama-3.1-70b-instruct'!C79</f>
        <v>5W1H</v>
      </c>
      <c r="D904" s="143" t="n">
        <f aca="false">'🤖 Llama-3.1-70b-instruct'!E79</f>
        <v>0.002427184466</v>
      </c>
      <c r="E904" s="182" t="n">
        <f aca="false">'🤖 Llama-3.1-70b-instruct'!F79</f>
        <v>0</v>
      </c>
      <c r="F904" s="182" t="n">
        <f aca="false">'🤖 Llama-3.1-70b-instruct'!G79</f>
        <v>0</v>
      </c>
      <c r="G904" s="182" t="n">
        <f aca="false">'🤖 Llama-3.1-70b-instruct'!H79</f>
        <v>0</v>
      </c>
      <c r="H904" s="182" t="n">
        <f aca="false">'🤖 Llama-3.1-70b-instruct'!I79</f>
        <v>0</v>
      </c>
      <c r="I904" s="182" t="n">
        <f aca="false">'🤖 Llama-3.1-70b-instruct'!J79</f>
        <v>0</v>
      </c>
    </row>
    <row r="905" customFormat="false" ht="15.75" hidden="false" customHeight="false" outlineLevel="0" collapsed="false">
      <c r="A905" s="116" t="n">
        <f aca="false">'🤖 Llama-3.1-70b-instruct'!$A$77</f>
        <v>0</v>
      </c>
      <c r="B905" s="8" t="s">
        <v>24</v>
      </c>
      <c r="C905" s="5" t="str">
        <f aca="false">'🤖 Llama-3.1-70b-instruct'!C80</f>
        <v>tldr</v>
      </c>
      <c r="D905" s="143" t="n">
        <f aca="false">'🤖 Llama-3.1-70b-instruct'!E80</f>
        <v>0.002427184466</v>
      </c>
      <c r="E905" s="182" t="n">
        <f aca="false">'🤖 Llama-3.1-70b-instruct'!F80</f>
        <v>0</v>
      </c>
      <c r="F905" s="182" t="n">
        <f aca="false">'🤖 Llama-3.1-70b-instruct'!G80</f>
        <v>0</v>
      </c>
      <c r="G905" s="182" t="n">
        <f aca="false">'🤖 Llama-3.1-70b-instruct'!H80</f>
        <v>0</v>
      </c>
      <c r="H905" s="182" t="n">
        <f aca="false">'🤖 Llama-3.1-70b-instruct'!I80</f>
        <v>0</v>
      </c>
      <c r="I905" s="182" t="n">
        <f aca="false">'🤖 Llama-3.1-70b-instruct'!J80</f>
        <v>0</v>
      </c>
    </row>
    <row r="906" customFormat="false" ht="15.75" hidden="false" customHeight="false" outlineLevel="0" collapsed="false">
      <c r="A906" s="116"/>
      <c r="B906" s="8"/>
      <c r="C906" s="5"/>
      <c r="D906" s="143"/>
      <c r="E906" s="3"/>
      <c r="F906" s="3"/>
      <c r="G906" s="3"/>
      <c r="H906" s="3"/>
      <c r="I906" s="3"/>
    </row>
    <row r="907" customFormat="false" ht="15.75" hidden="false" customHeight="false" outlineLevel="0" collapsed="false">
      <c r="A907" s="116" t="n">
        <f aca="false">'🤖 Llama-3.1-70b-instruct'!$A$82</f>
        <v>0</v>
      </c>
      <c r="B907" s="8" t="s">
        <v>24</v>
      </c>
      <c r="C907" s="5" t="str">
        <f aca="false">'🤖 Llama-3.1-70b-instruct'!C82</f>
        <v>Base</v>
      </c>
      <c r="D907" s="143" t="n">
        <f aca="false">'🤖 Llama-3.1-70b-instruct'!E82</f>
        <v>0.002427184466</v>
      </c>
      <c r="E907" s="182" t="n">
        <f aca="false">'🤖 Llama-3.1-70b-instruct'!F82</f>
        <v>0</v>
      </c>
      <c r="F907" s="182" t="n">
        <f aca="false">'🤖 Llama-3.1-70b-instruct'!G82</f>
        <v>0</v>
      </c>
      <c r="G907" s="182" t="n">
        <f aca="false">'🤖 Llama-3.1-70b-instruct'!H82</f>
        <v>0</v>
      </c>
      <c r="H907" s="182" t="n">
        <f aca="false">'🤖 Llama-3.1-70b-instruct'!I82</f>
        <v>0</v>
      </c>
      <c r="I907" s="182" t="n">
        <f aca="false">'🤖 Llama-3.1-70b-instruct'!J82</f>
        <v>0</v>
      </c>
    </row>
    <row r="908" customFormat="false" ht="15.75" hidden="false" customHeight="false" outlineLevel="0" collapsed="false">
      <c r="A908" s="116" t="n">
        <f aca="false">'🤖 Llama-3.1-70b-instruct'!$A$82</f>
        <v>0</v>
      </c>
      <c r="B908" s="8" t="s">
        <v>24</v>
      </c>
      <c r="C908" s="5" t="str">
        <f aca="false">'🤖 Llama-3.1-70b-instruct'!C83</f>
        <v>CoT</v>
      </c>
      <c r="D908" s="143" t="n">
        <f aca="false">'🤖 Llama-3.1-70b-instruct'!E83</f>
        <v>0.002427184466</v>
      </c>
      <c r="E908" s="182" t="n">
        <f aca="false">'🤖 Llama-3.1-70b-instruct'!F83</f>
        <v>0</v>
      </c>
      <c r="F908" s="182" t="n">
        <f aca="false">'🤖 Llama-3.1-70b-instruct'!G83</f>
        <v>0</v>
      </c>
      <c r="G908" s="182" t="n">
        <f aca="false">'🤖 Llama-3.1-70b-instruct'!H83</f>
        <v>0</v>
      </c>
      <c r="H908" s="182" t="n">
        <f aca="false">'🤖 Llama-3.1-70b-instruct'!I83</f>
        <v>0</v>
      </c>
      <c r="I908" s="182" t="n">
        <f aca="false">'🤖 Llama-3.1-70b-instruct'!J83</f>
        <v>0</v>
      </c>
    </row>
    <row r="909" customFormat="false" ht="15.75" hidden="false" customHeight="false" outlineLevel="0" collapsed="false">
      <c r="A909" s="116" t="n">
        <f aca="false">'🤖 Llama-3.1-70b-instruct'!$A$82</f>
        <v>0</v>
      </c>
      <c r="B909" s="8" t="s">
        <v>24</v>
      </c>
      <c r="C909" s="5" t="str">
        <f aca="false">'🤖 Llama-3.1-70b-instruct'!C84</f>
        <v>5W1H</v>
      </c>
      <c r="D909" s="143" t="n">
        <f aca="false">'🤖 Llama-3.1-70b-instruct'!E84</f>
        <v>0.002427184466</v>
      </c>
      <c r="E909" s="182" t="n">
        <f aca="false">'🤖 Llama-3.1-70b-instruct'!F84</f>
        <v>0</v>
      </c>
      <c r="F909" s="182" t="n">
        <f aca="false">'🤖 Llama-3.1-70b-instruct'!G84</f>
        <v>0</v>
      </c>
      <c r="G909" s="182" t="n">
        <f aca="false">'🤖 Llama-3.1-70b-instruct'!H84</f>
        <v>0</v>
      </c>
      <c r="H909" s="182" t="n">
        <f aca="false">'🤖 Llama-3.1-70b-instruct'!I84</f>
        <v>0</v>
      </c>
      <c r="I909" s="182" t="n">
        <f aca="false">'🤖 Llama-3.1-70b-instruct'!J84</f>
        <v>0</v>
      </c>
    </row>
    <row r="910" customFormat="false" ht="15.75" hidden="false" customHeight="false" outlineLevel="0" collapsed="false">
      <c r="A910" s="116" t="n">
        <f aca="false">'🤖 Llama-3.1-70b-instruct'!$A$82</f>
        <v>0</v>
      </c>
      <c r="B910" s="8" t="s">
        <v>24</v>
      </c>
      <c r="C910" s="5" t="str">
        <f aca="false">'🤖 Llama-3.1-70b-instruct'!C85</f>
        <v>tldr</v>
      </c>
      <c r="D910" s="143" t="n">
        <f aca="false">'🤖 Llama-3.1-70b-instruct'!E85</f>
        <v>0.002427184466</v>
      </c>
      <c r="E910" s="182" t="n">
        <f aca="false">'🤖 Llama-3.1-70b-instruct'!F85</f>
        <v>0</v>
      </c>
      <c r="F910" s="182" t="n">
        <f aca="false">'🤖 Llama-3.1-70b-instruct'!G85</f>
        <v>0</v>
      </c>
      <c r="G910" s="182" t="n">
        <f aca="false">'🤖 Llama-3.1-70b-instruct'!H85</f>
        <v>0</v>
      </c>
      <c r="H910" s="182" t="n">
        <f aca="false">'🤖 Llama-3.1-70b-instruct'!I85</f>
        <v>0</v>
      </c>
      <c r="I910" s="182" t="n">
        <f aca="false">'🤖 Llama-3.1-70b-instruct'!J85</f>
        <v>0</v>
      </c>
    </row>
    <row r="911" customFormat="false" ht="15.75" hidden="false" customHeight="false" outlineLevel="0" collapsed="false">
      <c r="A911" s="116"/>
      <c r="B911" s="8"/>
      <c r="C911" s="5"/>
      <c r="D911" s="143"/>
      <c r="E911" s="3"/>
      <c r="F911" s="3"/>
      <c r="G911" s="3"/>
      <c r="H911" s="3"/>
      <c r="I911" s="3"/>
    </row>
    <row r="912" customFormat="false" ht="15.75" hidden="false" customHeight="false" outlineLevel="0" collapsed="false">
      <c r="A912" s="116" t="n">
        <f aca="false">'🤖 Llama-3.1-70b-instruct'!$A$87</f>
        <v>0</v>
      </c>
      <c r="B912" s="8" t="s">
        <v>24</v>
      </c>
      <c r="C912" s="5" t="str">
        <f aca="false">'🤖 Llama-3.1-70b-instruct'!C87</f>
        <v>Base</v>
      </c>
      <c r="D912" s="143" t="n">
        <f aca="false">'🤖 Llama-3.1-70b-instruct'!E87</f>
        <v>0.002427184466</v>
      </c>
      <c r="E912" s="182" t="n">
        <f aca="false">'🤖 Llama-3.1-70b-instruct'!F87</f>
        <v>0</v>
      </c>
      <c r="F912" s="182" t="n">
        <f aca="false">'🤖 Llama-3.1-70b-instruct'!G87</f>
        <v>0</v>
      </c>
      <c r="G912" s="182" t="n">
        <f aca="false">'🤖 Llama-3.1-70b-instruct'!H87</f>
        <v>0</v>
      </c>
      <c r="H912" s="182" t="n">
        <f aca="false">'🤖 Llama-3.1-70b-instruct'!I87</f>
        <v>0</v>
      </c>
      <c r="I912" s="182" t="n">
        <f aca="false">'🤖 Llama-3.1-70b-instruct'!J87</f>
        <v>0</v>
      </c>
    </row>
    <row r="913" customFormat="false" ht="15.75" hidden="false" customHeight="false" outlineLevel="0" collapsed="false">
      <c r="A913" s="116" t="n">
        <f aca="false">'🤖 Llama-3.1-70b-instruct'!$A$87</f>
        <v>0</v>
      </c>
      <c r="B913" s="8" t="s">
        <v>24</v>
      </c>
      <c r="C913" s="5" t="str">
        <f aca="false">'🤖 Llama-3.1-70b-instruct'!C88</f>
        <v>CoT</v>
      </c>
      <c r="D913" s="143" t="n">
        <f aca="false">'🤖 Llama-3.1-70b-instruct'!E88</f>
        <v>0.002427184466</v>
      </c>
      <c r="E913" s="182" t="n">
        <f aca="false">'🤖 Llama-3.1-70b-instruct'!F88</f>
        <v>0</v>
      </c>
      <c r="F913" s="182" t="n">
        <f aca="false">'🤖 Llama-3.1-70b-instruct'!G88</f>
        <v>0</v>
      </c>
      <c r="G913" s="182" t="n">
        <f aca="false">'🤖 Llama-3.1-70b-instruct'!H88</f>
        <v>0</v>
      </c>
      <c r="H913" s="182" t="n">
        <f aca="false">'🤖 Llama-3.1-70b-instruct'!I88</f>
        <v>0</v>
      </c>
      <c r="I913" s="182" t="n">
        <f aca="false">'🤖 Llama-3.1-70b-instruct'!J88</f>
        <v>0</v>
      </c>
    </row>
    <row r="914" customFormat="false" ht="15.75" hidden="false" customHeight="false" outlineLevel="0" collapsed="false">
      <c r="A914" s="116" t="n">
        <f aca="false">'🤖 Llama-3.1-70b-instruct'!$A$87</f>
        <v>0</v>
      </c>
      <c r="B914" s="8" t="s">
        <v>24</v>
      </c>
      <c r="C914" s="5" t="str">
        <f aca="false">'🤖 Llama-3.1-70b-instruct'!C89</f>
        <v>5W1H</v>
      </c>
      <c r="D914" s="143" t="n">
        <f aca="false">'🤖 Llama-3.1-70b-instruct'!E89</f>
        <v>0.002427184466</v>
      </c>
      <c r="E914" s="182" t="n">
        <f aca="false">'🤖 Llama-3.1-70b-instruct'!F89</f>
        <v>0</v>
      </c>
      <c r="F914" s="182" t="n">
        <f aca="false">'🤖 Llama-3.1-70b-instruct'!G89</f>
        <v>0</v>
      </c>
      <c r="G914" s="182" t="n">
        <f aca="false">'🤖 Llama-3.1-70b-instruct'!H89</f>
        <v>0</v>
      </c>
      <c r="H914" s="182" t="n">
        <f aca="false">'🤖 Llama-3.1-70b-instruct'!I89</f>
        <v>0</v>
      </c>
      <c r="I914" s="182" t="n">
        <f aca="false">'🤖 Llama-3.1-70b-instruct'!J89</f>
        <v>0</v>
      </c>
    </row>
    <row r="915" customFormat="false" ht="15.75" hidden="false" customHeight="false" outlineLevel="0" collapsed="false">
      <c r="A915" s="116" t="n">
        <f aca="false">'🤖 Llama-3.1-70b-instruct'!$A$87</f>
        <v>0</v>
      </c>
      <c r="B915" s="8" t="s">
        <v>24</v>
      </c>
      <c r="C915" s="5" t="str">
        <f aca="false">'🤖 Llama-3.1-70b-instruct'!C90</f>
        <v>tldr</v>
      </c>
      <c r="D915" s="143" t="n">
        <f aca="false">'🤖 Llama-3.1-70b-instruct'!E90</f>
        <v>0.002427184466</v>
      </c>
      <c r="E915" s="182" t="n">
        <f aca="false">'🤖 Llama-3.1-70b-instruct'!F90</f>
        <v>0</v>
      </c>
      <c r="F915" s="182" t="n">
        <f aca="false">'🤖 Llama-3.1-70b-instruct'!G90</f>
        <v>0</v>
      </c>
      <c r="G915" s="182" t="n">
        <f aca="false">'🤖 Llama-3.1-70b-instruct'!H90</f>
        <v>0</v>
      </c>
      <c r="H915" s="182" t="n">
        <f aca="false">'🤖 Llama-3.1-70b-instruct'!I90</f>
        <v>0</v>
      </c>
      <c r="I915" s="182" t="n">
        <f aca="false">'🤖 Llama-3.1-70b-instruct'!J90</f>
        <v>0</v>
      </c>
    </row>
    <row r="916" customFormat="false" ht="15.75" hidden="false" customHeight="false" outlineLevel="0" collapsed="false">
      <c r="A916" s="116"/>
      <c r="B916" s="8"/>
      <c r="C916" s="5"/>
      <c r="D916" s="143"/>
      <c r="E916" s="3"/>
      <c r="F916" s="3"/>
      <c r="G916" s="3"/>
      <c r="H916" s="3"/>
      <c r="I916" s="3"/>
    </row>
    <row r="917" customFormat="false" ht="15.75" hidden="false" customHeight="false" outlineLevel="0" collapsed="false">
      <c r="A917" s="116" t="n">
        <f aca="false">'🤖 Llama-3.1-70b-instruct'!$A$92</f>
        <v>0</v>
      </c>
      <c r="B917" s="8" t="s">
        <v>24</v>
      </c>
      <c r="C917" s="5" t="str">
        <f aca="false">'🤖 Llama-3.1-70b-instruct'!C92</f>
        <v>Base</v>
      </c>
      <c r="D917" s="143" t="n">
        <f aca="false">'🤖 Llama-3.1-70b-instruct'!E92</f>
        <v>0.002427184466</v>
      </c>
      <c r="E917" s="182" t="n">
        <f aca="false">'🤖 Llama-3.1-70b-instruct'!F92</f>
        <v>0</v>
      </c>
      <c r="F917" s="182" t="n">
        <f aca="false">'🤖 Llama-3.1-70b-instruct'!G92</f>
        <v>0</v>
      </c>
      <c r="G917" s="182" t="n">
        <f aca="false">'🤖 Llama-3.1-70b-instruct'!H92</f>
        <v>0</v>
      </c>
      <c r="H917" s="182" t="n">
        <f aca="false">'🤖 Llama-3.1-70b-instruct'!I92</f>
        <v>0</v>
      </c>
      <c r="I917" s="182" t="n">
        <f aca="false">'🤖 Llama-3.1-70b-instruct'!J92</f>
        <v>0</v>
      </c>
    </row>
    <row r="918" customFormat="false" ht="15.75" hidden="false" customHeight="false" outlineLevel="0" collapsed="false">
      <c r="A918" s="116" t="n">
        <f aca="false">'🤖 Llama-3.1-70b-instruct'!$A$92</f>
        <v>0</v>
      </c>
      <c r="B918" s="8" t="s">
        <v>24</v>
      </c>
      <c r="C918" s="5" t="str">
        <f aca="false">'🤖 Llama-3.1-70b-instruct'!C93</f>
        <v>CoT</v>
      </c>
      <c r="D918" s="143" t="n">
        <f aca="false">'🤖 Llama-3.1-70b-instruct'!E93</f>
        <v>0.002427184466</v>
      </c>
      <c r="E918" s="182" t="n">
        <f aca="false">'🤖 Llama-3.1-70b-instruct'!F93</f>
        <v>0</v>
      </c>
      <c r="F918" s="182" t="n">
        <f aca="false">'🤖 Llama-3.1-70b-instruct'!G93</f>
        <v>0</v>
      </c>
      <c r="G918" s="182" t="n">
        <f aca="false">'🤖 Llama-3.1-70b-instruct'!H93</f>
        <v>0</v>
      </c>
      <c r="H918" s="182" t="n">
        <f aca="false">'🤖 Llama-3.1-70b-instruct'!I93</f>
        <v>0</v>
      </c>
      <c r="I918" s="182" t="n">
        <f aca="false">'🤖 Llama-3.1-70b-instruct'!J93</f>
        <v>0</v>
      </c>
    </row>
    <row r="919" customFormat="false" ht="15.75" hidden="false" customHeight="false" outlineLevel="0" collapsed="false">
      <c r="A919" s="116" t="n">
        <f aca="false">'🤖 Llama-3.1-70b-instruct'!$A$92</f>
        <v>0</v>
      </c>
      <c r="B919" s="8" t="s">
        <v>24</v>
      </c>
      <c r="C919" s="5" t="str">
        <f aca="false">'🤖 Llama-3.1-70b-instruct'!C94</f>
        <v>5W1H</v>
      </c>
      <c r="D919" s="143" t="n">
        <f aca="false">'🤖 Llama-3.1-70b-instruct'!E94</f>
        <v>0.002427184466</v>
      </c>
      <c r="E919" s="182" t="n">
        <f aca="false">'🤖 Llama-3.1-70b-instruct'!F94</f>
        <v>0</v>
      </c>
      <c r="F919" s="182" t="n">
        <f aca="false">'🤖 Llama-3.1-70b-instruct'!G94</f>
        <v>0</v>
      </c>
      <c r="G919" s="182" t="n">
        <f aca="false">'🤖 Llama-3.1-70b-instruct'!H94</f>
        <v>0</v>
      </c>
      <c r="H919" s="182" t="n">
        <f aca="false">'🤖 Llama-3.1-70b-instruct'!I94</f>
        <v>0</v>
      </c>
      <c r="I919" s="182" t="n">
        <f aca="false">'🤖 Llama-3.1-70b-instruct'!J94</f>
        <v>0</v>
      </c>
    </row>
    <row r="920" customFormat="false" ht="15.75" hidden="false" customHeight="false" outlineLevel="0" collapsed="false">
      <c r="A920" s="116" t="n">
        <f aca="false">'🤖 Llama-3.1-70b-instruct'!$A$92</f>
        <v>0</v>
      </c>
      <c r="B920" s="8" t="s">
        <v>24</v>
      </c>
      <c r="C920" s="5" t="str">
        <f aca="false">'🤖 Llama-3.1-70b-instruct'!C95</f>
        <v>tldr</v>
      </c>
      <c r="D920" s="143" t="n">
        <f aca="false">'🤖 Llama-3.1-70b-instruct'!E95</f>
        <v>0.002427184466</v>
      </c>
      <c r="E920" s="182" t="n">
        <f aca="false">'🤖 Llama-3.1-70b-instruct'!F95</f>
        <v>0</v>
      </c>
      <c r="F920" s="182" t="n">
        <f aca="false">'🤖 Llama-3.1-70b-instruct'!G95</f>
        <v>0</v>
      </c>
      <c r="G920" s="182" t="n">
        <f aca="false">'🤖 Llama-3.1-70b-instruct'!H95</f>
        <v>0</v>
      </c>
      <c r="H920" s="182" t="n">
        <f aca="false">'🤖 Llama-3.1-70b-instruct'!I95</f>
        <v>0</v>
      </c>
      <c r="I920" s="182" t="n">
        <f aca="false">'🤖 Llama-3.1-70b-instruct'!J95</f>
        <v>0</v>
      </c>
    </row>
    <row r="921" customFormat="false" ht="15.75" hidden="false" customHeight="false" outlineLevel="0" collapsed="false">
      <c r="A921" s="116"/>
      <c r="B921" s="8"/>
      <c r="C921" s="5"/>
      <c r="D921" s="143"/>
      <c r="E921" s="3"/>
      <c r="F921" s="3"/>
      <c r="G921" s="3"/>
      <c r="H921" s="3"/>
      <c r="I921" s="3"/>
    </row>
    <row r="922" customFormat="false" ht="15.75" hidden="false" customHeight="false" outlineLevel="0" collapsed="false">
      <c r="A922" s="116" t="n">
        <f aca="false">'🤖 Llama-3.1-70b-instruct'!$A$97</f>
        <v>0</v>
      </c>
      <c r="B922" s="8" t="s">
        <v>24</v>
      </c>
      <c r="C922" s="5" t="str">
        <f aca="false">'🤖 Llama-3.1-70b-instruct'!C97</f>
        <v>Base</v>
      </c>
      <c r="D922" s="143" t="n">
        <f aca="false">'🤖 Llama-3.1-70b-instruct'!E97</f>
        <v>0.002427184466</v>
      </c>
      <c r="E922" s="182" t="n">
        <f aca="false">'🤖 Llama-3.1-70b-instruct'!F97</f>
        <v>0</v>
      </c>
      <c r="F922" s="182" t="n">
        <f aca="false">'🤖 Llama-3.1-70b-instruct'!G97</f>
        <v>0</v>
      </c>
      <c r="G922" s="182" t="n">
        <f aca="false">'🤖 Llama-3.1-70b-instruct'!H97</f>
        <v>0</v>
      </c>
      <c r="H922" s="182" t="n">
        <f aca="false">'🤖 Llama-3.1-70b-instruct'!I97</f>
        <v>0</v>
      </c>
      <c r="I922" s="182" t="n">
        <f aca="false">'🤖 Llama-3.1-70b-instruct'!J97</f>
        <v>0</v>
      </c>
    </row>
    <row r="923" customFormat="false" ht="15.75" hidden="false" customHeight="false" outlineLevel="0" collapsed="false">
      <c r="A923" s="116" t="n">
        <f aca="false">'🤖 Llama-3.1-70b-instruct'!$A$97</f>
        <v>0</v>
      </c>
      <c r="B923" s="8" t="s">
        <v>24</v>
      </c>
      <c r="C923" s="5" t="str">
        <f aca="false">'🤖 Llama-3.1-70b-instruct'!C98</f>
        <v>CoT</v>
      </c>
      <c r="D923" s="143" t="n">
        <f aca="false">'🤖 Llama-3.1-70b-instruct'!E98</f>
        <v>0.002427184466</v>
      </c>
      <c r="E923" s="182" t="n">
        <f aca="false">'🤖 Llama-3.1-70b-instruct'!F98</f>
        <v>0</v>
      </c>
      <c r="F923" s="182" t="n">
        <f aca="false">'🤖 Llama-3.1-70b-instruct'!G98</f>
        <v>0</v>
      </c>
      <c r="G923" s="182" t="n">
        <f aca="false">'🤖 Llama-3.1-70b-instruct'!H98</f>
        <v>0</v>
      </c>
      <c r="H923" s="182" t="n">
        <f aca="false">'🤖 Llama-3.1-70b-instruct'!I98</f>
        <v>0</v>
      </c>
      <c r="I923" s="182" t="n">
        <f aca="false">'🤖 Llama-3.1-70b-instruct'!J98</f>
        <v>0</v>
      </c>
    </row>
    <row r="924" customFormat="false" ht="15.75" hidden="false" customHeight="false" outlineLevel="0" collapsed="false">
      <c r="A924" s="116" t="n">
        <f aca="false">'🤖 Llama-3.1-70b-instruct'!$A$97</f>
        <v>0</v>
      </c>
      <c r="B924" s="8" t="s">
        <v>24</v>
      </c>
      <c r="C924" s="5" t="str">
        <f aca="false">'🤖 Llama-3.1-70b-instruct'!C99</f>
        <v>5W1H</v>
      </c>
      <c r="D924" s="143" t="n">
        <f aca="false">'🤖 Llama-3.1-70b-instruct'!E99</f>
        <v>0.002427184466</v>
      </c>
      <c r="E924" s="182" t="n">
        <f aca="false">'🤖 Llama-3.1-70b-instruct'!F99</f>
        <v>0</v>
      </c>
      <c r="F924" s="182" t="n">
        <f aca="false">'🤖 Llama-3.1-70b-instruct'!G99</f>
        <v>0</v>
      </c>
      <c r="G924" s="182" t="n">
        <f aca="false">'🤖 Llama-3.1-70b-instruct'!H99</f>
        <v>0</v>
      </c>
      <c r="H924" s="182" t="n">
        <f aca="false">'🤖 Llama-3.1-70b-instruct'!I99</f>
        <v>0</v>
      </c>
      <c r="I924" s="182" t="n">
        <f aca="false">'🤖 Llama-3.1-70b-instruct'!J99</f>
        <v>0</v>
      </c>
    </row>
    <row r="925" customFormat="false" ht="15.75" hidden="false" customHeight="false" outlineLevel="0" collapsed="false">
      <c r="A925" s="116" t="n">
        <f aca="false">'🤖 Llama-3.1-70b-instruct'!$A$97</f>
        <v>0</v>
      </c>
      <c r="B925" s="8" t="s">
        <v>24</v>
      </c>
      <c r="C925" s="5" t="str">
        <f aca="false">'🤖 Llama-3.1-70b-instruct'!C100</f>
        <v>tldr</v>
      </c>
      <c r="D925" s="143" t="n">
        <f aca="false">'🤖 Llama-3.1-70b-instruct'!E100</f>
        <v>0.002427184466</v>
      </c>
      <c r="E925" s="182" t="n">
        <f aca="false">'🤖 Llama-3.1-70b-instruct'!F100</f>
        <v>0</v>
      </c>
      <c r="F925" s="182" t="n">
        <f aca="false">'🤖 Llama-3.1-70b-instruct'!G100</f>
        <v>0</v>
      </c>
      <c r="G925" s="182" t="n">
        <f aca="false">'🤖 Llama-3.1-70b-instruct'!H100</f>
        <v>0</v>
      </c>
      <c r="H925" s="182" t="n">
        <f aca="false">'🤖 Llama-3.1-70b-instruct'!I100</f>
        <v>0</v>
      </c>
      <c r="I925" s="182" t="n">
        <f aca="false">'🤖 Llama-3.1-70b-instruct'!J100</f>
        <v>0</v>
      </c>
    </row>
    <row r="926" customFormat="false" ht="15.75" hidden="false" customHeight="false" outlineLevel="0" collapsed="false">
      <c r="A926" s="116"/>
      <c r="B926" s="8"/>
      <c r="C926" s="5"/>
      <c r="D926" s="143"/>
      <c r="E926" s="3"/>
      <c r="F926" s="3"/>
      <c r="G926" s="3"/>
      <c r="H926" s="3"/>
      <c r="I926" s="3"/>
    </row>
    <row r="927" customFormat="false" ht="15.75" hidden="false" customHeight="false" outlineLevel="0" collapsed="false">
      <c r="A927" s="116" t="n">
        <f aca="false">'🤖 Llama-3.1-70b-instruct'!$A$102</f>
        <v>0</v>
      </c>
      <c r="B927" s="8" t="s">
        <v>24</v>
      </c>
      <c r="C927" s="5" t="str">
        <f aca="false">'🤖 Llama-3.1-70b-instruct'!C102</f>
        <v>Base</v>
      </c>
      <c r="D927" s="143" t="n">
        <f aca="false">'🤖 Llama-3.1-70b-instruct'!E102</f>
        <v>0.002427184466</v>
      </c>
      <c r="E927" s="182" t="n">
        <f aca="false">'🤖 Llama-3.1-70b-instruct'!F102</f>
        <v>0</v>
      </c>
      <c r="F927" s="182" t="n">
        <f aca="false">'🤖 Llama-3.1-70b-instruct'!G102</f>
        <v>0</v>
      </c>
      <c r="G927" s="182" t="n">
        <f aca="false">'🤖 Llama-3.1-70b-instruct'!H102</f>
        <v>0</v>
      </c>
      <c r="H927" s="182" t="n">
        <f aca="false">'🤖 Llama-3.1-70b-instruct'!I102</f>
        <v>0</v>
      </c>
      <c r="I927" s="182" t="n">
        <f aca="false">'🤖 Llama-3.1-70b-instruct'!J102</f>
        <v>0</v>
      </c>
    </row>
    <row r="928" customFormat="false" ht="15.75" hidden="false" customHeight="false" outlineLevel="0" collapsed="false">
      <c r="A928" s="116" t="n">
        <f aca="false">'🤖 Llama-3.1-70b-instruct'!$A$102</f>
        <v>0</v>
      </c>
      <c r="B928" s="8" t="s">
        <v>24</v>
      </c>
      <c r="C928" s="5" t="str">
        <f aca="false">'🤖 Llama-3.1-70b-instruct'!C103</f>
        <v>CoT</v>
      </c>
      <c r="D928" s="143" t="n">
        <f aca="false">'🤖 Llama-3.1-70b-instruct'!E103</f>
        <v>0.002427184466</v>
      </c>
      <c r="E928" s="182" t="n">
        <f aca="false">'🤖 Llama-3.1-70b-instruct'!F103</f>
        <v>0</v>
      </c>
      <c r="F928" s="182" t="n">
        <f aca="false">'🤖 Llama-3.1-70b-instruct'!G103</f>
        <v>0</v>
      </c>
      <c r="G928" s="182" t="n">
        <f aca="false">'🤖 Llama-3.1-70b-instruct'!H103</f>
        <v>0</v>
      </c>
      <c r="H928" s="182" t="n">
        <f aca="false">'🤖 Llama-3.1-70b-instruct'!I103</f>
        <v>0</v>
      </c>
      <c r="I928" s="182" t="n">
        <f aca="false">'🤖 Llama-3.1-70b-instruct'!J103</f>
        <v>0</v>
      </c>
    </row>
    <row r="929" customFormat="false" ht="15.75" hidden="false" customHeight="false" outlineLevel="0" collapsed="false">
      <c r="A929" s="116" t="n">
        <f aca="false">'🤖 Llama-3.1-70b-instruct'!$A$102</f>
        <v>0</v>
      </c>
      <c r="B929" s="8" t="s">
        <v>24</v>
      </c>
      <c r="C929" s="5" t="str">
        <f aca="false">'🤖 Llama-3.1-70b-instruct'!C104</f>
        <v>5W1H</v>
      </c>
      <c r="D929" s="143" t="n">
        <f aca="false">'🤖 Llama-3.1-70b-instruct'!E104</f>
        <v>0.002427184466</v>
      </c>
      <c r="E929" s="182" t="n">
        <f aca="false">'🤖 Llama-3.1-70b-instruct'!F104</f>
        <v>0</v>
      </c>
      <c r="F929" s="182" t="n">
        <f aca="false">'🤖 Llama-3.1-70b-instruct'!G104</f>
        <v>0</v>
      </c>
      <c r="G929" s="182" t="n">
        <f aca="false">'🤖 Llama-3.1-70b-instruct'!H104</f>
        <v>0</v>
      </c>
      <c r="H929" s="182" t="n">
        <f aca="false">'🤖 Llama-3.1-70b-instruct'!I104</f>
        <v>0</v>
      </c>
      <c r="I929" s="182" t="n">
        <f aca="false">'🤖 Llama-3.1-70b-instruct'!J104</f>
        <v>0</v>
      </c>
    </row>
    <row r="930" customFormat="false" ht="15.75" hidden="false" customHeight="false" outlineLevel="0" collapsed="false">
      <c r="A930" s="116" t="n">
        <f aca="false">'🤖 Llama-3.1-70b-instruct'!$A$102</f>
        <v>0</v>
      </c>
      <c r="B930" s="8" t="s">
        <v>24</v>
      </c>
      <c r="C930" s="5" t="str">
        <f aca="false">'🤖 Llama-3.1-70b-instruct'!C105</f>
        <v>tldr</v>
      </c>
      <c r="D930" s="143" t="n">
        <f aca="false">'🤖 Llama-3.1-70b-instruct'!E105</f>
        <v>0.002427184466</v>
      </c>
      <c r="E930" s="182" t="n">
        <f aca="false">'🤖 Llama-3.1-70b-instruct'!F105</f>
        <v>0</v>
      </c>
      <c r="F930" s="182" t="n">
        <f aca="false">'🤖 Llama-3.1-70b-instruct'!G105</f>
        <v>0</v>
      </c>
      <c r="G930" s="182" t="n">
        <f aca="false">'🤖 Llama-3.1-70b-instruct'!H105</f>
        <v>0</v>
      </c>
      <c r="H930" s="182" t="n">
        <f aca="false">'🤖 Llama-3.1-70b-instruct'!I105</f>
        <v>0</v>
      </c>
      <c r="I930" s="182" t="n">
        <f aca="false">'🤖 Llama-3.1-70b-instruct'!J105</f>
        <v>0</v>
      </c>
    </row>
    <row r="931" customFormat="false" ht="15.75" hidden="false" customHeight="false" outlineLevel="0" collapsed="false">
      <c r="A931" s="116"/>
      <c r="B931" s="8"/>
      <c r="C931" s="5"/>
      <c r="D931" s="143"/>
      <c r="E931" s="3"/>
      <c r="F931" s="3"/>
      <c r="G931" s="3"/>
      <c r="H931" s="3"/>
      <c r="I931" s="3"/>
    </row>
    <row r="932" customFormat="false" ht="15.75" hidden="false" customHeight="false" outlineLevel="0" collapsed="false">
      <c r="A932" s="116" t="n">
        <f aca="false">'🤖 Llama-3.1-70b-instruct'!$A$107</f>
        <v>0</v>
      </c>
      <c r="B932" s="8" t="s">
        <v>24</v>
      </c>
      <c r="C932" s="5" t="str">
        <f aca="false">'🤖 Llama-3.1-70b-instruct'!C107</f>
        <v>Base</v>
      </c>
      <c r="D932" s="143" t="n">
        <f aca="false">'🤖 Llama-3.1-70b-instruct'!E107</f>
        <v>0.002427184466</v>
      </c>
      <c r="E932" s="182" t="n">
        <f aca="false">'🤖 Llama-3.1-70b-instruct'!F107</f>
        <v>0</v>
      </c>
      <c r="F932" s="182" t="n">
        <f aca="false">'🤖 Llama-3.1-70b-instruct'!G107</f>
        <v>0</v>
      </c>
      <c r="G932" s="182" t="n">
        <f aca="false">'🤖 Llama-3.1-70b-instruct'!H107</f>
        <v>0</v>
      </c>
      <c r="H932" s="182" t="n">
        <f aca="false">'🤖 Llama-3.1-70b-instruct'!I107</f>
        <v>0</v>
      </c>
      <c r="I932" s="182" t="n">
        <f aca="false">'🤖 Llama-3.1-70b-instruct'!J107</f>
        <v>0</v>
      </c>
    </row>
    <row r="933" customFormat="false" ht="15.75" hidden="false" customHeight="false" outlineLevel="0" collapsed="false">
      <c r="A933" s="116" t="n">
        <f aca="false">'🤖 Llama-3.1-70b-instruct'!$A$107</f>
        <v>0</v>
      </c>
      <c r="B933" s="8" t="s">
        <v>24</v>
      </c>
      <c r="C933" s="5" t="str">
        <f aca="false">'🤖 Llama-3.1-70b-instruct'!C108</f>
        <v>CoT</v>
      </c>
      <c r="D933" s="143" t="n">
        <f aca="false">'🤖 Llama-3.1-70b-instruct'!E108</f>
        <v>0.002427184466</v>
      </c>
      <c r="E933" s="182" t="n">
        <f aca="false">'🤖 Llama-3.1-70b-instruct'!F108</f>
        <v>0</v>
      </c>
      <c r="F933" s="182" t="n">
        <f aca="false">'🤖 Llama-3.1-70b-instruct'!G108</f>
        <v>0</v>
      </c>
      <c r="G933" s="182" t="n">
        <f aca="false">'🤖 Llama-3.1-70b-instruct'!H108</f>
        <v>0</v>
      </c>
      <c r="H933" s="182" t="n">
        <f aca="false">'🤖 Llama-3.1-70b-instruct'!I108</f>
        <v>0</v>
      </c>
      <c r="I933" s="182" t="n">
        <f aca="false">'🤖 Llama-3.1-70b-instruct'!J108</f>
        <v>0</v>
      </c>
    </row>
    <row r="934" customFormat="false" ht="15.75" hidden="false" customHeight="false" outlineLevel="0" collapsed="false">
      <c r="A934" s="116" t="n">
        <f aca="false">'🤖 Llama-3.1-70b-instruct'!$A$107</f>
        <v>0</v>
      </c>
      <c r="B934" s="8" t="s">
        <v>24</v>
      </c>
      <c r="C934" s="5" t="str">
        <f aca="false">'🤖 Llama-3.1-70b-instruct'!C109</f>
        <v>5W1H</v>
      </c>
      <c r="D934" s="143" t="n">
        <f aca="false">'🤖 Llama-3.1-70b-instruct'!E109</f>
        <v>0.002427184466</v>
      </c>
      <c r="E934" s="182" t="n">
        <f aca="false">'🤖 Llama-3.1-70b-instruct'!F109</f>
        <v>0</v>
      </c>
      <c r="F934" s="182" t="n">
        <f aca="false">'🤖 Llama-3.1-70b-instruct'!G109</f>
        <v>0</v>
      </c>
      <c r="G934" s="182" t="n">
        <f aca="false">'🤖 Llama-3.1-70b-instruct'!H109</f>
        <v>0</v>
      </c>
      <c r="H934" s="182" t="n">
        <f aca="false">'🤖 Llama-3.1-70b-instruct'!I109</f>
        <v>0</v>
      </c>
      <c r="I934" s="182" t="n">
        <f aca="false">'🤖 Llama-3.1-70b-instruct'!J109</f>
        <v>0</v>
      </c>
    </row>
    <row r="935" customFormat="false" ht="15.75" hidden="false" customHeight="false" outlineLevel="0" collapsed="false">
      <c r="A935" s="116" t="n">
        <f aca="false">'🤖 Llama-3.1-70b-instruct'!$A$107</f>
        <v>0</v>
      </c>
      <c r="B935" s="8" t="s">
        <v>24</v>
      </c>
      <c r="C935" s="5" t="str">
        <f aca="false">'🤖 Llama-3.1-70b-instruct'!C110</f>
        <v>tldr</v>
      </c>
      <c r="D935" s="143" t="n">
        <f aca="false">'🤖 Llama-3.1-70b-instruct'!E110</f>
        <v>0.002427184466</v>
      </c>
      <c r="E935" s="182" t="n">
        <f aca="false">'🤖 Llama-3.1-70b-instruct'!F110</f>
        <v>0</v>
      </c>
      <c r="F935" s="182" t="n">
        <f aca="false">'🤖 Llama-3.1-70b-instruct'!G110</f>
        <v>0</v>
      </c>
      <c r="G935" s="182" t="n">
        <f aca="false">'🤖 Llama-3.1-70b-instruct'!H110</f>
        <v>0</v>
      </c>
      <c r="H935" s="182" t="n">
        <f aca="false">'🤖 Llama-3.1-70b-instruct'!I110</f>
        <v>0</v>
      </c>
      <c r="I935" s="182" t="n">
        <f aca="false">'🤖 Llama-3.1-70b-instruct'!J110</f>
        <v>0</v>
      </c>
    </row>
    <row r="936" customFormat="false" ht="15.75" hidden="false" customHeight="false" outlineLevel="0" collapsed="false">
      <c r="A936" s="116"/>
      <c r="B936" s="8"/>
      <c r="C936" s="5"/>
      <c r="D936" s="143"/>
      <c r="E936" s="3"/>
      <c r="F936" s="3"/>
      <c r="G936" s="3"/>
      <c r="H936" s="3"/>
      <c r="I936" s="3"/>
    </row>
    <row r="937" customFormat="false" ht="15.75" hidden="false" customHeight="false" outlineLevel="0" collapsed="false">
      <c r="A937" s="116" t="n">
        <f aca="false">'🤖 Llama-3.1-70b-instruct'!$A$112</f>
        <v>0</v>
      </c>
      <c r="B937" s="8" t="s">
        <v>24</v>
      </c>
      <c r="C937" s="5" t="str">
        <f aca="false">'🤖 Llama-3.1-70b-instruct'!C112</f>
        <v>Base</v>
      </c>
      <c r="D937" s="143" t="n">
        <f aca="false">'🤖 Llama-3.1-70b-instruct'!E112</f>
        <v>0.002427184466</v>
      </c>
      <c r="E937" s="182" t="n">
        <f aca="false">'🤖 Llama-3.1-70b-instruct'!F112</f>
        <v>0</v>
      </c>
      <c r="F937" s="182" t="n">
        <f aca="false">'🤖 Llama-3.1-70b-instruct'!G112</f>
        <v>0</v>
      </c>
      <c r="G937" s="182" t="n">
        <f aca="false">'🤖 Llama-3.1-70b-instruct'!H112</f>
        <v>0</v>
      </c>
      <c r="H937" s="182" t="n">
        <f aca="false">'🤖 Llama-3.1-70b-instruct'!I112</f>
        <v>0</v>
      </c>
      <c r="I937" s="182" t="n">
        <f aca="false">'🤖 Llama-3.1-70b-instruct'!J112</f>
        <v>0</v>
      </c>
    </row>
    <row r="938" customFormat="false" ht="15.75" hidden="false" customHeight="false" outlineLevel="0" collapsed="false">
      <c r="A938" s="116" t="n">
        <f aca="false">'🤖 Llama-3.1-70b-instruct'!$A$112</f>
        <v>0</v>
      </c>
      <c r="B938" s="8" t="s">
        <v>24</v>
      </c>
      <c r="C938" s="5" t="str">
        <f aca="false">'🤖 Llama-3.1-70b-instruct'!C113</f>
        <v>CoT</v>
      </c>
      <c r="D938" s="143" t="n">
        <f aca="false">'🤖 Llama-3.1-70b-instruct'!E113</f>
        <v>0.002427184466</v>
      </c>
      <c r="E938" s="182" t="n">
        <f aca="false">'🤖 Llama-3.1-70b-instruct'!F113</f>
        <v>0</v>
      </c>
      <c r="F938" s="182" t="n">
        <f aca="false">'🤖 Llama-3.1-70b-instruct'!G113</f>
        <v>0</v>
      </c>
      <c r="G938" s="182" t="n">
        <f aca="false">'🤖 Llama-3.1-70b-instruct'!H113</f>
        <v>0</v>
      </c>
      <c r="H938" s="182" t="n">
        <f aca="false">'🤖 Llama-3.1-70b-instruct'!I113</f>
        <v>0</v>
      </c>
      <c r="I938" s="182" t="n">
        <f aca="false">'🤖 Llama-3.1-70b-instruct'!J113</f>
        <v>0</v>
      </c>
    </row>
    <row r="939" customFormat="false" ht="15.75" hidden="false" customHeight="false" outlineLevel="0" collapsed="false">
      <c r="A939" s="116" t="n">
        <f aca="false">'🤖 Llama-3.1-70b-instruct'!$A$112</f>
        <v>0</v>
      </c>
      <c r="B939" s="8" t="s">
        <v>24</v>
      </c>
      <c r="C939" s="5" t="str">
        <f aca="false">'🤖 Llama-3.1-70b-instruct'!C114</f>
        <v>5W1H</v>
      </c>
      <c r="D939" s="143" t="n">
        <f aca="false">'🤖 Llama-3.1-70b-instruct'!E114</f>
        <v>0.002427184466</v>
      </c>
      <c r="E939" s="182" t="n">
        <f aca="false">'🤖 Llama-3.1-70b-instruct'!F114</f>
        <v>0</v>
      </c>
      <c r="F939" s="182" t="n">
        <f aca="false">'🤖 Llama-3.1-70b-instruct'!G114</f>
        <v>0</v>
      </c>
      <c r="G939" s="182" t="n">
        <f aca="false">'🤖 Llama-3.1-70b-instruct'!H114</f>
        <v>0</v>
      </c>
      <c r="H939" s="182" t="n">
        <f aca="false">'🤖 Llama-3.1-70b-instruct'!I114</f>
        <v>0</v>
      </c>
      <c r="I939" s="182" t="n">
        <f aca="false">'🤖 Llama-3.1-70b-instruct'!J114</f>
        <v>0</v>
      </c>
    </row>
    <row r="940" customFormat="false" ht="15.75" hidden="false" customHeight="false" outlineLevel="0" collapsed="false">
      <c r="A940" s="116" t="n">
        <f aca="false">'🤖 Llama-3.1-70b-instruct'!$A$112</f>
        <v>0</v>
      </c>
      <c r="B940" s="8" t="s">
        <v>24</v>
      </c>
      <c r="C940" s="5" t="str">
        <f aca="false">'🤖 Llama-3.1-70b-instruct'!C115</f>
        <v>tldr</v>
      </c>
      <c r="D940" s="143" t="n">
        <f aca="false">'🤖 Llama-3.1-70b-instruct'!E115</f>
        <v>0.002427184466</v>
      </c>
      <c r="E940" s="182" t="n">
        <f aca="false">'🤖 Llama-3.1-70b-instruct'!F115</f>
        <v>0</v>
      </c>
      <c r="F940" s="182" t="n">
        <f aca="false">'🤖 Llama-3.1-70b-instruct'!G115</f>
        <v>0</v>
      </c>
      <c r="G940" s="182" t="n">
        <f aca="false">'🤖 Llama-3.1-70b-instruct'!H115</f>
        <v>0</v>
      </c>
      <c r="H940" s="182" t="n">
        <f aca="false">'🤖 Llama-3.1-70b-instruct'!I115</f>
        <v>0</v>
      </c>
      <c r="I940" s="182" t="n">
        <f aca="false">'🤖 Llama-3.1-70b-instruct'!J115</f>
        <v>0</v>
      </c>
    </row>
    <row r="941" customFormat="false" ht="15.75" hidden="false" customHeight="false" outlineLevel="0" collapsed="false">
      <c r="A941" s="116"/>
      <c r="B941" s="8"/>
      <c r="C941" s="5"/>
      <c r="D941" s="143"/>
      <c r="E941" s="3"/>
      <c r="F941" s="3"/>
      <c r="G941" s="3"/>
      <c r="H941" s="3"/>
      <c r="I941" s="3"/>
    </row>
    <row r="942" customFormat="false" ht="15.75" hidden="false" customHeight="false" outlineLevel="0" collapsed="false">
      <c r="A942" s="116" t="n">
        <f aca="false">'🤖 Llama-3.1-70b-instruct'!$A$117</f>
        <v>0</v>
      </c>
      <c r="B942" s="8" t="s">
        <v>24</v>
      </c>
      <c r="C942" s="5" t="str">
        <f aca="false">'🤖 Llama-3.1-70b-instruct'!C117</f>
        <v>Base</v>
      </c>
      <c r="D942" s="143" t="n">
        <f aca="false">'🤖 Llama-3.1-70b-instruct'!E117</f>
        <v>0.002427184466</v>
      </c>
      <c r="E942" s="182" t="n">
        <f aca="false">'🤖 Llama-3.1-70b-instruct'!F117</f>
        <v>0</v>
      </c>
      <c r="F942" s="182" t="n">
        <f aca="false">'🤖 Llama-3.1-70b-instruct'!G117</f>
        <v>0</v>
      </c>
      <c r="G942" s="182" t="n">
        <f aca="false">'🤖 Llama-3.1-70b-instruct'!H117</f>
        <v>0</v>
      </c>
      <c r="H942" s="182" t="n">
        <f aca="false">'🤖 Llama-3.1-70b-instruct'!I117</f>
        <v>0</v>
      </c>
      <c r="I942" s="182" t="n">
        <f aca="false">'🤖 Llama-3.1-70b-instruct'!J117</f>
        <v>0</v>
      </c>
    </row>
    <row r="943" customFormat="false" ht="15.75" hidden="false" customHeight="false" outlineLevel="0" collapsed="false">
      <c r="A943" s="116" t="n">
        <f aca="false">'🤖 Llama-3.1-70b-instruct'!$A$117</f>
        <v>0</v>
      </c>
      <c r="B943" s="8" t="s">
        <v>24</v>
      </c>
      <c r="C943" s="5" t="str">
        <f aca="false">'🤖 Llama-3.1-70b-instruct'!C118</f>
        <v>CoT</v>
      </c>
      <c r="D943" s="143" t="n">
        <f aca="false">'🤖 Llama-3.1-70b-instruct'!E118</f>
        <v>0.002427184466</v>
      </c>
      <c r="E943" s="182" t="n">
        <f aca="false">'🤖 Llama-3.1-70b-instruct'!F118</f>
        <v>0</v>
      </c>
      <c r="F943" s="182" t="n">
        <f aca="false">'🤖 Llama-3.1-70b-instruct'!G118</f>
        <v>0</v>
      </c>
      <c r="G943" s="182" t="n">
        <f aca="false">'🤖 Llama-3.1-70b-instruct'!H118</f>
        <v>0</v>
      </c>
      <c r="H943" s="182" t="n">
        <f aca="false">'🤖 Llama-3.1-70b-instruct'!I118</f>
        <v>0</v>
      </c>
      <c r="I943" s="182" t="n">
        <f aca="false">'🤖 Llama-3.1-70b-instruct'!J118</f>
        <v>0</v>
      </c>
    </row>
    <row r="944" customFormat="false" ht="15.75" hidden="false" customHeight="false" outlineLevel="0" collapsed="false">
      <c r="A944" s="116" t="n">
        <f aca="false">'🤖 Llama-3.1-70b-instruct'!$A$117</f>
        <v>0</v>
      </c>
      <c r="B944" s="8" t="s">
        <v>24</v>
      </c>
      <c r="C944" s="5" t="str">
        <f aca="false">'🤖 Llama-3.1-70b-instruct'!C119</f>
        <v>5W1H</v>
      </c>
      <c r="D944" s="143" t="n">
        <f aca="false">'🤖 Llama-3.1-70b-instruct'!E119</f>
        <v>0.002427184466</v>
      </c>
      <c r="E944" s="182" t="n">
        <f aca="false">'🤖 Llama-3.1-70b-instruct'!F119</f>
        <v>0</v>
      </c>
      <c r="F944" s="182" t="n">
        <f aca="false">'🤖 Llama-3.1-70b-instruct'!G119</f>
        <v>0</v>
      </c>
      <c r="G944" s="182" t="n">
        <f aca="false">'🤖 Llama-3.1-70b-instruct'!H119</f>
        <v>0</v>
      </c>
      <c r="H944" s="182" t="n">
        <f aca="false">'🤖 Llama-3.1-70b-instruct'!I119</f>
        <v>0</v>
      </c>
      <c r="I944" s="182" t="n">
        <f aca="false">'🤖 Llama-3.1-70b-instruct'!J119</f>
        <v>0</v>
      </c>
    </row>
    <row r="945" customFormat="false" ht="15.75" hidden="false" customHeight="false" outlineLevel="0" collapsed="false">
      <c r="A945" s="116" t="n">
        <f aca="false">'🤖 Llama-3.1-70b-instruct'!$A$117</f>
        <v>0</v>
      </c>
      <c r="B945" s="8" t="s">
        <v>24</v>
      </c>
      <c r="C945" s="5" t="str">
        <f aca="false">'🤖 Llama-3.1-70b-instruct'!C120</f>
        <v>tldr</v>
      </c>
      <c r="D945" s="143" t="n">
        <f aca="false">'🤖 Llama-3.1-70b-instruct'!E120</f>
        <v>0.002427184466</v>
      </c>
      <c r="E945" s="182" t="n">
        <f aca="false">'🤖 Llama-3.1-70b-instruct'!F120</f>
        <v>0</v>
      </c>
      <c r="F945" s="182" t="n">
        <f aca="false">'🤖 Llama-3.1-70b-instruct'!G120</f>
        <v>0</v>
      </c>
      <c r="G945" s="182" t="n">
        <f aca="false">'🤖 Llama-3.1-70b-instruct'!H120</f>
        <v>0</v>
      </c>
      <c r="H945" s="182" t="n">
        <f aca="false">'🤖 Llama-3.1-70b-instruct'!I120</f>
        <v>0</v>
      </c>
      <c r="I945" s="182" t="n">
        <f aca="false">'🤖 Llama-3.1-70b-instruct'!J120</f>
        <v>0</v>
      </c>
    </row>
    <row r="946" customFormat="false" ht="15.75" hidden="false" customHeight="false" outlineLevel="0" collapsed="false">
      <c r="A946" s="116"/>
      <c r="B946" s="8"/>
      <c r="C946" s="5"/>
      <c r="D946" s="143"/>
      <c r="E946" s="3"/>
      <c r="F946" s="3"/>
      <c r="G946" s="3"/>
      <c r="H946" s="3"/>
      <c r="I946" s="3"/>
    </row>
    <row r="947" customFormat="false" ht="15.75" hidden="false" customHeight="false" outlineLevel="0" collapsed="false">
      <c r="A947" s="116" t="n">
        <f aca="false">'🤖 Llama-3.1-70b-instruct'!$A$122</f>
        <v>0</v>
      </c>
      <c r="B947" s="8" t="s">
        <v>24</v>
      </c>
      <c r="C947" s="5" t="str">
        <f aca="false">'🤖 Llama-3.1-70b-instruct'!C122</f>
        <v>Base</v>
      </c>
      <c r="D947" s="143" t="n">
        <f aca="false">'🤖 Llama-3.1-70b-instruct'!E122</f>
        <v>0.002427184466</v>
      </c>
      <c r="E947" s="182" t="n">
        <f aca="false">'🤖 Llama-3.1-70b-instruct'!F122</f>
        <v>0</v>
      </c>
      <c r="F947" s="182" t="n">
        <f aca="false">'🤖 Llama-3.1-70b-instruct'!G122</f>
        <v>0</v>
      </c>
      <c r="G947" s="182" t="n">
        <f aca="false">'🤖 Llama-3.1-70b-instruct'!H122</f>
        <v>0</v>
      </c>
      <c r="H947" s="182" t="n">
        <f aca="false">'🤖 Llama-3.1-70b-instruct'!I122</f>
        <v>0</v>
      </c>
      <c r="I947" s="182" t="n">
        <f aca="false">'🤖 Llama-3.1-70b-instruct'!J122</f>
        <v>0</v>
      </c>
    </row>
    <row r="948" customFormat="false" ht="15.75" hidden="false" customHeight="false" outlineLevel="0" collapsed="false">
      <c r="A948" s="116" t="n">
        <f aca="false">'🤖 Llama-3.1-70b-instruct'!$A$122</f>
        <v>0</v>
      </c>
      <c r="B948" s="8" t="s">
        <v>24</v>
      </c>
      <c r="C948" s="5" t="str">
        <f aca="false">'🤖 Llama-3.1-70b-instruct'!C123</f>
        <v>CoT</v>
      </c>
      <c r="D948" s="143" t="n">
        <f aca="false">'🤖 Llama-3.1-70b-instruct'!E123</f>
        <v>0.002427184466</v>
      </c>
      <c r="E948" s="182" t="n">
        <f aca="false">'🤖 Llama-3.1-70b-instruct'!F123</f>
        <v>0</v>
      </c>
      <c r="F948" s="182" t="n">
        <f aca="false">'🤖 Llama-3.1-70b-instruct'!G123</f>
        <v>0</v>
      </c>
      <c r="G948" s="182" t="n">
        <f aca="false">'🤖 Llama-3.1-70b-instruct'!H123</f>
        <v>0</v>
      </c>
      <c r="H948" s="182" t="n">
        <f aca="false">'🤖 Llama-3.1-70b-instruct'!I123</f>
        <v>0</v>
      </c>
      <c r="I948" s="182" t="n">
        <f aca="false">'🤖 Llama-3.1-70b-instruct'!J123</f>
        <v>0</v>
      </c>
    </row>
    <row r="949" customFormat="false" ht="15.75" hidden="false" customHeight="false" outlineLevel="0" collapsed="false">
      <c r="A949" s="116" t="n">
        <f aca="false">'🤖 Llama-3.1-70b-instruct'!$A$122</f>
        <v>0</v>
      </c>
      <c r="B949" s="8" t="s">
        <v>24</v>
      </c>
      <c r="C949" s="5" t="str">
        <f aca="false">'🤖 Llama-3.1-70b-instruct'!C124</f>
        <v>5W1H</v>
      </c>
      <c r="D949" s="143" t="n">
        <f aca="false">'🤖 Llama-3.1-70b-instruct'!E124</f>
        <v>0.002427184466</v>
      </c>
      <c r="E949" s="182" t="n">
        <f aca="false">'🤖 Llama-3.1-70b-instruct'!F124</f>
        <v>0</v>
      </c>
      <c r="F949" s="182" t="n">
        <f aca="false">'🤖 Llama-3.1-70b-instruct'!G124</f>
        <v>0</v>
      </c>
      <c r="G949" s="182" t="n">
        <f aca="false">'🤖 Llama-3.1-70b-instruct'!H124</f>
        <v>0</v>
      </c>
      <c r="H949" s="182" t="n">
        <f aca="false">'🤖 Llama-3.1-70b-instruct'!I124</f>
        <v>0</v>
      </c>
      <c r="I949" s="182" t="n">
        <f aca="false">'🤖 Llama-3.1-70b-instruct'!J124</f>
        <v>0</v>
      </c>
    </row>
    <row r="950" customFormat="false" ht="15.75" hidden="false" customHeight="false" outlineLevel="0" collapsed="false">
      <c r="A950" s="116" t="n">
        <f aca="false">'🤖 Llama-3.1-70b-instruct'!$A$122</f>
        <v>0</v>
      </c>
      <c r="B950" s="8" t="s">
        <v>24</v>
      </c>
      <c r="C950" s="5" t="str">
        <f aca="false">'🤖 Llama-3.1-70b-instruct'!C125</f>
        <v>tldr</v>
      </c>
      <c r="D950" s="143" t="n">
        <f aca="false">'🤖 Llama-3.1-70b-instruct'!E125</f>
        <v>0.002427184466</v>
      </c>
      <c r="E950" s="182" t="n">
        <f aca="false">'🤖 Llama-3.1-70b-instruct'!F125</f>
        <v>0</v>
      </c>
      <c r="F950" s="182" t="n">
        <f aca="false">'🤖 Llama-3.1-70b-instruct'!G125</f>
        <v>0</v>
      </c>
      <c r="G950" s="182" t="n">
        <f aca="false">'🤖 Llama-3.1-70b-instruct'!H125</f>
        <v>0</v>
      </c>
      <c r="H950" s="182" t="n">
        <f aca="false">'🤖 Llama-3.1-70b-instruct'!I125</f>
        <v>0</v>
      </c>
      <c r="I950" s="182" t="n">
        <f aca="false">'🤖 Llama-3.1-70b-instruct'!J125</f>
        <v>0</v>
      </c>
    </row>
    <row r="951" customFormat="false" ht="15.75" hidden="false" customHeight="false" outlineLevel="0" collapsed="false">
      <c r="A951" s="116"/>
      <c r="B951" s="8"/>
      <c r="C951" s="5"/>
      <c r="D951" s="143"/>
      <c r="E951" s="3"/>
      <c r="F951" s="3"/>
      <c r="G951" s="3"/>
      <c r="H951" s="3"/>
      <c r="I951" s="3"/>
    </row>
    <row r="952" customFormat="false" ht="15.75" hidden="false" customHeight="false" outlineLevel="0" collapsed="false">
      <c r="A952" s="116" t="n">
        <f aca="false">'🤖 Llama-3.1-70b-instruct'!$A$127</f>
        <v>0</v>
      </c>
      <c r="B952" s="8" t="s">
        <v>24</v>
      </c>
      <c r="C952" s="5" t="str">
        <f aca="false">'🤖 Llama-3.1-70b-instruct'!C127</f>
        <v>Base</v>
      </c>
      <c r="D952" s="143" t="n">
        <f aca="false">'🤖 Llama-3.1-70b-instruct'!E127</f>
        <v>0.002427184466</v>
      </c>
      <c r="E952" s="182" t="n">
        <f aca="false">'🤖 Llama-3.1-70b-instruct'!F127</f>
        <v>0</v>
      </c>
      <c r="F952" s="182" t="n">
        <f aca="false">'🤖 Llama-3.1-70b-instruct'!G127</f>
        <v>0</v>
      </c>
      <c r="G952" s="182" t="n">
        <f aca="false">'🤖 Llama-3.1-70b-instruct'!H127</f>
        <v>0</v>
      </c>
      <c r="H952" s="182" t="n">
        <f aca="false">'🤖 Llama-3.1-70b-instruct'!I127</f>
        <v>0</v>
      </c>
      <c r="I952" s="182" t="n">
        <f aca="false">'🤖 Llama-3.1-70b-instruct'!J127</f>
        <v>0</v>
      </c>
    </row>
    <row r="953" customFormat="false" ht="15.75" hidden="false" customHeight="false" outlineLevel="0" collapsed="false">
      <c r="A953" s="116" t="n">
        <f aca="false">'🤖 Llama-3.1-70b-instruct'!$A$127</f>
        <v>0</v>
      </c>
      <c r="B953" s="8" t="s">
        <v>24</v>
      </c>
      <c r="C953" s="5" t="str">
        <f aca="false">'🤖 Llama-3.1-70b-instruct'!C128</f>
        <v>CoT</v>
      </c>
      <c r="D953" s="143" t="n">
        <f aca="false">'🤖 Llama-3.1-70b-instruct'!E128</f>
        <v>0.002427184466</v>
      </c>
      <c r="E953" s="182" t="n">
        <f aca="false">'🤖 Llama-3.1-70b-instruct'!F128</f>
        <v>0</v>
      </c>
      <c r="F953" s="182" t="n">
        <f aca="false">'🤖 Llama-3.1-70b-instruct'!G128</f>
        <v>0</v>
      </c>
      <c r="G953" s="182" t="n">
        <f aca="false">'🤖 Llama-3.1-70b-instruct'!H128</f>
        <v>0</v>
      </c>
      <c r="H953" s="182" t="n">
        <f aca="false">'🤖 Llama-3.1-70b-instruct'!I128</f>
        <v>0</v>
      </c>
      <c r="I953" s="182" t="n">
        <f aca="false">'🤖 Llama-3.1-70b-instruct'!J128</f>
        <v>0</v>
      </c>
    </row>
    <row r="954" customFormat="false" ht="15.75" hidden="false" customHeight="false" outlineLevel="0" collapsed="false">
      <c r="A954" s="116" t="n">
        <f aca="false">'🤖 Llama-3.1-70b-instruct'!$A$127</f>
        <v>0</v>
      </c>
      <c r="B954" s="8" t="s">
        <v>24</v>
      </c>
      <c r="C954" s="5" t="str">
        <f aca="false">'🤖 Llama-3.1-70b-instruct'!C129</f>
        <v>5W1H</v>
      </c>
      <c r="D954" s="143" t="n">
        <f aca="false">'🤖 Llama-3.1-70b-instruct'!E129</f>
        <v>0.002427184466</v>
      </c>
      <c r="E954" s="182" t="n">
        <f aca="false">'🤖 Llama-3.1-70b-instruct'!F129</f>
        <v>0</v>
      </c>
      <c r="F954" s="182" t="n">
        <f aca="false">'🤖 Llama-3.1-70b-instruct'!G129</f>
        <v>0</v>
      </c>
      <c r="G954" s="182" t="n">
        <f aca="false">'🤖 Llama-3.1-70b-instruct'!H129</f>
        <v>0</v>
      </c>
      <c r="H954" s="182" t="n">
        <f aca="false">'🤖 Llama-3.1-70b-instruct'!I129</f>
        <v>0</v>
      </c>
      <c r="I954" s="182" t="n">
        <f aca="false">'🤖 Llama-3.1-70b-instruct'!J129</f>
        <v>0</v>
      </c>
    </row>
    <row r="955" customFormat="false" ht="15.75" hidden="false" customHeight="false" outlineLevel="0" collapsed="false">
      <c r="A955" s="116" t="n">
        <f aca="false">'🤖 Llama-3.1-70b-instruct'!$A$127</f>
        <v>0</v>
      </c>
      <c r="B955" s="8" t="s">
        <v>24</v>
      </c>
      <c r="C955" s="5" t="str">
        <f aca="false">'🤖 Llama-3.1-70b-instruct'!C130</f>
        <v>tldr</v>
      </c>
      <c r="D955" s="143" t="n">
        <f aca="false">'🤖 Llama-3.1-70b-instruct'!E130</f>
        <v>0.002427184466</v>
      </c>
      <c r="E955" s="182" t="n">
        <f aca="false">'🤖 Llama-3.1-70b-instruct'!F130</f>
        <v>0</v>
      </c>
      <c r="F955" s="182" t="n">
        <f aca="false">'🤖 Llama-3.1-70b-instruct'!G130</f>
        <v>0</v>
      </c>
      <c r="G955" s="182" t="n">
        <f aca="false">'🤖 Llama-3.1-70b-instruct'!H130</f>
        <v>0</v>
      </c>
      <c r="H955" s="182" t="n">
        <f aca="false">'🤖 Llama-3.1-70b-instruct'!I130</f>
        <v>0</v>
      </c>
      <c r="I955" s="182" t="n">
        <f aca="false">'🤖 Llama-3.1-70b-instruct'!J130</f>
        <v>0</v>
      </c>
    </row>
    <row r="956" customFormat="false" ht="15.75" hidden="false" customHeight="false" outlineLevel="0" collapsed="false">
      <c r="A956" s="116"/>
      <c r="B956" s="8"/>
      <c r="C956" s="5"/>
      <c r="D956" s="143"/>
      <c r="E956" s="3"/>
      <c r="F956" s="3"/>
      <c r="G956" s="3"/>
      <c r="H956" s="3"/>
      <c r="I956" s="3"/>
    </row>
    <row r="957" customFormat="false" ht="15.75" hidden="false" customHeight="false" outlineLevel="0" collapsed="false">
      <c r="A957" s="116" t="n">
        <f aca="false">'🤖 Llama-3.1-70b-instruct'!$A$132</f>
        <v>0</v>
      </c>
      <c r="B957" s="8" t="s">
        <v>24</v>
      </c>
      <c r="C957" s="5" t="str">
        <f aca="false">'🤖 Llama-3.1-70b-instruct'!C132</f>
        <v>Base</v>
      </c>
      <c r="D957" s="143" t="n">
        <f aca="false">'🤖 Llama-3.1-70b-instruct'!E132</f>
        <v>0.002427184466</v>
      </c>
      <c r="E957" s="182" t="n">
        <f aca="false">'🤖 Llama-3.1-70b-instruct'!F132</f>
        <v>0</v>
      </c>
      <c r="F957" s="182" t="n">
        <f aca="false">'🤖 Llama-3.1-70b-instruct'!G132</f>
        <v>0</v>
      </c>
      <c r="G957" s="182" t="n">
        <f aca="false">'🤖 Llama-3.1-70b-instruct'!H132</f>
        <v>0</v>
      </c>
      <c r="H957" s="182" t="n">
        <f aca="false">'🤖 Llama-3.1-70b-instruct'!I132</f>
        <v>0</v>
      </c>
      <c r="I957" s="182" t="n">
        <f aca="false">'🤖 Llama-3.1-70b-instruct'!J132</f>
        <v>0</v>
      </c>
    </row>
    <row r="958" customFormat="false" ht="15.75" hidden="false" customHeight="false" outlineLevel="0" collapsed="false">
      <c r="A958" s="116" t="n">
        <f aca="false">'🤖 Llama-3.1-70b-instruct'!$A$132</f>
        <v>0</v>
      </c>
      <c r="B958" s="8" t="s">
        <v>24</v>
      </c>
      <c r="C958" s="5" t="str">
        <f aca="false">'🤖 Llama-3.1-70b-instruct'!C133</f>
        <v>CoT</v>
      </c>
      <c r="D958" s="143" t="n">
        <f aca="false">'🤖 Llama-3.1-70b-instruct'!E133</f>
        <v>0.002427184466</v>
      </c>
      <c r="E958" s="182" t="n">
        <f aca="false">'🤖 Llama-3.1-70b-instruct'!F133</f>
        <v>0</v>
      </c>
      <c r="F958" s="182" t="n">
        <f aca="false">'🤖 Llama-3.1-70b-instruct'!G133</f>
        <v>0</v>
      </c>
      <c r="G958" s="182" t="n">
        <f aca="false">'🤖 Llama-3.1-70b-instruct'!H133</f>
        <v>0</v>
      </c>
      <c r="H958" s="182" t="n">
        <f aca="false">'🤖 Llama-3.1-70b-instruct'!I133</f>
        <v>0</v>
      </c>
      <c r="I958" s="182" t="n">
        <f aca="false">'🤖 Llama-3.1-70b-instruct'!J133</f>
        <v>0</v>
      </c>
    </row>
    <row r="959" customFormat="false" ht="15.75" hidden="false" customHeight="false" outlineLevel="0" collapsed="false">
      <c r="A959" s="116" t="n">
        <f aca="false">'🤖 Llama-3.1-70b-instruct'!$A$132</f>
        <v>0</v>
      </c>
      <c r="B959" s="8" t="s">
        <v>24</v>
      </c>
      <c r="C959" s="5" t="str">
        <f aca="false">'🤖 Llama-3.1-70b-instruct'!C134</f>
        <v>5W1H</v>
      </c>
      <c r="D959" s="143" t="n">
        <f aca="false">'🤖 Llama-3.1-70b-instruct'!E134</f>
        <v>0.002427184466</v>
      </c>
      <c r="E959" s="182" t="n">
        <f aca="false">'🤖 Llama-3.1-70b-instruct'!F134</f>
        <v>0</v>
      </c>
      <c r="F959" s="182" t="n">
        <f aca="false">'🤖 Llama-3.1-70b-instruct'!G134</f>
        <v>0</v>
      </c>
      <c r="G959" s="182" t="n">
        <f aca="false">'🤖 Llama-3.1-70b-instruct'!H134</f>
        <v>0</v>
      </c>
      <c r="H959" s="182" t="n">
        <f aca="false">'🤖 Llama-3.1-70b-instruct'!I134</f>
        <v>0</v>
      </c>
      <c r="I959" s="182" t="n">
        <f aca="false">'🤖 Llama-3.1-70b-instruct'!J134</f>
        <v>0</v>
      </c>
    </row>
    <row r="960" customFormat="false" ht="15.75" hidden="false" customHeight="false" outlineLevel="0" collapsed="false">
      <c r="A960" s="116" t="n">
        <f aca="false">'🤖 Llama-3.1-70b-instruct'!$A$132</f>
        <v>0</v>
      </c>
      <c r="B960" s="8" t="s">
        <v>24</v>
      </c>
      <c r="C960" s="5" t="str">
        <f aca="false">'🤖 Llama-3.1-70b-instruct'!C135</f>
        <v>tldr</v>
      </c>
      <c r="D960" s="143" t="n">
        <f aca="false">'🤖 Llama-3.1-70b-instruct'!E135</f>
        <v>0.002427184466</v>
      </c>
      <c r="E960" s="182" t="n">
        <f aca="false">'🤖 Llama-3.1-70b-instruct'!F135</f>
        <v>0</v>
      </c>
      <c r="F960" s="182" t="n">
        <f aca="false">'🤖 Llama-3.1-70b-instruct'!G135</f>
        <v>0</v>
      </c>
      <c r="G960" s="182" t="n">
        <f aca="false">'🤖 Llama-3.1-70b-instruct'!H135</f>
        <v>0</v>
      </c>
      <c r="H960" s="182" t="n">
        <f aca="false">'🤖 Llama-3.1-70b-instruct'!I135</f>
        <v>0</v>
      </c>
      <c r="I960" s="182" t="n">
        <f aca="false">'🤖 Llama-3.1-70b-instruct'!J135</f>
        <v>0</v>
      </c>
    </row>
    <row r="961" customFormat="false" ht="15.75" hidden="false" customHeight="false" outlineLevel="0" collapsed="false">
      <c r="A961" s="116"/>
      <c r="B961" s="8"/>
      <c r="C961" s="5"/>
      <c r="D961" s="143"/>
      <c r="E961" s="3"/>
      <c r="F961" s="3"/>
      <c r="G961" s="3"/>
      <c r="H961" s="3"/>
      <c r="I961" s="3"/>
    </row>
    <row r="962" customFormat="false" ht="15.75" hidden="false" customHeight="false" outlineLevel="0" collapsed="false">
      <c r="A962" s="116" t="n">
        <f aca="false">'🤖 Llama-3.1-70b-instruct'!$A$137</f>
        <v>0</v>
      </c>
      <c r="B962" s="8" t="s">
        <v>24</v>
      </c>
      <c r="C962" s="5" t="str">
        <f aca="false">'🤖 Llama-3.1-70b-instruct'!C137</f>
        <v>Base</v>
      </c>
      <c r="D962" s="143" t="n">
        <f aca="false">'🤖 Llama-3.1-70b-instruct'!E137</f>
        <v>0.002427184466</v>
      </c>
      <c r="E962" s="182" t="n">
        <f aca="false">'🤖 Llama-3.1-70b-instruct'!F137</f>
        <v>0</v>
      </c>
      <c r="F962" s="182" t="n">
        <f aca="false">'🤖 Llama-3.1-70b-instruct'!G137</f>
        <v>0</v>
      </c>
      <c r="G962" s="182" t="n">
        <f aca="false">'🤖 Llama-3.1-70b-instruct'!H137</f>
        <v>0</v>
      </c>
      <c r="H962" s="182" t="n">
        <f aca="false">'🤖 Llama-3.1-70b-instruct'!I137</f>
        <v>0</v>
      </c>
      <c r="I962" s="182" t="n">
        <f aca="false">'🤖 Llama-3.1-70b-instruct'!J137</f>
        <v>0</v>
      </c>
    </row>
    <row r="963" customFormat="false" ht="15.75" hidden="false" customHeight="false" outlineLevel="0" collapsed="false">
      <c r="A963" s="116" t="n">
        <f aca="false">'🤖 Llama-3.1-70b-instruct'!$A$137</f>
        <v>0</v>
      </c>
      <c r="B963" s="8" t="s">
        <v>24</v>
      </c>
      <c r="C963" s="5" t="str">
        <f aca="false">'🤖 Llama-3.1-70b-instruct'!C138</f>
        <v>CoT</v>
      </c>
      <c r="D963" s="143" t="n">
        <f aca="false">'🤖 Llama-3.1-70b-instruct'!E138</f>
        <v>0.002427184466</v>
      </c>
      <c r="E963" s="182" t="n">
        <f aca="false">'🤖 Llama-3.1-70b-instruct'!F138</f>
        <v>0</v>
      </c>
      <c r="F963" s="182" t="n">
        <f aca="false">'🤖 Llama-3.1-70b-instruct'!G138</f>
        <v>0</v>
      </c>
      <c r="G963" s="182" t="n">
        <f aca="false">'🤖 Llama-3.1-70b-instruct'!H138</f>
        <v>0</v>
      </c>
      <c r="H963" s="182" t="n">
        <f aca="false">'🤖 Llama-3.1-70b-instruct'!I138</f>
        <v>0</v>
      </c>
      <c r="I963" s="182" t="n">
        <f aca="false">'🤖 Llama-3.1-70b-instruct'!J138</f>
        <v>0</v>
      </c>
    </row>
    <row r="964" customFormat="false" ht="15.75" hidden="false" customHeight="false" outlineLevel="0" collapsed="false">
      <c r="A964" s="116" t="n">
        <f aca="false">'🤖 Llama-3.1-70b-instruct'!$A$137</f>
        <v>0</v>
      </c>
      <c r="B964" s="8" t="s">
        <v>24</v>
      </c>
      <c r="C964" s="5" t="str">
        <f aca="false">'🤖 Llama-3.1-70b-instruct'!C139</f>
        <v>5W1H</v>
      </c>
      <c r="D964" s="143" t="n">
        <f aca="false">'🤖 Llama-3.1-70b-instruct'!E139</f>
        <v>0.002427184466</v>
      </c>
      <c r="E964" s="182" t="n">
        <f aca="false">'🤖 Llama-3.1-70b-instruct'!F139</f>
        <v>0</v>
      </c>
      <c r="F964" s="182" t="n">
        <f aca="false">'🤖 Llama-3.1-70b-instruct'!G139</f>
        <v>0</v>
      </c>
      <c r="G964" s="182" t="n">
        <f aca="false">'🤖 Llama-3.1-70b-instruct'!H139</f>
        <v>0</v>
      </c>
      <c r="H964" s="182" t="n">
        <f aca="false">'🤖 Llama-3.1-70b-instruct'!I139</f>
        <v>0</v>
      </c>
      <c r="I964" s="182" t="n">
        <f aca="false">'🤖 Llama-3.1-70b-instruct'!J139</f>
        <v>0</v>
      </c>
    </row>
    <row r="965" customFormat="false" ht="15.75" hidden="false" customHeight="false" outlineLevel="0" collapsed="false">
      <c r="A965" s="116" t="n">
        <f aca="false">'🤖 Llama-3.1-70b-instruct'!$A$137</f>
        <v>0</v>
      </c>
      <c r="B965" s="8" t="s">
        <v>24</v>
      </c>
      <c r="C965" s="5" t="str">
        <f aca="false">'🤖 Llama-3.1-70b-instruct'!C140</f>
        <v>tldr</v>
      </c>
      <c r="D965" s="143" t="n">
        <f aca="false">'🤖 Llama-3.1-70b-instruct'!E140</f>
        <v>0.002427184466</v>
      </c>
      <c r="E965" s="182" t="n">
        <f aca="false">'🤖 Llama-3.1-70b-instruct'!F140</f>
        <v>0</v>
      </c>
      <c r="F965" s="182" t="n">
        <f aca="false">'🤖 Llama-3.1-70b-instruct'!G140</f>
        <v>0</v>
      </c>
      <c r="G965" s="182" t="n">
        <f aca="false">'🤖 Llama-3.1-70b-instruct'!H140</f>
        <v>0</v>
      </c>
      <c r="H965" s="182" t="n">
        <f aca="false">'🤖 Llama-3.1-70b-instruct'!I140</f>
        <v>0</v>
      </c>
      <c r="I965" s="182" t="n">
        <f aca="false">'🤖 Llama-3.1-70b-instruct'!J140</f>
        <v>0</v>
      </c>
    </row>
    <row r="966" customFormat="false" ht="15.75" hidden="false" customHeight="false" outlineLevel="0" collapsed="false">
      <c r="A966" s="116"/>
      <c r="B966" s="8"/>
      <c r="C966" s="5"/>
      <c r="D966" s="143"/>
      <c r="E966" s="3"/>
      <c r="F966" s="3"/>
      <c r="G966" s="3"/>
      <c r="H966" s="3"/>
      <c r="I966" s="3"/>
    </row>
    <row r="967" customFormat="false" ht="15.75" hidden="false" customHeight="false" outlineLevel="0" collapsed="false">
      <c r="A967" s="116" t="n">
        <f aca="false">'🤖 Llama-3.1-70b-instruct'!$A$142</f>
        <v>0</v>
      </c>
      <c r="B967" s="8" t="s">
        <v>24</v>
      </c>
      <c r="C967" s="5" t="str">
        <f aca="false">'🤖 Llama-3.1-70b-instruct'!C142</f>
        <v>Base</v>
      </c>
      <c r="D967" s="143" t="n">
        <f aca="false">'🤖 Llama-3.1-70b-instruct'!E142</f>
        <v>0.002427184466</v>
      </c>
      <c r="E967" s="182" t="n">
        <f aca="false">'🤖 Llama-3.1-70b-instruct'!F142</f>
        <v>0</v>
      </c>
      <c r="F967" s="182" t="n">
        <f aca="false">'🤖 Llama-3.1-70b-instruct'!G142</f>
        <v>0</v>
      </c>
      <c r="G967" s="182" t="n">
        <f aca="false">'🤖 Llama-3.1-70b-instruct'!H142</f>
        <v>0</v>
      </c>
      <c r="H967" s="182" t="n">
        <f aca="false">'🤖 Llama-3.1-70b-instruct'!I142</f>
        <v>0</v>
      </c>
      <c r="I967" s="182" t="n">
        <f aca="false">'🤖 Llama-3.1-70b-instruct'!J142</f>
        <v>0</v>
      </c>
    </row>
    <row r="968" customFormat="false" ht="15.75" hidden="false" customHeight="false" outlineLevel="0" collapsed="false">
      <c r="A968" s="116" t="n">
        <f aca="false">'🤖 Llama-3.1-70b-instruct'!$A$142</f>
        <v>0</v>
      </c>
      <c r="B968" s="8" t="s">
        <v>24</v>
      </c>
      <c r="C968" s="5" t="str">
        <f aca="false">'🤖 Llama-3.1-70b-instruct'!C143</f>
        <v>CoT</v>
      </c>
      <c r="D968" s="143" t="n">
        <f aca="false">'🤖 Llama-3.1-70b-instruct'!E143</f>
        <v>0.002427184466</v>
      </c>
      <c r="E968" s="182" t="n">
        <f aca="false">'🤖 Llama-3.1-70b-instruct'!F143</f>
        <v>0</v>
      </c>
      <c r="F968" s="182" t="n">
        <f aca="false">'🤖 Llama-3.1-70b-instruct'!G143</f>
        <v>0</v>
      </c>
      <c r="G968" s="182" t="n">
        <f aca="false">'🤖 Llama-3.1-70b-instruct'!H143</f>
        <v>0</v>
      </c>
      <c r="H968" s="182" t="n">
        <f aca="false">'🤖 Llama-3.1-70b-instruct'!I143</f>
        <v>0</v>
      </c>
      <c r="I968" s="182" t="n">
        <f aca="false">'🤖 Llama-3.1-70b-instruct'!J143</f>
        <v>0</v>
      </c>
    </row>
    <row r="969" customFormat="false" ht="15.75" hidden="false" customHeight="false" outlineLevel="0" collapsed="false">
      <c r="A969" s="116" t="n">
        <f aca="false">'🤖 Llama-3.1-70b-instruct'!$A$142</f>
        <v>0</v>
      </c>
      <c r="B969" s="8" t="s">
        <v>24</v>
      </c>
      <c r="C969" s="5" t="str">
        <f aca="false">'🤖 Llama-3.1-70b-instruct'!C144</f>
        <v>5W1H</v>
      </c>
      <c r="D969" s="143" t="n">
        <f aca="false">'🤖 Llama-3.1-70b-instruct'!E144</f>
        <v>0.002427184466</v>
      </c>
      <c r="E969" s="182" t="n">
        <f aca="false">'🤖 Llama-3.1-70b-instruct'!F144</f>
        <v>0</v>
      </c>
      <c r="F969" s="182" t="n">
        <f aca="false">'🤖 Llama-3.1-70b-instruct'!G144</f>
        <v>0</v>
      </c>
      <c r="G969" s="182" t="n">
        <f aca="false">'🤖 Llama-3.1-70b-instruct'!H144</f>
        <v>0</v>
      </c>
      <c r="H969" s="182" t="n">
        <f aca="false">'🤖 Llama-3.1-70b-instruct'!I144</f>
        <v>0</v>
      </c>
      <c r="I969" s="182" t="n">
        <f aca="false">'🤖 Llama-3.1-70b-instruct'!J144</f>
        <v>0</v>
      </c>
    </row>
    <row r="970" customFormat="false" ht="15.75" hidden="false" customHeight="false" outlineLevel="0" collapsed="false">
      <c r="A970" s="116" t="n">
        <f aca="false">'🤖 Llama-3.1-70b-instruct'!$A$142</f>
        <v>0</v>
      </c>
      <c r="B970" s="8" t="s">
        <v>24</v>
      </c>
      <c r="C970" s="5" t="str">
        <f aca="false">'🤖 Llama-3.1-70b-instruct'!C145</f>
        <v>tldr</v>
      </c>
      <c r="D970" s="143" t="n">
        <f aca="false">'🤖 Llama-3.1-70b-instruct'!E145</f>
        <v>0.002427184466</v>
      </c>
      <c r="E970" s="182" t="n">
        <f aca="false">'🤖 Llama-3.1-70b-instruct'!F145</f>
        <v>0</v>
      </c>
      <c r="F970" s="182" t="n">
        <f aca="false">'🤖 Llama-3.1-70b-instruct'!G145</f>
        <v>0</v>
      </c>
      <c r="G970" s="182" t="n">
        <f aca="false">'🤖 Llama-3.1-70b-instruct'!H145</f>
        <v>0</v>
      </c>
      <c r="H970" s="182" t="n">
        <f aca="false">'🤖 Llama-3.1-70b-instruct'!I145</f>
        <v>0</v>
      </c>
      <c r="I970" s="182" t="n">
        <f aca="false">'🤖 Llama-3.1-70b-instruct'!J145</f>
        <v>0</v>
      </c>
    </row>
    <row r="971" customFormat="false" ht="15.75" hidden="false" customHeight="false" outlineLevel="0" collapsed="false">
      <c r="A971" s="116"/>
      <c r="B971" s="8"/>
      <c r="C971" s="5"/>
      <c r="D971" s="143"/>
      <c r="E971" s="3"/>
      <c r="F971" s="3"/>
      <c r="G971" s="3"/>
      <c r="H971" s="3"/>
      <c r="I971" s="3"/>
    </row>
    <row r="972" customFormat="false" ht="15.75" hidden="false" customHeight="false" outlineLevel="0" collapsed="false">
      <c r="A972" s="116" t="n">
        <f aca="false">'🤖 Llama-3.1-70b-instruct'!$A$147</f>
        <v>0</v>
      </c>
      <c r="B972" s="8" t="s">
        <v>24</v>
      </c>
      <c r="C972" s="5" t="str">
        <f aca="false">'🤖 Llama-3.1-70b-instruct'!C147</f>
        <v>Base</v>
      </c>
      <c r="D972" s="143" t="n">
        <f aca="false">'🤖 Llama-3.1-70b-instruct'!E147</f>
        <v>0.002427184466</v>
      </c>
      <c r="E972" s="182" t="n">
        <f aca="false">'🤖 Llama-3.1-70b-instruct'!F147</f>
        <v>0</v>
      </c>
      <c r="F972" s="182" t="n">
        <f aca="false">'🤖 Llama-3.1-70b-instruct'!G147</f>
        <v>0</v>
      </c>
      <c r="G972" s="182" t="n">
        <f aca="false">'🤖 Llama-3.1-70b-instruct'!H147</f>
        <v>0</v>
      </c>
      <c r="H972" s="182" t="n">
        <f aca="false">'🤖 Llama-3.1-70b-instruct'!I147</f>
        <v>0</v>
      </c>
      <c r="I972" s="182" t="n">
        <f aca="false">'🤖 Llama-3.1-70b-instruct'!J147</f>
        <v>0</v>
      </c>
    </row>
    <row r="973" customFormat="false" ht="15.75" hidden="false" customHeight="false" outlineLevel="0" collapsed="false">
      <c r="A973" s="116" t="n">
        <f aca="false">'🤖 Llama-3.1-70b-instruct'!$A$147</f>
        <v>0</v>
      </c>
      <c r="B973" s="8" t="s">
        <v>24</v>
      </c>
      <c r="C973" s="5" t="str">
        <f aca="false">'🤖 Llama-3.1-70b-instruct'!C148</f>
        <v>CoT</v>
      </c>
      <c r="D973" s="143" t="n">
        <f aca="false">'🤖 Llama-3.1-70b-instruct'!E148</f>
        <v>0.002427184466</v>
      </c>
      <c r="E973" s="182" t="n">
        <f aca="false">'🤖 Llama-3.1-70b-instruct'!F148</f>
        <v>0</v>
      </c>
      <c r="F973" s="182" t="n">
        <f aca="false">'🤖 Llama-3.1-70b-instruct'!G148</f>
        <v>0</v>
      </c>
      <c r="G973" s="182" t="n">
        <f aca="false">'🤖 Llama-3.1-70b-instruct'!H148</f>
        <v>0</v>
      </c>
      <c r="H973" s="182" t="n">
        <f aca="false">'🤖 Llama-3.1-70b-instruct'!I148</f>
        <v>0</v>
      </c>
      <c r="I973" s="182" t="n">
        <f aca="false">'🤖 Llama-3.1-70b-instruct'!J148</f>
        <v>0</v>
      </c>
    </row>
    <row r="974" customFormat="false" ht="15.75" hidden="false" customHeight="false" outlineLevel="0" collapsed="false">
      <c r="A974" s="116" t="n">
        <f aca="false">'🤖 Llama-3.1-70b-instruct'!$A$147</f>
        <v>0</v>
      </c>
      <c r="B974" s="8" t="s">
        <v>24</v>
      </c>
      <c r="C974" s="5" t="str">
        <f aca="false">'🤖 Llama-3.1-70b-instruct'!C149</f>
        <v>5W1H</v>
      </c>
      <c r="D974" s="143" t="n">
        <f aca="false">'🤖 Llama-3.1-70b-instruct'!E149</f>
        <v>0.002427184466</v>
      </c>
      <c r="E974" s="182" t="n">
        <f aca="false">'🤖 Llama-3.1-70b-instruct'!F149</f>
        <v>0</v>
      </c>
      <c r="F974" s="182" t="n">
        <f aca="false">'🤖 Llama-3.1-70b-instruct'!G149</f>
        <v>0</v>
      </c>
      <c r="G974" s="182" t="n">
        <f aca="false">'🤖 Llama-3.1-70b-instruct'!H149</f>
        <v>0</v>
      </c>
      <c r="H974" s="182" t="n">
        <f aca="false">'🤖 Llama-3.1-70b-instruct'!I149</f>
        <v>0</v>
      </c>
      <c r="I974" s="182" t="n">
        <f aca="false">'🤖 Llama-3.1-70b-instruct'!J149</f>
        <v>0</v>
      </c>
    </row>
    <row r="975" customFormat="false" ht="15.75" hidden="false" customHeight="false" outlineLevel="0" collapsed="false">
      <c r="A975" s="116" t="n">
        <f aca="false">'🤖 Llama-3.1-70b-instruct'!$A$147</f>
        <v>0</v>
      </c>
      <c r="B975" s="8" t="s">
        <v>24</v>
      </c>
      <c r="C975" s="5" t="str">
        <f aca="false">'🤖 Llama-3.1-70b-instruct'!C150</f>
        <v>tldr</v>
      </c>
      <c r="D975" s="143" t="n">
        <f aca="false">'🤖 Llama-3.1-70b-instruct'!E150</f>
        <v>0.002427184466</v>
      </c>
      <c r="E975" s="182" t="n">
        <f aca="false">'🤖 Llama-3.1-70b-instruct'!F150</f>
        <v>0</v>
      </c>
      <c r="F975" s="182" t="n">
        <f aca="false">'🤖 Llama-3.1-70b-instruct'!G150</f>
        <v>0</v>
      </c>
      <c r="G975" s="182" t="n">
        <f aca="false">'🤖 Llama-3.1-70b-instruct'!H150</f>
        <v>0</v>
      </c>
      <c r="H975" s="182" t="n">
        <f aca="false">'🤖 Llama-3.1-70b-instruct'!I150</f>
        <v>0</v>
      </c>
      <c r="I975" s="182" t="n">
        <f aca="false">'🤖 Llama-3.1-70b-instruct'!J150</f>
        <v>0</v>
      </c>
    </row>
    <row r="976" customFormat="false" ht="15.75" hidden="false" customHeight="false" outlineLevel="0" collapsed="false">
      <c r="A976" s="116"/>
      <c r="B976" s="8"/>
      <c r="C976" s="5"/>
      <c r="D976" s="143"/>
      <c r="E976" s="3"/>
      <c r="F976" s="3"/>
      <c r="G976" s="3"/>
      <c r="H976" s="3"/>
      <c r="I976" s="3"/>
    </row>
    <row r="977" customFormat="false" ht="15.75" hidden="false" customHeight="false" outlineLevel="0" collapsed="false">
      <c r="A977" s="116" t="n">
        <f aca="false">'🤖 Llama-3.1-70b-instruct'!$A$152</f>
        <v>0</v>
      </c>
      <c r="B977" s="8" t="s">
        <v>24</v>
      </c>
      <c r="C977" s="5" t="str">
        <f aca="false">'🤖 Llama-3.1-70b-instruct'!C152</f>
        <v>Base</v>
      </c>
      <c r="D977" s="143" t="n">
        <f aca="false">'🤖 Llama-3.1-70b-instruct'!E152</f>
        <v>0.002427184466</v>
      </c>
      <c r="E977" s="182" t="n">
        <f aca="false">'🤖 Llama-3.1-70b-instruct'!F152</f>
        <v>0</v>
      </c>
      <c r="F977" s="182" t="n">
        <f aca="false">'🤖 Llama-3.1-70b-instruct'!G152</f>
        <v>0</v>
      </c>
      <c r="G977" s="182" t="n">
        <f aca="false">'🤖 Llama-3.1-70b-instruct'!H152</f>
        <v>0</v>
      </c>
      <c r="H977" s="182" t="n">
        <f aca="false">'🤖 Llama-3.1-70b-instruct'!I152</f>
        <v>0</v>
      </c>
      <c r="I977" s="182" t="n">
        <f aca="false">'🤖 Llama-3.1-70b-instruct'!J152</f>
        <v>0</v>
      </c>
    </row>
    <row r="978" customFormat="false" ht="15.75" hidden="false" customHeight="false" outlineLevel="0" collapsed="false">
      <c r="A978" s="116" t="n">
        <f aca="false">'🤖 Llama-3.1-70b-instruct'!$A$152</f>
        <v>0</v>
      </c>
      <c r="B978" s="8" t="s">
        <v>24</v>
      </c>
      <c r="C978" s="5" t="str">
        <f aca="false">'🤖 Llama-3.1-70b-instruct'!C153</f>
        <v>CoT</v>
      </c>
      <c r="D978" s="143" t="n">
        <f aca="false">'🤖 Llama-3.1-70b-instruct'!E153</f>
        <v>0.002427184466</v>
      </c>
      <c r="E978" s="182" t="n">
        <f aca="false">'🤖 Llama-3.1-70b-instruct'!F153</f>
        <v>0</v>
      </c>
      <c r="F978" s="182" t="n">
        <f aca="false">'🤖 Llama-3.1-70b-instruct'!G153</f>
        <v>0</v>
      </c>
      <c r="G978" s="182" t="n">
        <f aca="false">'🤖 Llama-3.1-70b-instruct'!H153</f>
        <v>0</v>
      </c>
      <c r="H978" s="182" t="n">
        <f aca="false">'🤖 Llama-3.1-70b-instruct'!I153</f>
        <v>0</v>
      </c>
      <c r="I978" s="182" t="n">
        <f aca="false">'🤖 Llama-3.1-70b-instruct'!J153</f>
        <v>0</v>
      </c>
    </row>
    <row r="979" customFormat="false" ht="15.75" hidden="false" customHeight="false" outlineLevel="0" collapsed="false">
      <c r="A979" s="116" t="n">
        <f aca="false">'🤖 Llama-3.1-70b-instruct'!$A$152</f>
        <v>0</v>
      </c>
      <c r="B979" s="8" t="s">
        <v>24</v>
      </c>
      <c r="C979" s="5" t="str">
        <f aca="false">'🤖 Llama-3.1-70b-instruct'!C154</f>
        <v>5W1H</v>
      </c>
      <c r="D979" s="143" t="n">
        <f aca="false">'🤖 Llama-3.1-70b-instruct'!E154</f>
        <v>0.002427184466</v>
      </c>
      <c r="E979" s="182" t="n">
        <f aca="false">'🤖 Llama-3.1-70b-instruct'!F154</f>
        <v>0</v>
      </c>
      <c r="F979" s="182" t="n">
        <f aca="false">'🤖 Llama-3.1-70b-instruct'!G154</f>
        <v>0</v>
      </c>
      <c r="G979" s="182" t="n">
        <f aca="false">'🤖 Llama-3.1-70b-instruct'!H154</f>
        <v>0</v>
      </c>
      <c r="H979" s="182" t="n">
        <f aca="false">'🤖 Llama-3.1-70b-instruct'!I154</f>
        <v>0</v>
      </c>
      <c r="I979" s="182" t="n">
        <f aca="false">'🤖 Llama-3.1-70b-instruct'!J154</f>
        <v>0</v>
      </c>
    </row>
    <row r="980" customFormat="false" ht="15.75" hidden="false" customHeight="false" outlineLevel="0" collapsed="false">
      <c r="A980" s="116" t="n">
        <f aca="false">'🤖 Llama-3.1-70b-instruct'!$A$152</f>
        <v>0</v>
      </c>
      <c r="B980" s="8" t="s">
        <v>24</v>
      </c>
      <c r="C980" s="5" t="str">
        <f aca="false">'🤖 Llama-3.1-70b-instruct'!C155</f>
        <v>tldr</v>
      </c>
      <c r="D980" s="143" t="n">
        <f aca="false">'🤖 Llama-3.1-70b-instruct'!E155</f>
        <v>0.002427184466</v>
      </c>
      <c r="E980" s="182" t="n">
        <f aca="false">'🤖 Llama-3.1-70b-instruct'!F155</f>
        <v>0</v>
      </c>
      <c r="F980" s="182" t="n">
        <f aca="false">'🤖 Llama-3.1-70b-instruct'!G155</f>
        <v>0</v>
      </c>
      <c r="G980" s="182" t="n">
        <f aca="false">'🤖 Llama-3.1-70b-instruct'!H155</f>
        <v>0</v>
      </c>
      <c r="H980" s="182" t="n">
        <f aca="false">'🤖 Llama-3.1-70b-instruct'!I155</f>
        <v>0</v>
      </c>
      <c r="I980" s="182" t="n">
        <f aca="false">'🤖 Llama-3.1-70b-instruct'!J155</f>
        <v>0</v>
      </c>
    </row>
    <row r="981" customFormat="false" ht="15.75" hidden="false" customHeight="false" outlineLevel="0" collapsed="false">
      <c r="A981" s="116"/>
      <c r="B981" s="8"/>
      <c r="C981" s="5"/>
      <c r="D981" s="143"/>
      <c r="E981" s="3"/>
      <c r="F981" s="3"/>
      <c r="G981" s="3"/>
      <c r="H981" s="3"/>
      <c r="I981" s="3"/>
    </row>
    <row r="982" customFormat="false" ht="15.75" hidden="false" customHeight="false" outlineLevel="0" collapsed="false">
      <c r="A982" s="116" t="n">
        <f aca="false">'🤖 Llama-3.1-70b-instruct'!$A$157</f>
        <v>0</v>
      </c>
      <c r="B982" s="8" t="s">
        <v>24</v>
      </c>
      <c r="C982" s="5" t="str">
        <f aca="false">'🤖 Llama-3.1-70b-instruct'!C157</f>
        <v>Base</v>
      </c>
      <c r="D982" s="143" t="n">
        <f aca="false">'🤖 Llama-3.1-70b-instruct'!E157</f>
        <v>0.002427184466</v>
      </c>
      <c r="E982" s="182" t="n">
        <f aca="false">'🤖 Llama-3.1-70b-instruct'!F157</f>
        <v>0</v>
      </c>
      <c r="F982" s="182" t="n">
        <f aca="false">'🤖 Llama-3.1-70b-instruct'!G157</f>
        <v>0</v>
      </c>
      <c r="G982" s="182" t="n">
        <f aca="false">'🤖 Llama-3.1-70b-instruct'!H157</f>
        <v>0</v>
      </c>
      <c r="H982" s="182" t="n">
        <f aca="false">'🤖 Llama-3.1-70b-instruct'!I157</f>
        <v>0</v>
      </c>
      <c r="I982" s="182" t="n">
        <f aca="false">'🤖 Llama-3.1-70b-instruct'!J157</f>
        <v>0</v>
      </c>
    </row>
    <row r="983" customFormat="false" ht="15.75" hidden="false" customHeight="false" outlineLevel="0" collapsed="false">
      <c r="A983" s="116" t="n">
        <f aca="false">'🤖 Llama-3.1-70b-instruct'!$A$157</f>
        <v>0</v>
      </c>
      <c r="B983" s="8" t="s">
        <v>24</v>
      </c>
      <c r="C983" s="5" t="str">
        <f aca="false">'🤖 Llama-3.1-70b-instruct'!C158</f>
        <v>CoT</v>
      </c>
      <c r="D983" s="143" t="n">
        <f aca="false">'🤖 Llama-3.1-70b-instruct'!E158</f>
        <v>0.002427184466</v>
      </c>
      <c r="E983" s="182" t="n">
        <f aca="false">'🤖 Llama-3.1-70b-instruct'!F158</f>
        <v>0</v>
      </c>
      <c r="F983" s="182" t="n">
        <f aca="false">'🤖 Llama-3.1-70b-instruct'!G158</f>
        <v>0</v>
      </c>
      <c r="G983" s="182" t="n">
        <f aca="false">'🤖 Llama-3.1-70b-instruct'!H158</f>
        <v>0</v>
      </c>
      <c r="H983" s="182" t="n">
        <f aca="false">'🤖 Llama-3.1-70b-instruct'!I158</f>
        <v>0</v>
      </c>
      <c r="I983" s="182" t="n">
        <f aca="false">'🤖 Llama-3.1-70b-instruct'!J158</f>
        <v>0</v>
      </c>
    </row>
    <row r="984" customFormat="false" ht="15.75" hidden="false" customHeight="false" outlineLevel="0" collapsed="false">
      <c r="A984" s="116" t="n">
        <f aca="false">'🤖 Llama-3.1-70b-instruct'!$A$157</f>
        <v>0</v>
      </c>
      <c r="B984" s="8" t="s">
        <v>24</v>
      </c>
      <c r="C984" s="5" t="str">
        <f aca="false">'🤖 Llama-3.1-70b-instruct'!C159</f>
        <v>5W1H</v>
      </c>
      <c r="D984" s="143" t="n">
        <f aca="false">'🤖 Llama-3.1-70b-instruct'!E159</f>
        <v>0.002427184466</v>
      </c>
      <c r="E984" s="182" t="n">
        <f aca="false">'🤖 Llama-3.1-70b-instruct'!F159</f>
        <v>0</v>
      </c>
      <c r="F984" s="182" t="n">
        <f aca="false">'🤖 Llama-3.1-70b-instruct'!G159</f>
        <v>0</v>
      </c>
      <c r="G984" s="182" t="n">
        <f aca="false">'🤖 Llama-3.1-70b-instruct'!H159</f>
        <v>0</v>
      </c>
      <c r="H984" s="182" t="n">
        <f aca="false">'🤖 Llama-3.1-70b-instruct'!I159</f>
        <v>0</v>
      </c>
      <c r="I984" s="182" t="n">
        <f aca="false">'🤖 Llama-3.1-70b-instruct'!J159</f>
        <v>0</v>
      </c>
    </row>
    <row r="985" customFormat="false" ht="15.75" hidden="false" customHeight="false" outlineLevel="0" collapsed="false">
      <c r="A985" s="116" t="n">
        <f aca="false">'🤖 Llama-3.1-70b-instruct'!$A$157</f>
        <v>0</v>
      </c>
      <c r="B985" s="8" t="s">
        <v>24</v>
      </c>
      <c r="C985" s="5" t="str">
        <f aca="false">'🤖 Llama-3.1-70b-instruct'!C160</f>
        <v>tldr</v>
      </c>
      <c r="D985" s="143" t="n">
        <f aca="false">'🤖 Llama-3.1-70b-instruct'!E160</f>
        <v>0.002427184466</v>
      </c>
      <c r="E985" s="182" t="n">
        <f aca="false">'🤖 Llama-3.1-70b-instruct'!F160</f>
        <v>0</v>
      </c>
      <c r="F985" s="182" t="n">
        <f aca="false">'🤖 Llama-3.1-70b-instruct'!G160</f>
        <v>0</v>
      </c>
      <c r="G985" s="182" t="n">
        <f aca="false">'🤖 Llama-3.1-70b-instruct'!H160</f>
        <v>0</v>
      </c>
      <c r="H985" s="182" t="n">
        <f aca="false">'🤖 Llama-3.1-70b-instruct'!I160</f>
        <v>0</v>
      </c>
      <c r="I985" s="182" t="n">
        <f aca="false">'🤖 Llama-3.1-70b-instruct'!J160</f>
        <v>0</v>
      </c>
    </row>
    <row r="986" customFormat="false" ht="15.75" hidden="false" customHeight="false" outlineLevel="0" collapsed="false">
      <c r="A986" s="116"/>
      <c r="B986" s="8"/>
      <c r="C986" s="5"/>
      <c r="D986" s="143"/>
      <c r="E986" s="3"/>
      <c r="F986" s="3"/>
      <c r="G986" s="3"/>
      <c r="H986" s="3"/>
      <c r="I986" s="3"/>
    </row>
    <row r="987" customFormat="false" ht="15.75" hidden="false" customHeight="false" outlineLevel="0" collapsed="false">
      <c r="A987" s="116" t="n">
        <f aca="false">'🤖 Llama-3.1-70b-instruct'!$A$162</f>
        <v>0</v>
      </c>
      <c r="B987" s="8" t="s">
        <v>24</v>
      </c>
      <c r="C987" s="5" t="str">
        <f aca="false">'🤖 Llama-3.1-70b-instruct'!C162</f>
        <v>Base</v>
      </c>
      <c r="D987" s="143" t="n">
        <f aca="false">'🤖 Llama-3.1-70b-instruct'!E162</f>
        <v>0.002427184466</v>
      </c>
      <c r="E987" s="182" t="n">
        <f aca="false">'🤖 Llama-3.1-70b-instruct'!F162</f>
        <v>0</v>
      </c>
      <c r="F987" s="182" t="n">
        <f aca="false">'🤖 Llama-3.1-70b-instruct'!G162</f>
        <v>0</v>
      </c>
      <c r="G987" s="182" t="n">
        <f aca="false">'🤖 Llama-3.1-70b-instruct'!H162</f>
        <v>0</v>
      </c>
      <c r="H987" s="182" t="n">
        <f aca="false">'🤖 Llama-3.1-70b-instruct'!I162</f>
        <v>0</v>
      </c>
      <c r="I987" s="182" t="n">
        <f aca="false">'🤖 Llama-3.1-70b-instruct'!J162</f>
        <v>0</v>
      </c>
    </row>
    <row r="988" customFormat="false" ht="15.75" hidden="false" customHeight="false" outlineLevel="0" collapsed="false">
      <c r="A988" s="116" t="n">
        <f aca="false">'🤖 Llama-3.1-70b-instruct'!$A$162</f>
        <v>0</v>
      </c>
      <c r="B988" s="8" t="s">
        <v>24</v>
      </c>
      <c r="C988" s="5" t="str">
        <f aca="false">'🤖 Llama-3.1-70b-instruct'!C163</f>
        <v>CoT</v>
      </c>
      <c r="D988" s="143" t="n">
        <f aca="false">'🤖 Llama-3.1-70b-instruct'!E163</f>
        <v>0.002427184466</v>
      </c>
      <c r="E988" s="182" t="n">
        <f aca="false">'🤖 Llama-3.1-70b-instruct'!F163</f>
        <v>0</v>
      </c>
      <c r="F988" s="182" t="n">
        <f aca="false">'🤖 Llama-3.1-70b-instruct'!G163</f>
        <v>0</v>
      </c>
      <c r="G988" s="182" t="n">
        <f aca="false">'🤖 Llama-3.1-70b-instruct'!H163</f>
        <v>0</v>
      </c>
      <c r="H988" s="182" t="n">
        <f aca="false">'🤖 Llama-3.1-70b-instruct'!I163</f>
        <v>0</v>
      </c>
      <c r="I988" s="182" t="n">
        <f aca="false">'🤖 Llama-3.1-70b-instruct'!J163</f>
        <v>0</v>
      </c>
    </row>
    <row r="989" customFormat="false" ht="15.75" hidden="false" customHeight="false" outlineLevel="0" collapsed="false">
      <c r="A989" s="116" t="n">
        <f aca="false">'🤖 Llama-3.1-70b-instruct'!$A$162</f>
        <v>0</v>
      </c>
      <c r="B989" s="8" t="s">
        <v>24</v>
      </c>
      <c r="C989" s="5" t="str">
        <f aca="false">'🤖 Llama-3.1-70b-instruct'!C164</f>
        <v>5W1H</v>
      </c>
      <c r="D989" s="143" t="n">
        <f aca="false">'🤖 Llama-3.1-70b-instruct'!E164</f>
        <v>0.002427184466</v>
      </c>
      <c r="E989" s="182" t="n">
        <f aca="false">'🤖 Llama-3.1-70b-instruct'!F164</f>
        <v>0</v>
      </c>
      <c r="F989" s="182" t="n">
        <f aca="false">'🤖 Llama-3.1-70b-instruct'!G164</f>
        <v>0</v>
      </c>
      <c r="G989" s="182" t="n">
        <f aca="false">'🤖 Llama-3.1-70b-instruct'!H164</f>
        <v>0</v>
      </c>
      <c r="H989" s="182" t="n">
        <f aca="false">'🤖 Llama-3.1-70b-instruct'!I164</f>
        <v>0</v>
      </c>
      <c r="I989" s="182" t="n">
        <f aca="false">'🤖 Llama-3.1-70b-instruct'!J164</f>
        <v>0</v>
      </c>
    </row>
    <row r="990" customFormat="false" ht="15.75" hidden="false" customHeight="false" outlineLevel="0" collapsed="false">
      <c r="A990" s="116" t="n">
        <f aca="false">'🤖 Llama-3.1-70b-instruct'!$A$162</f>
        <v>0</v>
      </c>
      <c r="B990" s="8" t="s">
        <v>24</v>
      </c>
      <c r="C990" s="5" t="str">
        <f aca="false">'🤖 Llama-3.1-70b-instruct'!C165</f>
        <v>tldr</v>
      </c>
      <c r="D990" s="143" t="n">
        <f aca="false">'🤖 Llama-3.1-70b-instruct'!E165</f>
        <v>0.002427184466</v>
      </c>
      <c r="E990" s="182" t="n">
        <f aca="false">'🤖 Llama-3.1-70b-instruct'!F165</f>
        <v>0</v>
      </c>
      <c r="F990" s="182" t="n">
        <f aca="false">'🤖 Llama-3.1-70b-instruct'!G165</f>
        <v>0</v>
      </c>
      <c r="G990" s="182" t="n">
        <f aca="false">'🤖 Llama-3.1-70b-instruct'!H165</f>
        <v>0</v>
      </c>
      <c r="H990" s="182" t="n">
        <f aca="false">'🤖 Llama-3.1-70b-instruct'!I165</f>
        <v>0</v>
      </c>
      <c r="I990" s="182" t="n">
        <f aca="false">'🤖 Llama-3.1-70b-instruct'!J165</f>
        <v>0</v>
      </c>
    </row>
    <row r="991" customFormat="false" ht="15.75" hidden="false" customHeight="false" outlineLevel="0" collapsed="false">
      <c r="A991" s="8"/>
      <c r="B991" s="8"/>
      <c r="C991" s="8"/>
      <c r="D991" s="8"/>
      <c r="E991" s="8"/>
      <c r="F991" s="8"/>
      <c r="G991" s="8"/>
      <c r="H991" s="8"/>
      <c r="I991" s="8"/>
    </row>
    <row r="992" customFormat="false" ht="15.75" hidden="false" customHeight="false" outlineLevel="0" collapsed="false">
      <c r="A992" s="8"/>
      <c r="B992" s="8"/>
      <c r="C992" s="8"/>
      <c r="D992" s="8"/>
      <c r="E992" s="8"/>
      <c r="F992" s="8"/>
      <c r="G992" s="8"/>
      <c r="H992" s="8"/>
      <c r="I992" s="8"/>
    </row>
    <row r="993" customFormat="false" ht="15.75" hidden="false" customHeight="false" outlineLevel="0" collapsed="false">
      <c r="A993" s="8"/>
      <c r="B993" s="8"/>
      <c r="C993" s="8"/>
      <c r="D993" s="8"/>
      <c r="E993" s="8"/>
      <c r="F993" s="8"/>
      <c r="G993" s="8"/>
      <c r="H993" s="8"/>
      <c r="I993" s="8"/>
    </row>
    <row r="994" customFormat="false" ht="15.75" hidden="false" customHeight="false" outlineLevel="0" collapsed="false">
      <c r="A994" s="8"/>
      <c r="B994" s="8"/>
      <c r="C994" s="8"/>
      <c r="D994" s="8"/>
      <c r="E994" s="8"/>
      <c r="F994" s="8"/>
      <c r="G994" s="8"/>
      <c r="H994" s="8"/>
      <c r="I994" s="8"/>
    </row>
    <row r="995" customFormat="false" ht="15.75" hidden="false" customHeight="false" outlineLevel="0" collapsed="false">
      <c r="A995" s="8"/>
      <c r="B995" s="8"/>
      <c r="C995" s="8"/>
      <c r="D995" s="8"/>
      <c r="E995" s="8"/>
      <c r="F995" s="8"/>
      <c r="G995" s="8"/>
      <c r="H995" s="8"/>
      <c r="I995" s="8"/>
    </row>
    <row r="996" customFormat="false" ht="15.75" hidden="false" customHeight="false" outlineLevel="0" collapsed="false">
      <c r="A996" s="8"/>
      <c r="B996" s="8"/>
      <c r="C996" s="8"/>
      <c r="D996" s="8"/>
      <c r="E996" s="8"/>
      <c r="F996" s="8"/>
      <c r="G996" s="8"/>
      <c r="H996" s="8"/>
      <c r="I996" s="8"/>
    </row>
    <row r="997" customFormat="false" ht="15.75" hidden="false" customHeight="false" outlineLevel="0" collapsed="false">
      <c r="A997" s="8"/>
      <c r="B997" s="8"/>
      <c r="C997" s="8"/>
      <c r="D997" s="8"/>
      <c r="E997" s="8"/>
      <c r="F997" s="8"/>
      <c r="G997" s="8"/>
      <c r="H997" s="8"/>
      <c r="I997" s="8"/>
    </row>
    <row r="998" customFormat="false" ht="15.75" hidden="false" customHeight="false" outlineLevel="0" collapsed="false">
      <c r="A998" s="8"/>
      <c r="B998" s="8"/>
      <c r="C998" s="8"/>
      <c r="D998" s="8"/>
      <c r="E998" s="8"/>
      <c r="F998" s="8"/>
      <c r="G998" s="8"/>
      <c r="H998" s="8"/>
      <c r="I998" s="8"/>
    </row>
    <row r="999" customFormat="false" ht="15.75" hidden="false" customHeight="false" outlineLevel="0" collapsed="false">
      <c r="A999" s="8"/>
      <c r="B999" s="8"/>
      <c r="C999" s="8"/>
      <c r="D999" s="8"/>
      <c r="E999" s="8"/>
      <c r="F999" s="8"/>
      <c r="G999" s="8"/>
      <c r="H999" s="8"/>
      <c r="I999" s="8"/>
    </row>
    <row r="1000" customFormat="false" ht="15.75" hidden="false" customHeight="false" outlineLevel="0" collapsed="false">
      <c r="A1000" s="8"/>
      <c r="B1000" s="8"/>
      <c r="C1000" s="8"/>
      <c r="D1000" s="8"/>
      <c r="E1000" s="8"/>
      <c r="F1000" s="8"/>
      <c r="G1000" s="8"/>
      <c r="H1000" s="8"/>
      <c r="I1000" s="8"/>
    </row>
    <row r="1001" customFormat="false" ht="15.75" hidden="false" customHeight="false" outlineLevel="0" collapsed="false">
      <c r="A1001" s="8"/>
      <c r="B1001" s="8"/>
      <c r="C1001" s="8"/>
      <c r="D1001" s="8"/>
      <c r="E1001" s="8"/>
      <c r="F1001" s="8"/>
      <c r="G1001" s="8"/>
      <c r="H1001" s="8"/>
      <c r="I1001" s="8"/>
    </row>
    <row r="1002" customFormat="false" ht="15.75" hidden="false" customHeight="false" outlineLevel="0" collapsed="false">
      <c r="A1002" s="8"/>
      <c r="B1002" s="8"/>
      <c r="C1002" s="8"/>
      <c r="D1002" s="8"/>
      <c r="E1002" s="8"/>
      <c r="F1002" s="8"/>
      <c r="G1002" s="8"/>
      <c r="H1002" s="8"/>
      <c r="I1002" s="8"/>
    </row>
    <row r="1003" customFormat="false" ht="15.75" hidden="false" customHeight="false" outlineLevel="0" collapsed="false">
      <c r="A1003" s="8"/>
      <c r="B1003" s="8"/>
      <c r="C1003" s="8"/>
      <c r="D1003" s="8"/>
      <c r="E1003" s="8"/>
      <c r="F1003" s="8"/>
      <c r="G1003" s="8"/>
      <c r="H1003" s="8"/>
      <c r="I1003" s="8"/>
    </row>
    <row r="1004" customFormat="false" ht="15.75" hidden="false" customHeight="false" outlineLevel="0" collapsed="false">
      <c r="A1004" s="8"/>
      <c r="B1004" s="8"/>
      <c r="C1004" s="8"/>
      <c r="D1004" s="8"/>
      <c r="E1004" s="8"/>
      <c r="F1004" s="8"/>
      <c r="G1004" s="8"/>
      <c r="H1004" s="8"/>
      <c r="I1004" s="8"/>
    </row>
    <row r="1005" customFormat="false" ht="15.75" hidden="false" customHeight="false" outlineLevel="0" collapsed="false">
      <c r="A1005" s="8"/>
      <c r="B1005" s="8"/>
      <c r="C1005" s="8"/>
      <c r="D1005" s="8"/>
      <c r="E1005" s="8"/>
      <c r="F1005" s="8"/>
      <c r="G1005" s="8"/>
      <c r="H1005" s="8"/>
      <c r="I1005" s="8"/>
    </row>
    <row r="1006" customFormat="false" ht="15.75" hidden="false" customHeight="false" outlineLevel="0" collapsed="false">
      <c r="A1006" s="8"/>
      <c r="B1006" s="8"/>
      <c r="C1006" s="8"/>
      <c r="D1006" s="8"/>
      <c r="E1006" s="8"/>
      <c r="F1006" s="8"/>
      <c r="G1006" s="8"/>
      <c r="H1006" s="8"/>
      <c r="I1006" s="8"/>
    </row>
    <row r="1007" customFormat="false" ht="15.75" hidden="false" customHeight="false" outlineLevel="0" collapsed="false">
      <c r="A1007" s="8"/>
      <c r="B1007" s="8"/>
      <c r="C1007" s="8"/>
      <c r="D1007" s="8"/>
      <c r="E1007" s="8"/>
      <c r="F1007" s="8"/>
      <c r="G1007" s="8"/>
      <c r="H1007" s="8"/>
      <c r="I1007" s="8"/>
    </row>
    <row r="1008" customFormat="false" ht="15.75" hidden="false" customHeight="false" outlineLevel="0" collapsed="false">
      <c r="A1008" s="8"/>
      <c r="B1008" s="8"/>
      <c r="C1008" s="8"/>
      <c r="D1008" s="8"/>
      <c r="E1008" s="8"/>
      <c r="F1008" s="8"/>
      <c r="G1008" s="8"/>
      <c r="H1008" s="8"/>
      <c r="I1008" s="8"/>
    </row>
    <row r="1009" customFormat="false" ht="15.75" hidden="false" customHeight="false" outlineLevel="0" collapsed="false">
      <c r="A1009" s="8"/>
      <c r="B1009" s="8"/>
      <c r="C1009" s="8"/>
      <c r="D1009" s="8"/>
      <c r="E1009" s="8"/>
      <c r="F1009" s="8"/>
      <c r="G1009" s="8"/>
      <c r="H1009" s="8"/>
      <c r="I1009" s="8"/>
    </row>
    <row r="1010" customFormat="false" ht="15.75" hidden="false" customHeight="false" outlineLevel="0" collapsed="false">
      <c r="A1010" s="8"/>
      <c r="B1010" s="8"/>
      <c r="C1010" s="8"/>
      <c r="D1010" s="8"/>
      <c r="E1010" s="8"/>
      <c r="F1010" s="8"/>
      <c r="G1010" s="8"/>
      <c r="H1010" s="8"/>
      <c r="I1010" s="8"/>
    </row>
    <row r="1011" customFormat="false" ht="15.75" hidden="false" customHeight="false" outlineLevel="0" collapsed="false">
      <c r="A1011" s="8"/>
      <c r="B1011" s="8"/>
      <c r="C1011" s="8"/>
      <c r="D1011" s="8"/>
      <c r="E1011" s="8"/>
      <c r="F1011" s="8"/>
      <c r="G1011" s="8"/>
      <c r="H1011" s="8"/>
      <c r="I1011" s="8"/>
    </row>
    <row r="1012" customFormat="false" ht="15.75" hidden="false" customHeight="false" outlineLevel="0" collapsed="false">
      <c r="A1012" s="8"/>
      <c r="B1012" s="8"/>
      <c r="C1012" s="8"/>
      <c r="D1012" s="8"/>
      <c r="E1012" s="8"/>
      <c r="F1012" s="8"/>
      <c r="G1012" s="8"/>
      <c r="H1012" s="8"/>
      <c r="I1012" s="8"/>
    </row>
    <row r="1013" customFormat="false" ht="15.75" hidden="false" customHeight="false" outlineLevel="0" collapsed="false">
      <c r="A1013" s="8"/>
      <c r="B1013" s="8"/>
      <c r="C1013" s="8"/>
      <c r="D1013" s="8"/>
      <c r="E1013" s="8"/>
      <c r="F1013" s="8"/>
      <c r="G1013" s="8"/>
      <c r="H1013" s="8"/>
      <c r="I1013" s="8"/>
    </row>
    <row r="1014" customFormat="false" ht="15.75" hidden="false" customHeight="false" outlineLevel="0" collapsed="false">
      <c r="A1014" s="8"/>
      <c r="B1014" s="8"/>
      <c r="C1014" s="8"/>
      <c r="D1014" s="8"/>
      <c r="E1014" s="8"/>
      <c r="F1014" s="8"/>
      <c r="G1014" s="8"/>
      <c r="H1014" s="8"/>
      <c r="I1014" s="8"/>
    </row>
    <row r="1015" customFormat="false" ht="15.75" hidden="false" customHeight="false" outlineLevel="0" collapsed="false">
      <c r="A1015" s="8"/>
      <c r="B1015" s="8"/>
      <c r="C1015" s="8"/>
      <c r="D1015" s="8"/>
      <c r="E1015" s="8"/>
      <c r="F1015" s="8"/>
      <c r="G1015" s="8"/>
      <c r="H1015" s="8"/>
      <c r="I1015" s="8"/>
    </row>
    <row r="1016" customFormat="false" ht="15.75" hidden="false" customHeight="false" outlineLevel="0" collapsed="false">
      <c r="A1016" s="8"/>
      <c r="B1016" s="8"/>
      <c r="C1016" s="8"/>
      <c r="D1016" s="8"/>
      <c r="E1016" s="8"/>
      <c r="F1016" s="8"/>
      <c r="G1016" s="8"/>
      <c r="H1016" s="8"/>
      <c r="I1016" s="8"/>
    </row>
    <row r="1017" customFormat="false" ht="15.75" hidden="false" customHeight="false" outlineLevel="0" collapsed="false">
      <c r="A1017" s="8"/>
      <c r="B1017" s="8"/>
      <c r="C1017" s="8"/>
      <c r="D1017" s="8"/>
      <c r="E1017" s="8"/>
      <c r="F1017" s="8"/>
      <c r="G1017" s="8"/>
      <c r="H1017" s="8"/>
      <c r="I1017" s="8"/>
    </row>
    <row r="1018" customFormat="false" ht="15.75" hidden="false" customHeight="false" outlineLevel="0" collapsed="false">
      <c r="A1018" s="8"/>
      <c r="B1018" s="8"/>
      <c r="C1018" s="8"/>
      <c r="D1018" s="8"/>
      <c r="E1018" s="8"/>
      <c r="F1018" s="8"/>
      <c r="G1018" s="8"/>
      <c r="H1018" s="8"/>
      <c r="I1018" s="8"/>
    </row>
    <row r="1019" customFormat="false" ht="15.75" hidden="false" customHeight="false" outlineLevel="0" collapsed="false">
      <c r="A1019" s="8"/>
      <c r="B1019" s="8"/>
      <c r="C1019" s="8"/>
      <c r="D1019" s="8"/>
      <c r="E1019" s="8"/>
      <c r="F1019" s="8"/>
      <c r="G1019" s="8"/>
      <c r="H1019" s="8"/>
      <c r="I1019" s="8"/>
    </row>
    <row r="1020" customFormat="false" ht="15.75" hidden="false" customHeight="false" outlineLevel="0" collapsed="false">
      <c r="A1020" s="8"/>
      <c r="B1020" s="8"/>
      <c r="C1020" s="8"/>
      <c r="D1020" s="8"/>
      <c r="E1020" s="8"/>
      <c r="F1020" s="8"/>
      <c r="G1020" s="8"/>
      <c r="H1020" s="8"/>
      <c r="I1020" s="8"/>
    </row>
    <row r="1021" customFormat="false" ht="15.75" hidden="false" customHeight="false" outlineLevel="0" collapsed="false">
      <c r="A1021" s="8"/>
      <c r="B1021" s="8"/>
      <c r="C1021" s="8"/>
      <c r="D1021" s="8"/>
      <c r="E1021" s="8"/>
      <c r="F1021" s="8"/>
      <c r="G1021" s="8"/>
      <c r="H1021" s="8"/>
      <c r="I1021" s="8"/>
    </row>
    <row r="1022" customFormat="false" ht="15.75" hidden="false" customHeight="false" outlineLevel="0" collapsed="false">
      <c r="A1022" s="8"/>
      <c r="B1022" s="8"/>
      <c r="C1022" s="8"/>
      <c r="D1022" s="8"/>
      <c r="E1022" s="8"/>
      <c r="F1022" s="8"/>
      <c r="G1022" s="8"/>
      <c r="H1022" s="8"/>
      <c r="I1022" s="8"/>
    </row>
    <row r="1023" customFormat="false" ht="15.75" hidden="false" customHeight="false" outlineLevel="0" collapsed="false">
      <c r="A1023" s="8"/>
      <c r="B1023" s="8"/>
      <c r="C1023" s="8"/>
      <c r="D1023" s="8"/>
      <c r="E1023" s="8"/>
      <c r="F1023" s="8"/>
      <c r="G1023" s="8"/>
      <c r="H1023" s="8"/>
      <c r="I1023" s="8"/>
    </row>
    <row r="1024" customFormat="false" ht="15.75" hidden="false" customHeight="false" outlineLevel="0" collapsed="false">
      <c r="A1024" s="8"/>
      <c r="B1024" s="8"/>
      <c r="C1024" s="8"/>
      <c r="D1024" s="8"/>
      <c r="E1024" s="8"/>
      <c r="F1024" s="8"/>
      <c r="G1024" s="8"/>
      <c r="H1024" s="8"/>
      <c r="I1024" s="8"/>
    </row>
    <row r="1025" customFormat="false" ht="15.75" hidden="false" customHeight="false" outlineLevel="0" collapsed="false">
      <c r="A1025" s="8"/>
      <c r="B1025" s="8"/>
      <c r="C1025" s="8"/>
      <c r="D1025" s="8"/>
      <c r="E1025" s="8"/>
      <c r="F1025" s="8"/>
      <c r="G1025" s="8"/>
      <c r="H1025" s="8"/>
      <c r="I1025" s="8"/>
    </row>
    <row r="1026" customFormat="false" ht="15.75" hidden="false" customHeight="false" outlineLevel="0" collapsed="false">
      <c r="A1026" s="8"/>
      <c r="B1026" s="8"/>
      <c r="C1026" s="8"/>
      <c r="D1026" s="8"/>
      <c r="E1026" s="8"/>
      <c r="F1026" s="8"/>
      <c r="G1026" s="8"/>
      <c r="H1026" s="8"/>
      <c r="I1026" s="8"/>
    </row>
    <row r="1027" customFormat="false" ht="15.75" hidden="false" customHeight="false" outlineLevel="0" collapsed="false">
      <c r="A1027" s="8"/>
      <c r="B1027" s="8"/>
      <c r="C1027" s="8"/>
      <c r="D1027" s="8"/>
      <c r="E1027" s="8"/>
      <c r="F1027" s="8"/>
      <c r="G1027" s="8"/>
      <c r="H1027" s="8"/>
      <c r="I1027" s="8"/>
    </row>
    <row r="1028" customFormat="false" ht="15.75" hidden="false" customHeight="false" outlineLevel="0" collapsed="false">
      <c r="A1028" s="8"/>
      <c r="B1028" s="8"/>
      <c r="C1028" s="8"/>
      <c r="D1028" s="8"/>
      <c r="E1028" s="8"/>
      <c r="F1028" s="8"/>
      <c r="G1028" s="8"/>
      <c r="H1028" s="8"/>
      <c r="I1028" s="8"/>
    </row>
    <row r="1029" customFormat="false" ht="15.75" hidden="false" customHeight="false" outlineLevel="0" collapsed="false">
      <c r="A1029" s="8"/>
      <c r="B1029" s="8"/>
      <c r="C1029" s="8"/>
      <c r="D1029" s="8"/>
      <c r="E1029" s="8"/>
      <c r="F1029" s="8"/>
      <c r="G1029" s="8"/>
      <c r="H1029" s="8"/>
      <c r="I1029" s="8"/>
    </row>
    <row r="1030" customFormat="false" ht="15.75" hidden="false" customHeight="false" outlineLevel="0" collapsed="false">
      <c r="A1030" s="8"/>
      <c r="B1030" s="8"/>
      <c r="C1030" s="8"/>
      <c r="D1030" s="8"/>
      <c r="E1030" s="8"/>
      <c r="F1030" s="8"/>
      <c r="G1030" s="8"/>
      <c r="H1030" s="8"/>
      <c r="I1030" s="8"/>
    </row>
    <row r="1031" customFormat="false" ht="15.75" hidden="false" customHeight="false" outlineLevel="0" collapsed="false">
      <c r="A1031" s="8"/>
      <c r="B1031" s="8"/>
      <c r="C1031" s="8"/>
      <c r="D1031" s="8"/>
      <c r="E1031" s="8"/>
      <c r="F1031" s="8"/>
      <c r="G1031" s="8"/>
      <c r="H1031" s="8"/>
      <c r="I1031" s="8"/>
    </row>
    <row r="1032" customFormat="false" ht="15.75" hidden="false" customHeight="false" outlineLevel="0" collapsed="false">
      <c r="A1032" s="8"/>
      <c r="B1032" s="8"/>
      <c r="C1032" s="8"/>
      <c r="D1032" s="8"/>
      <c r="E1032" s="8"/>
      <c r="F1032" s="8"/>
      <c r="G1032" s="8"/>
      <c r="H1032" s="8"/>
      <c r="I1032" s="8"/>
    </row>
    <row r="1033" customFormat="false" ht="15.75" hidden="false" customHeight="false" outlineLevel="0" collapsed="false">
      <c r="A1033" s="8"/>
      <c r="B1033" s="8"/>
      <c r="C1033" s="8"/>
      <c r="D1033" s="8"/>
      <c r="E1033" s="8"/>
      <c r="F1033" s="8"/>
      <c r="G1033" s="8"/>
      <c r="H1033" s="8"/>
      <c r="I1033" s="8"/>
    </row>
    <row r="1034" customFormat="false" ht="15.75" hidden="false" customHeight="false" outlineLevel="0" collapsed="false">
      <c r="A1034" s="8"/>
      <c r="B1034" s="8"/>
      <c r="C1034" s="8"/>
      <c r="D1034" s="8"/>
      <c r="E1034" s="8"/>
      <c r="F1034" s="8"/>
      <c r="G1034" s="8"/>
      <c r="H1034" s="8"/>
      <c r="I1034" s="8"/>
    </row>
    <row r="1035" customFormat="false" ht="15.75" hidden="false" customHeight="false" outlineLevel="0" collapsed="false">
      <c r="A1035" s="8"/>
      <c r="B1035" s="8"/>
      <c r="C1035" s="8"/>
      <c r="D1035" s="8"/>
      <c r="E1035" s="8"/>
      <c r="F1035" s="8"/>
      <c r="G1035" s="8"/>
      <c r="H1035" s="8"/>
      <c r="I1035" s="8"/>
    </row>
    <row r="1036" customFormat="false" ht="15.75" hidden="false" customHeight="false" outlineLevel="0" collapsed="false">
      <c r="A1036" s="8"/>
      <c r="B1036" s="8"/>
      <c r="C1036" s="8"/>
      <c r="D1036" s="8"/>
      <c r="E1036" s="8"/>
      <c r="F1036" s="8"/>
      <c r="G1036" s="8"/>
      <c r="H1036" s="8"/>
      <c r="I1036" s="8"/>
    </row>
    <row r="1037" customFormat="false" ht="15.75" hidden="false" customHeight="false" outlineLevel="0" collapsed="false">
      <c r="A1037" s="8"/>
      <c r="B1037" s="8"/>
      <c r="C1037" s="8"/>
      <c r="D1037" s="8"/>
      <c r="E1037" s="8"/>
      <c r="F1037" s="8"/>
      <c r="G1037" s="8"/>
      <c r="H1037" s="8"/>
      <c r="I1037" s="8"/>
    </row>
    <row r="1038" customFormat="false" ht="15.75" hidden="false" customHeight="false" outlineLevel="0" collapsed="false">
      <c r="A1038" s="8"/>
      <c r="B1038" s="8"/>
      <c r="C1038" s="8"/>
      <c r="D1038" s="8"/>
      <c r="E1038" s="8"/>
      <c r="F1038" s="8"/>
      <c r="G1038" s="8"/>
      <c r="H1038" s="8"/>
      <c r="I1038" s="8"/>
    </row>
    <row r="1039" customFormat="false" ht="15.75" hidden="false" customHeight="false" outlineLevel="0" collapsed="false">
      <c r="A1039" s="8"/>
      <c r="B1039" s="8"/>
      <c r="C1039" s="8"/>
      <c r="D1039" s="8"/>
      <c r="E1039" s="8"/>
      <c r="F1039" s="8"/>
      <c r="G1039" s="8"/>
      <c r="H1039" s="8"/>
      <c r="I1039" s="8"/>
    </row>
    <row r="1040" customFormat="false" ht="15.75" hidden="false" customHeight="false" outlineLevel="0" collapsed="false">
      <c r="A1040" s="8"/>
      <c r="B1040" s="8"/>
      <c r="C1040" s="8"/>
      <c r="D1040" s="8"/>
      <c r="E1040" s="8"/>
      <c r="F1040" s="8"/>
      <c r="G1040" s="8"/>
      <c r="H1040" s="8"/>
      <c r="I1040" s="8"/>
    </row>
    <row r="1041" customFormat="false" ht="15.75" hidden="false" customHeight="false" outlineLevel="0" collapsed="false">
      <c r="A1041" s="8"/>
      <c r="B1041" s="8"/>
      <c r="C1041" s="8"/>
      <c r="D1041" s="8"/>
      <c r="E1041" s="8"/>
      <c r="F1041" s="8"/>
      <c r="G1041" s="8"/>
      <c r="H1041" s="8"/>
      <c r="I1041" s="8"/>
    </row>
    <row r="1042" customFormat="false" ht="15.75" hidden="false" customHeight="false" outlineLevel="0" collapsed="false">
      <c r="A1042" s="8"/>
      <c r="B1042" s="8"/>
      <c r="C1042" s="8"/>
      <c r="D1042" s="8"/>
      <c r="E1042" s="8"/>
      <c r="F1042" s="8"/>
      <c r="G1042" s="8"/>
      <c r="H1042" s="8"/>
      <c r="I1042" s="8"/>
    </row>
    <row r="1043" customFormat="false" ht="15.75" hidden="false" customHeight="false" outlineLevel="0" collapsed="false">
      <c r="A1043" s="8"/>
      <c r="B1043" s="8"/>
      <c r="C1043" s="8"/>
      <c r="D1043" s="8"/>
      <c r="E1043" s="8"/>
      <c r="F1043" s="8"/>
      <c r="G1043" s="8"/>
      <c r="H1043" s="8"/>
      <c r="I1043" s="8"/>
    </row>
    <row r="1044" customFormat="false" ht="15.75" hidden="false" customHeight="false" outlineLevel="0" collapsed="false">
      <c r="A1044" s="8"/>
      <c r="B1044" s="8"/>
      <c r="C1044" s="8"/>
      <c r="D1044" s="8"/>
      <c r="E1044" s="8"/>
      <c r="F1044" s="8"/>
      <c r="G1044" s="8"/>
      <c r="H1044" s="8"/>
      <c r="I1044" s="8"/>
    </row>
    <row r="1045" customFormat="false" ht="15.75" hidden="false" customHeight="false" outlineLevel="0" collapsed="false">
      <c r="A1045" s="8"/>
      <c r="B1045" s="8"/>
      <c r="C1045" s="8"/>
      <c r="D1045" s="8"/>
      <c r="E1045" s="8"/>
      <c r="F1045" s="8"/>
      <c r="G1045" s="8"/>
      <c r="H1045" s="8"/>
      <c r="I1045" s="8"/>
    </row>
    <row r="1046" customFormat="false" ht="15.75" hidden="false" customHeight="false" outlineLevel="0" collapsed="false">
      <c r="A1046" s="8"/>
      <c r="B1046" s="8"/>
      <c r="C1046" s="8"/>
      <c r="D1046" s="8"/>
      <c r="E1046" s="8"/>
      <c r="F1046" s="8"/>
      <c r="G1046" s="8"/>
      <c r="H1046" s="8"/>
      <c r="I1046" s="8"/>
    </row>
    <row r="1047" customFormat="false" ht="15.75" hidden="false" customHeight="false" outlineLevel="0" collapsed="false">
      <c r="A1047" s="8"/>
      <c r="B1047" s="8"/>
      <c r="C1047" s="8"/>
      <c r="D1047" s="8"/>
      <c r="E1047" s="8"/>
      <c r="F1047" s="8"/>
      <c r="G1047" s="8"/>
      <c r="H1047" s="8"/>
      <c r="I1047" s="8"/>
    </row>
    <row r="1048" customFormat="false" ht="15.75" hidden="false" customHeight="false" outlineLevel="0" collapsed="false">
      <c r="A1048" s="8"/>
      <c r="B1048" s="8"/>
      <c r="C1048" s="8"/>
      <c r="D1048" s="8"/>
      <c r="E1048" s="8"/>
      <c r="F1048" s="8"/>
      <c r="G1048" s="8"/>
      <c r="H1048" s="8"/>
      <c r="I1048" s="8"/>
    </row>
    <row r="1049" customFormat="false" ht="15.75" hidden="false" customHeight="false" outlineLevel="0" collapsed="false">
      <c r="A1049" s="8"/>
      <c r="B1049" s="8"/>
      <c r="C1049" s="8"/>
      <c r="D1049" s="8"/>
      <c r="E1049" s="8"/>
      <c r="F1049" s="8"/>
      <c r="G1049" s="8"/>
      <c r="H1049" s="8"/>
      <c r="I1049" s="8"/>
    </row>
    <row r="1050" customFormat="false" ht="15.75" hidden="false" customHeight="false" outlineLevel="0" collapsed="false">
      <c r="A1050" s="8"/>
      <c r="B1050" s="8"/>
      <c r="C1050" s="8"/>
      <c r="D1050" s="8"/>
      <c r="E1050" s="8"/>
      <c r="F1050" s="8"/>
      <c r="G1050" s="8"/>
      <c r="H1050" s="8"/>
      <c r="I1050" s="8"/>
    </row>
    <row r="1051" customFormat="false" ht="15.75" hidden="false" customHeight="false" outlineLevel="0" collapsed="false">
      <c r="A1051" s="8"/>
      <c r="B1051" s="8"/>
      <c r="C1051" s="8"/>
      <c r="D1051" s="8"/>
      <c r="E1051" s="8"/>
      <c r="F1051" s="8"/>
      <c r="G1051" s="8"/>
      <c r="H1051" s="8"/>
      <c r="I1051" s="8"/>
    </row>
    <row r="1052" customFormat="false" ht="15.75" hidden="false" customHeight="false" outlineLevel="0" collapsed="false">
      <c r="A1052" s="8"/>
      <c r="B1052" s="8"/>
      <c r="C1052" s="8"/>
      <c r="D1052" s="8"/>
      <c r="E1052" s="8"/>
      <c r="F1052" s="8"/>
      <c r="G1052" s="8"/>
      <c r="H1052" s="8"/>
      <c r="I1052" s="8"/>
    </row>
    <row r="1053" customFormat="false" ht="15.75" hidden="false" customHeight="false" outlineLevel="0" collapsed="false">
      <c r="A1053" s="8"/>
      <c r="B1053" s="8"/>
      <c r="C1053" s="8"/>
      <c r="D1053" s="8"/>
      <c r="E1053" s="8"/>
      <c r="F1053" s="8"/>
      <c r="G1053" s="8"/>
      <c r="H1053" s="8"/>
      <c r="I1053" s="8"/>
    </row>
    <row r="1054" customFormat="false" ht="15.75" hidden="false" customHeight="false" outlineLevel="0" collapsed="false">
      <c r="A1054" s="8"/>
      <c r="B1054" s="8"/>
      <c r="C1054" s="8"/>
      <c r="D1054" s="8"/>
      <c r="E1054" s="8"/>
      <c r="F1054" s="8"/>
      <c r="G1054" s="8"/>
      <c r="H1054" s="8"/>
      <c r="I1054" s="8"/>
    </row>
    <row r="1055" customFormat="false" ht="15.75" hidden="false" customHeight="false" outlineLevel="0" collapsed="false">
      <c r="A1055" s="8"/>
      <c r="B1055" s="8"/>
      <c r="C1055" s="8"/>
      <c r="D1055" s="8"/>
      <c r="E1055" s="8"/>
      <c r="F1055" s="8"/>
      <c r="G1055" s="8"/>
      <c r="H1055" s="8"/>
      <c r="I1055" s="8"/>
    </row>
    <row r="1056" customFormat="false" ht="15.75" hidden="false" customHeight="false" outlineLevel="0" collapsed="false">
      <c r="A1056" s="8"/>
      <c r="B1056" s="8"/>
      <c r="C1056" s="8"/>
      <c r="D1056" s="8"/>
      <c r="E1056" s="8"/>
      <c r="F1056" s="8"/>
      <c r="G1056" s="8"/>
      <c r="H1056" s="8"/>
      <c r="I1056" s="8"/>
    </row>
    <row r="1057" customFormat="false" ht="15.75" hidden="false" customHeight="false" outlineLevel="0" collapsed="false">
      <c r="A1057" s="8"/>
      <c r="B1057" s="8"/>
      <c r="C1057" s="8"/>
      <c r="D1057" s="8"/>
      <c r="E1057" s="8"/>
      <c r="F1057" s="8"/>
      <c r="G1057" s="8"/>
      <c r="H1057" s="8"/>
      <c r="I1057" s="8"/>
    </row>
    <row r="1058" customFormat="false" ht="15.75" hidden="false" customHeight="false" outlineLevel="0" collapsed="false">
      <c r="A1058" s="8"/>
      <c r="B1058" s="8"/>
      <c r="C1058" s="8"/>
      <c r="D1058" s="8"/>
      <c r="E1058" s="8"/>
      <c r="F1058" s="8"/>
      <c r="G1058" s="8"/>
      <c r="H1058" s="8"/>
      <c r="I1058" s="8"/>
    </row>
    <row r="1059" customFormat="false" ht="15.75" hidden="false" customHeight="false" outlineLevel="0" collapsed="false">
      <c r="A1059" s="8"/>
      <c r="B1059" s="8"/>
      <c r="C1059" s="8"/>
      <c r="D1059" s="8"/>
      <c r="E1059" s="8"/>
      <c r="F1059" s="8"/>
      <c r="G1059" s="8"/>
      <c r="H1059" s="8"/>
      <c r="I1059" s="8"/>
    </row>
    <row r="1060" customFormat="false" ht="15.75" hidden="false" customHeight="false" outlineLevel="0" collapsed="false">
      <c r="A1060" s="8"/>
      <c r="B1060" s="8"/>
      <c r="C1060" s="8"/>
      <c r="D1060" s="8"/>
      <c r="E1060" s="8"/>
      <c r="F1060" s="8"/>
      <c r="G1060" s="8"/>
      <c r="H1060" s="8"/>
      <c r="I1060" s="8"/>
    </row>
    <row r="1061" customFormat="false" ht="15.75" hidden="false" customHeight="false" outlineLevel="0" collapsed="false">
      <c r="A1061" s="8"/>
      <c r="B1061" s="8"/>
      <c r="C1061" s="8"/>
      <c r="D1061" s="8"/>
      <c r="E1061" s="8"/>
      <c r="F1061" s="8"/>
      <c r="G1061" s="8"/>
      <c r="H1061" s="8"/>
      <c r="I1061" s="8"/>
    </row>
    <row r="1062" customFormat="false" ht="15.75" hidden="false" customHeight="false" outlineLevel="0" collapsed="false">
      <c r="A1062" s="8"/>
      <c r="B1062" s="8"/>
      <c r="C1062" s="8"/>
      <c r="D1062" s="8"/>
      <c r="E1062" s="8"/>
      <c r="F1062" s="8"/>
      <c r="G1062" s="8"/>
      <c r="H1062" s="8"/>
      <c r="I1062" s="8"/>
    </row>
    <row r="1063" customFormat="false" ht="15.75" hidden="false" customHeight="false" outlineLevel="0" collapsed="false">
      <c r="A1063" s="8"/>
      <c r="B1063" s="8"/>
      <c r="C1063" s="8"/>
      <c r="D1063" s="8"/>
      <c r="E1063" s="8"/>
      <c r="F1063" s="8"/>
      <c r="G1063" s="8"/>
      <c r="H1063" s="8"/>
      <c r="I1063" s="8"/>
    </row>
    <row r="1064" customFormat="false" ht="15.75" hidden="false" customHeight="false" outlineLevel="0" collapsed="false">
      <c r="A1064" s="8"/>
      <c r="B1064" s="8"/>
      <c r="C1064" s="8"/>
      <c r="D1064" s="8"/>
      <c r="E1064" s="8"/>
      <c r="F1064" s="8"/>
      <c r="G1064" s="8"/>
      <c r="H1064" s="8"/>
      <c r="I1064" s="8"/>
    </row>
    <row r="1065" customFormat="false" ht="15.75" hidden="false" customHeight="false" outlineLevel="0" collapsed="false">
      <c r="A1065" s="8"/>
      <c r="B1065" s="8"/>
      <c r="C1065" s="8"/>
      <c r="D1065" s="8"/>
      <c r="E1065" s="8"/>
      <c r="F1065" s="8"/>
      <c r="G1065" s="8"/>
      <c r="H1065" s="8"/>
      <c r="I1065" s="8"/>
    </row>
    <row r="1066" customFormat="false" ht="15.75" hidden="false" customHeight="false" outlineLevel="0" collapsed="false">
      <c r="A1066" s="8"/>
      <c r="B1066" s="8"/>
      <c r="C1066" s="8"/>
      <c r="D1066" s="8"/>
      <c r="E1066" s="8"/>
      <c r="F1066" s="8"/>
      <c r="G1066" s="8"/>
      <c r="H1066" s="8"/>
      <c r="I1066" s="8"/>
    </row>
    <row r="1067" customFormat="false" ht="15.75" hidden="false" customHeight="false" outlineLevel="0" collapsed="false">
      <c r="A1067" s="8"/>
      <c r="B1067" s="8"/>
      <c r="C1067" s="8"/>
      <c r="D1067" s="8"/>
      <c r="E1067" s="8"/>
      <c r="F1067" s="8"/>
      <c r="G1067" s="8"/>
      <c r="H1067" s="8"/>
      <c r="I1067" s="8"/>
    </row>
    <row r="1068" customFormat="false" ht="15.75" hidden="false" customHeight="false" outlineLevel="0" collapsed="false">
      <c r="A1068" s="8"/>
      <c r="B1068" s="8"/>
      <c r="C1068" s="8"/>
      <c r="D1068" s="8"/>
      <c r="E1068" s="8"/>
      <c r="F1068" s="8"/>
      <c r="G1068" s="8"/>
      <c r="H1068" s="8"/>
      <c r="I1068" s="8"/>
    </row>
    <row r="1069" customFormat="false" ht="15.75" hidden="false" customHeight="false" outlineLevel="0" collapsed="false">
      <c r="A1069" s="8"/>
      <c r="B1069" s="8"/>
      <c r="C1069" s="8"/>
      <c r="D1069" s="8"/>
      <c r="E1069" s="8"/>
      <c r="F1069" s="8"/>
      <c r="G1069" s="8"/>
      <c r="H1069" s="8"/>
      <c r="I1069" s="8"/>
    </row>
    <row r="1070" customFormat="false" ht="15.75" hidden="false" customHeight="false" outlineLevel="0" collapsed="false">
      <c r="A1070" s="8"/>
      <c r="B1070" s="8"/>
      <c r="C1070" s="8"/>
      <c r="D1070" s="8"/>
      <c r="E1070" s="8"/>
      <c r="F1070" s="8"/>
      <c r="G1070" s="8"/>
      <c r="H1070" s="8"/>
      <c r="I1070" s="8"/>
    </row>
    <row r="1071" customFormat="false" ht="15.75" hidden="false" customHeight="false" outlineLevel="0" collapsed="false">
      <c r="A1071" s="8"/>
      <c r="B1071" s="8"/>
      <c r="C1071" s="8"/>
      <c r="D1071" s="8"/>
      <c r="E1071" s="8"/>
      <c r="F1071" s="8"/>
      <c r="G1071" s="8"/>
      <c r="H1071" s="8"/>
      <c r="I1071" s="8"/>
    </row>
    <row r="1072" customFormat="false" ht="15.75" hidden="false" customHeight="false" outlineLevel="0" collapsed="false">
      <c r="A1072" s="8"/>
      <c r="B1072" s="8"/>
      <c r="C1072" s="8"/>
      <c r="D1072" s="8"/>
      <c r="E1072" s="8"/>
      <c r="F1072" s="8"/>
      <c r="G1072" s="8"/>
      <c r="H1072" s="8"/>
      <c r="I1072" s="8"/>
    </row>
    <row r="1073" customFormat="false" ht="15.75" hidden="false" customHeight="false" outlineLevel="0" collapsed="false">
      <c r="A1073" s="8"/>
      <c r="B1073" s="8"/>
      <c r="C1073" s="8"/>
      <c r="D1073" s="8"/>
      <c r="E1073" s="8"/>
      <c r="F1073" s="8"/>
      <c r="G1073" s="8"/>
      <c r="H1073" s="8"/>
      <c r="I1073" s="8"/>
    </row>
    <row r="1074" customFormat="false" ht="15.75" hidden="false" customHeight="false" outlineLevel="0" collapsed="false">
      <c r="A1074" s="8"/>
      <c r="B1074" s="8"/>
      <c r="C1074" s="8"/>
      <c r="D1074" s="8"/>
      <c r="E1074" s="8"/>
      <c r="F1074" s="8"/>
      <c r="G1074" s="8"/>
      <c r="H1074" s="8"/>
      <c r="I1074" s="8"/>
    </row>
    <row r="1075" customFormat="false" ht="15.75" hidden="false" customHeight="false" outlineLevel="0" collapsed="false">
      <c r="A1075" s="8"/>
      <c r="B1075" s="8"/>
      <c r="C1075" s="8"/>
      <c r="D1075" s="8"/>
      <c r="E1075" s="8"/>
      <c r="F1075" s="8"/>
      <c r="G1075" s="8"/>
      <c r="H1075" s="8"/>
      <c r="I1075" s="8"/>
    </row>
    <row r="1076" customFormat="false" ht="15.75" hidden="false" customHeight="false" outlineLevel="0" collapsed="false">
      <c r="A1076" s="8"/>
      <c r="B1076" s="8"/>
      <c r="C1076" s="8"/>
      <c r="D1076" s="8"/>
      <c r="E1076" s="8"/>
      <c r="F1076" s="8"/>
      <c r="G1076" s="8"/>
      <c r="H1076" s="8"/>
      <c r="I1076" s="8"/>
    </row>
    <row r="1077" customFormat="false" ht="15.75" hidden="false" customHeight="false" outlineLevel="0" collapsed="false">
      <c r="A1077" s="8"/>
      <c r="B1077" s="8"/>
      <c r="C1077" s="8"/>
      <c r="D1077" s="8"/>
      <c r="E1077" s="8"/>
      <c r="F1077" s="8"/>
      <c r="G1077" s="8"/>
      <c r="H1077" s="8"/>
      <c r="I1077" s="8"/>
    </row>
    <row r="1078" customFormat="false" ht="15.75" hidden="false" customHeight="false" outlineLevel="0" collapsed="false">
      <c r="A1078" s="8"/>
      <c r="B1078" s="8"/>
      <c r="C1078" s="8"/>
      <c r="D1078" s="8"/>
      <c r="E1078" s="8"/>
      <c r="F1078" s="8"/>
      <c r="G1078" s="8"/>
      <c r="H1078" s="8"/>
      <c r="I1078" s="8"/>
    </row>
    <row r="1079" customFormat="false" ht="15.75" hidden="false" customHeight="false" outlineLevel="0" collapsed="false">
      <c r="A1079" s="8"/>
      <c r="B1079" s="8"/>
      <c r="C1079" s="8"/>
      <c r="D1079" s="8"/>
      <c r="E1079" s="8"/>
      <c r="F1079" s="8"/>
      <c r="G1079" s="8"/>
      <c r="H1079" s="8"/>
      <c r="I1079" s="8"/>
    </row>
    <row r="1080" customFormat="false" ht="15.75" hidden="false" customHeight="false" outlineLevel="0" collapsed="false">
      <c r="A1080" s="8"/>
      <c r="B1080" s="8"/>
      <c r="C1080" s="8"/>
      <c r="D1080" s="8"/>
      <c r="E1080" s="8"/>
      <c r="F1080" s="8"/>
      <c r="G1080" s="8"/>
      <c r="H1080" s="8"/>
      <c r="I1080" s="8"/>
    </row>
    <row r="1081" customFormat="false" ht="15.75" hidden="false" customHeight="false" outlineLevel="0" collapsed="false">
      <c r="A1081" s="8"/>
      <c r="B1081" s="8"/>
      <c r="C1081" s="8"/>
      <c r="D1081" s="8"/>
      <c r="E1081" s="8"/>
      <c r="F1081" s="8"/>
      <c r="G1081" s="8"/>
      <c r="H1081" s="8"/>
      <c r="I1081" s="8"/>
    </row>
    <row r="1082" customFormat="false" ht="15.75" hidden="false" customHeight="false" outlineLevel="0" collapsed="false">
      <c r="A1082" s="8"/>
      <c r="B1082" s="8"/>
      <c r="C1082" s="8"/>
      <c r="D1082" s="8"/>
      <c r="E1082" s="8"/>
      <c r="F1082" s="8"/>
      <c r="G1082" s="8"/>
      <c r="H1082" s="8"/>
      <c r="I1082" s="8"/>
    </row>
    <row r="1083" customFormat="false" ht="15.75" hidden="false" customHeight="false" outlineLevel="0" collapsed="false">
      <c r="A1083" s="8"/>
      <c r="B1083" s="8"/>
      <c r="C1083" s="8"/>
      <c r="D1083" s="8"/>
      <c r="E1083" s="8"/>
      <c r="F1083" s="8"/>
      <c r="G1083" s="8"/>
      <c r="H1083" s="8"/>
      <c r="I1083" s="8"/>
    </row>
    <row r="1084" customFormat="false" ht="15.75" hidden="false" customHeight="false" outlineLevel="0" collapsed="false">
      <c r="A1084" s="8"/>
      <c r="B1084" s="8"/>
      <c r="C1084" s="8"/>
      <c r="D1084" s="8"/>
      <c r="E1084" s="8"/>
      <c r="F1084" s="8"/>
      <c r="G1084" s="8"/>
      <c r="H1084" s="8"/>
      <c r="I1084" s="8"/>
    </row>
    <row r="1085" customFormat="false" ht="15.75" hidden="false" customHeight="false" outlineLevel="0" collapsed="false">
      <c r="A1085" s="8"/>
      <c r="B1085" s="8"/>
      <c r="C1085" s="8"/>
      <c r="D1085" s="8"/>
      <c r="E1085" s="8"/>
      <c r="F1085" s="8"/>
      <c r="G1085" s="8"/>
      <c r="H1085" s="8"/>
      <c r="I1085" s="8"/>
    </row>
    <row r="1086" customFormat="false" ht="15.75" hidden="false" customHeight="false" outlineLevel="0" collapsed="false">
      <c r="A1086" s="8"/>
      <c r="B1086" s="8"/>
      <c r="C1086" s="8"/>
      <c r="D1086" s="8"/>
      <c r="E1086" s="8"/>
      <c r="F1086" s="8"/>
      <c r="G1086" s="8"/>
      <c r="H1086" s="8"/>
      <c r="I1086" s="8"/>
    </row>
    <row r="1087" customFormat="false" ht="15.75" hidden="false" customHeight="false" outlineLevel="0" collapsed="false">
      <c r="A1087" s="8"/>
      <c r="B1087" s="8"/>
      <c r="C1087" s="8"/>
      <c r="D1087" s="8"/>
      <c r="E1087" s="8"/>
      <c r="F1087" s="8"/>
      <c r="G1087" s="8"/>
      <c r="H1087" s="8"/>
      <c r="I1087" s="8"/>
    </row>
    <row r="1088" customFormat="false" ht="15.75" hidden="false" customHeight="false" outlineLevel="0" collapsed="false">
      <c r="A1088" s="8"/>
      <c r="B1088" s="8"/>
      <c r="C1088" s="8"/>
      <c r="D1088" s="8"/>
      <c r="E1088" s="8"/>
      <c r="F1088" s="8"/>
      <c r="G1088" s="8"/>
      <c r="H1088" s="8"/>
      <c r="I1088" s="8"/>
    </row>
    <row r="1089" customFormat="false" ht="15.75" hidden="false" customHeight="false" outlineLevel="0" collapsed="false">
      <c r="A1089" s="8"/>
      <c r="B1089" s="8"/>
      <c r="C1089" s="8"/>
      <c r="D1089" s="8"/>
      <c r="E1089" s="8"/>
      <c r="F1089" s="8"/>
      <c r="G1089" s="8"/>
      <c r="H1089" s="8"/>
      <c r="I1089" s="8"/>
    </row>
    <row r="1090" customFormat="false" ht="15.75" hidden="false" customHeight="false" outlineLevel="0" collapsed="false">
      <c r="A1090" s="8"/>
      <c r="B1090" s="8"/>
      <c r="C1090" s="8"/>
      <c r="D1090" s="8"/>
      <c r="E1090" s="8"/>
      <c r="F1090" s="8"/>
      <c r="G1090" s="8"/>
      <c r="H1090" s="8"/>
      <c r="I1090" s="8"/>
    </row>
    <row r="1091" customFormat="false" ht="15.75" hidden="false" customHeight="false" outlineLevel="0" collapsed="false">
      <c r="A1091" s="8"/>
      <c r="B1091" s="8"/>
      <c r="C1091" s="8"/>
      <c r="D1091" s="8"/>
      <c r="E1091" s="8"/>
      <c r="F1091" s="8"/>
      <c r="G1091" s="8"/>
      <c r="H1091" s="8"/>
      <c r="I1091" s="8"/>
    </row>
    <row r="1092" customFormat="false" ht="15.75" hidden="false" customHeight="false" outlineLevel="0" collapsed="false">
      <c r="A1092" s="8"/>
      <c r="B1092" s="8"/>
      <c r="C1092" s="8"/>
      <c r="D1092" s="8"/>
      <c r="E1092" s="8"/>
      <c r="F1092" s="8"/>
      <c r="G1092" s="8"/>
      <c r="H1092" s="8"/>
      <c r="I1092" s="8"/>
    </row>
    <row r="1093" customFormat="false" ht="15.75" hidden="false" customHeight="false" outlineLevel="0" collapsed="false">
      <c r="A1093" s="8"/>
      <c r="B1093" s="8"/>
      <c r="C1093" s="8"/>
      <c r="D1093" s="8"/>
      <c r="E1093" s="8"/>
      <c r="F1093" s="8"/>
      <c r="G1093" s="8"/>
      <c r="H1093" s="8"/>
      <c r="I1093" s="8"/>
    </row>
    <row r="1094" customFormat="false" ht="15.75" hidden="false" customHeight="false" outlineLevel="0" collapsed="false">
      <c r="A1094" s="8"/>
      <c r="B1094" s="8"/>
      <c r="C1094" s="8"/>
      <c r="D1094" s="8"/>
      <c r="E1094" s="8"/>
      <c r="F1094" s="8"/>
      <c r="G1094" s="8"/>
      <c r="H1094" s="8"/>
      <c r="I1094" s="8"/>
    </row>
    <row r="1095" customFormat="false" ht="15.75" hidden="false" customHeight="false" outlineLevel="0" collapsed="false">
      <c r="A1095" s="8"/>
      <c r="B1095" s="8"/>
      <c r="C1095" s="8"/>
      <c r="D1095" s="8"/>
      <c r="E1095" s="8"/>
      <c r="F1095" s="8"/>
      <c r="G1095" s="8"/>
      <c r="H1095" s="8"/>
      <c r="I1095" s="8"/>
    </row>
    <row r="1096" customFormat="false" ht="15.75" hidden="false" customHeight="false" outlineLevel="0" collapsed="false">
      <c r="A1096" s="8"/>
      <c r="B1096" s="8"/>
      <c r="C1096" s="8"/>
      <c r="D1096" s="8"/>
      <c r="E1096" s="8"/>
      <c r="F1096" s="8"/>
      <c r="G1096" s="8"/>
      <c r="H1096" s="8"/>
      <c r="I1096" s="8"/>
    </row>
    <row r="1097" customFormat="false" ht="15.75" hidden="false" customHeight="false" outlineLevel="0" collapsed="false">
      <c r="A1097" s="8"/>
      <c r="B1097" s="8"/>
      <c r="C1097" s="8"/>
      <c r="D1097" s="8"/>
      <c r="E1097" s="8"/>
      <c r="F1097" s="8"/>
      <c r="G1097" s="8"/>
      <c r="H1097" s="8"/>
      <c r="I1097" s="8"/>
    </row>
    <row r="1098" customFormat="false" ht="15.75" hidden="false" customHeight="false" outlineLevel="0" collapsed="false">
      <c r="A1098" s="8"/>
      <c r="B1098" s="8"/>
      <c r="C1098" s="8"/>
      <c r="D1098" s="8"/>
      <c r="E1098" s="8"/>
      <c r="F1098" s="8"/>
      <c r="G1098" s="8"/>
      <c r="H1098" s="8"/>
      <c r="I1098" s="8"/>
    </row>
    <row r="1099" customFormat="false" ht="15.75" hidden="false" customHeight="false" outlineLevel="0" collapsed="false">
      <c r="A1099" s="8"/>
      <c r="B1099" s="8"/>
      <c r="C1099" s="8"/>
      <c r="D1099" s="8"/>
      <c r="E1099" s="8"/>
      <c r="F1099" s="8"/>
      <c r="G1099" s="8"/>
      <c r="H1099" s="8"/>
      <c r="I1099" s="8"/>
    </row>
    <row r="1100" customFormat="false" ht="15.75" hidden="false" customHeight="false" outlineLevel="0" collapsed="false">
      <c r="A1100" s="8"/>
      <c r="B1100" s="8"/>
      <c r="C1100" s="8"/>
      <c r="D1100" s="8"/>
      <c r="E1100" s="8"/>
      <c r="F1100" s="8"/>
      <c r="G1100" s="8"/>
      <c r="H1100" s="8"/>
      <c r="I1100" s="8"/>
    </row>
    <row r="1101" customFormat="false" ht="15.75" hidden="false" customHeight="false" outlineLevel="0" collapsed="false">
      <c r="A1101" s="8"/>
      <c r="B1101" s="8"/>
      <c r="C1101" s="8"/>
      <c r="D1101" s="8"/>
      <c r="E1101" s="8"/>
      <c r="F1101" s="8"/>
      <c r="G1101" s="8"/>
      <c r="H1101" s="8"/>
      <c r="I1101" s="8"/>
    </row>
    <row r="1102" customFormat="false" ht="15.75" hidden="false" customHeight="false" outlineLevel="0" collapsed="false">
      <c r="A1102" s="8"/>
      <c r="B1102" s="8"/>
      <c r="C1102" s="8"/>
      <c r="D1102" s="8"/>
      <c r="E1102" s="8"/>
      <c r="F1102" s="8"/>
      <c r="G1102" s="8"/>
      <c r="H1102" s="8"/>
      <c r="I1102" s="8"/>
    </row>
    <row r="1103" customFormat="false" ht="15.75" hidden="false" customHeight="false" outlineLevel="0" collapsed="false">
      <c r="A1103" s="8"/>
      <c r="B1103" s="8"/>
      <c r="C1103" s="8"/>
      <c r="D1103" s="8"/>
      <c r="E1103" s="8"/>
      <c r="F1103" s="8"/>
      <c r="G1103" s="8"/>
      <c r="H1103" s="8"/>
      <c r="I1103" s="8"/>
    </row>
    <row r="1104" customFormat="false" ht="15.75" hidden="false" customHeight="false" outlineLevel="0" collapsed="false">
      <c r="A1104" s="8"/>
      <c r="B1104" s="8"/>
      <c r="C1104" s="8"/>
      <c r="D1104" s="8"/>
      <c r="E1104" s="8"/>
      <c r="F1104" s="8"/>
      <c r="G1104" s="8"/>
      <c r="H1104" s="8"/>
      <c r="I1104" s="8"/>
    </row>
    <row r="1105" customFormat="false" ht="15.75" hidden="false" customHeight="false" outlineLevel="0" collapsed="false">
      <c r="A1105" s="8"/>
      <c r="B1105" s="8"/>
      <c r="C1105" s="8"/>
      <c r="D1105" s="8"/>
      <c r="E1105" s="8"/>
      <c r="F1105" s="8"/>
      <c r="G1105" s="8"/>
      <c r="H1105" s="8"/>
      <c r="I1105" s="8"/>
    </row>
    <row r="1106" customFormat="false" ht="15.75" hidden="false" customHeight="false" outlineLevel="0" collapsed="false">
      <c r="A1106" s="8"/>
      <c r="B1106" s="8"/>
      <c r="C1106" s="8"/>
      <c r="D1106" s="8"/>
      <c r="E1106" s="8"/>
      <c r="F1106" s="8"/>
      <c r="G1106" s="8"/>
      <c r="H1106" s="8"/>
      <c r="I1106" s="8"/>
    </row>
    <row r="1107" customFormat="false" ht="15.75" hidden="false" customHeight="false" outlineLevel="0" collapsed="false">
      <c r="A1107" s="8"/>
      <c r="B1107" s="8"/>
      <c r="C1107" s="8"/>
      <c r="D1107" s="8"/>
      <c r="E1107" s="8"/>
      <c r="F1107" s="8"/>
      <c r="G1107" s="8"/>
      <c r="H1107" s="8"/>
      <c r="I1107" s="8"/>
    </row>
    <row r="1108" customFormat="false" ht="15.75" hidden="false" customHeight="false" outlineLevel="0" collapsed="false">
      <c r="A1108" s="8"/>
      <c r="B1108" s="8"/>
      <c r="C1108" s="8"/>
      <c r="D1108" s="8"/>
      <c r="E1108" s="8"/>
      <c r="F1108" s="8"/>
      <c r="G1108" s="8"/>
      <c r="H1108" s="8"/>
      <c r="I1108" s="8"/>
    </row>
    <row r="1109" customFormat="false" ht="15.75" hidden="false" customHeight="false" outlineLevel="0" collapsed="false">
      <c r="A1109" s="8"/>
      <c r="B1109" s="8"/>
      <c r="C1109" s="8"/>
      <c r="D1109" s="8"/>
      <c r="E1109" s="8"/>
      <c r="F1109" s="8"/>
      <c r="G1109" s="8"/>
      <c r="H1109" s="8"/>
      <c r="I1109" s="8"/>
    </row>
    <row r="1110" customFormat="false" ht="15.75" hidden="false" customHeight="false" outlineLevel="0" collapsed="false">
      <c r="A1110" s="8"/>
      <c r="B1110" s="8"/>
      <c r="C1110" s="8"/>
      <c r="D1110" s="8"/>
      <c r="E1110" s="8"/>
      <c r="F1110" s="8"/>
      <c r="G1110" s="8"/>
      <c r="H1110" s="8"/>
      <c r="I1110" s="8"/>
    </row>
    <row r="1111" customFormat="false" ht="15.75" hidden="false" customHeight="false" outlineLevel="0" collapsed="false">
      <c r="A1111" s="8"/>
      <c r="B1111" s="8"/>
      <c r="C1111" s="8"/>
      <c r="D1111" s="8"/>
      <c r="E1111" s="8"/>
      <c r="F1111" s="8"/>
      <c r="G1111" s="8"/>
      <c r="H1111" s="8"/>
      <c r="I1111" s="8"/>
    </row>
    <row r="1112" customFormat="false" ht="15.75" hidden="false" customHeight="false" outlineLevel="0" collapsed="false">
      <c r="A1112" s="8"/>
      <c r="B1112" s="8"/>
      <c r="C1112" s="8"/>
      <c r="D1112" s="8"/>
      <c r="E1112" s="8"/>
      <c r="F1112" s="8"/>
      <c r="G1112" s="8"/>
      <c r="H1112" s="8"/>
      <c r="I1112" s="8"/>
    </row>
    <row r="1113" customFormat="false" ht="15.75" hidden="false" customHeight="false" outlineLevel="0" collapsed="false">
      <c r="A1113" s="8"/>
      <c r="B1113" s="8"/>
      <c r="C1113" s="8"/>
      <c r="D1113" s="8"/>
      <c r="E1113" s="8"/>
      <c r="F1113" s="8"/>
      <c r="G1113" s="8"/>
      <c r="H1113" s="8"/>
      <c r="I1113" s="8"/>
    </row>
    <row r="1114" customFormat="false" ht="15.75" hidden="false" customHeight="false" outlineLevel="0" collapsed="false">
      <c r="A1114" s="8"/>
      <c r="B1114" s="8"/>
      <c r="C1114" s="8"/>
      <c r="D1114" s="8"/>
      <c r="E1114" s="8"/>
      <c r="F1114" s="8"/>
      <c r="G1114" s="8"/>
      <c r="H1114" s="8"/>
      <c r="I1114" s="8"/>
    </row>
    <row r="1115" customFormat="false" ht="15.75" hidden="false" customHeight="false" outlineLevel="0" collapsed="false">
      <c r="A1115" s="8"/>
      <c r="B1115" s="8"/>
      <c r="C1115" s="8"/>
      <c r="D1115" s="8"/>
      <c r="E1115" s="8"/>
      <c r="F1115" s="8"/>
      <c r="G1115" s="8"/>
      <c r="H1115" s="8"/>
      <c r="I1115" s="8"/>
    </row>
    <row r="1116" customFormat="false" ht="15.75" hidden="false" customHeight="false" outlineLevel="0" collapsed="false">
      <c r="A1116" s="8"/>
      <c r="B1116" s="8"/>
      <c r="C1116" s="8"/>
      <c r="D1116" s="8"/>
      <c r="E1116" s="8"/>
      <c r="F1116" s="8"/>
      <c r="G1116" s="8"/>
      <c r="H1116" s="8"/>
      <c r="I1116" s="8"/>
    </row>
    <row r="1117" customFormat="false" ht="15.75" hidden="false" customHeight="false" outlineLevel="0" collapsed="false">
      <c r="A1117" s="8"/>
      <c r="B1117" s="8"/>
      <c r="C1117" s="8"/>
      <c r="D1117" s="8"/>
      <c r="E1117" s="8"/>
      <c r="F1117" s="8"/>
      <c r="G1117" s="8"/>
      <c r="H1117" s="8"/>
      <c r="I1117" s="8"/>
    </row>
    <row r="1118" customFormat="false" ht="15.75" hidden="false" customHeight="false" outlineLevel="0" collapsed="false">
      <c r="A1118" s="8"/>
      <c r="B1118" s="8"/>
      <c r="C1118" s="8"/>
      <c r="D1118" s="8"/>
      <c r="E1118" s="8"/>
      <c r="F1118" s="8"/>
      <c r="G1118" s="8"/>
      <c r="H1118" s="8"/>
      <c r="I1118" s="8"/>
    </row>
    <row r="1119" customFormat="false" ht="15.75" hidden="false" customHeight="false" outlineLevel="0" collapsed="false">
      <c r="A1119" s="8"/>
      <c r="B1119" s="8"/>
      <c r="C1119" s="8"/>
      <c r="D1119" s="8"/>
      <c r="E1119" s="8"/>
      <c r="F1119" s="8"/>
      <c r="G1119" s="8"/>
      <c r="H1119" s="8"/>
      <c r="I1119" s="8"/>
    </row>
    <row r="1120" customFormat="false" ht="15.75" hidden="false" customHeight="false" outlineLevel="0" collapsed="false">
      <c r="A1120" s="8"/>
      <c r="B1120" s="8"/>
      <c r="C1120" s="8"/>
      <c r="D1120" s="8"/>
      <c r="E1120" s="8"/>
      <c r="F1120" s="8"/>
      <c r="G1120" s="8"/>
      <c r="H1120" s="8"/>
      <c r="I1120" s="8"/>
    </row>
    <row r="1121" customFormat="false" ht="15.75" hidden="false" customHeight="false" outlineLevel="0" collapsed="false">
      <c r="A1121" s="8"/>
      <c r="B1121" s="8"/>
      <c r="C1121" s="8"/>
      <c r="D1121" s="8"/>
      <c r="E1121" s="8"/>
      <c r="F1121" s="8"/>
      <c r="G1121" s="8"/>
      <c r="H1121" s="8"/>
      <c r="I1121" s="8"/>
    </row>
    <row r="1122" customFormat="false" ht="15.75" hidden="false" customHeight="false" outlineLevel="0" collapsed="false">
      <c r="A1122" s="8"/>
      <c r="B1122" s="8"/>
      <c r="C1122" s="8"/>
      <c r="D1122" s="8"/>
      <c r="E1122" s="8"/>
      <c r="F1122" s="8"/>
      <c r="G1122" s="8"/>
      <c r="H1122" s="8"/>
      <c r="I1122" s="8"/>
    </row>
    <row r="1123" customFormat="false" ht="15.75" hidden="false" customHeight="false" outlineLevel="0" collapsed="false">
      <c r="A1123" s="8"/>
      <c r="B1123" s="8"/>
      <c r="C1123" s="8"/>
      <c r="D1123" s="8"/>
      <c r="E1123" s="8"/>
      <c r="F1123" s="8"/>
      <c r="G1123" s="8"/>
      <c r="H1123" s="8"/>
      <c r="I1123" s="8"/>
    </row>
    <row r="1124" customFormat="false" ht="15.75" hidden="false" customHeight="false" outlineLevel="0" collapsed="false">
      <c r="A1124" s="8"/>
      <c r="B1124" s="8"/>
      <c r="C1124" s="8"/>
      <c r="D1124" s="8"/>
      <c r="E1124" s="8"/>
      <c r="F1124" s="8"/>
      <c r="G1124" s="8"/>
      <c r="H1124" s="8"/>
      <c r="I1124" s="8"/>
    </row>
    <row r="1125" customFormat="false" ht="15.75" hidden="false" customHeight="false" outlineLevel="0" collapsed="false">
      <c r="A1125" s="8"/>
      <c r="B1125" s="8"/>
      <c r="C1125" s="8"/>
      <c r="D1125" s="8"/>
      <c r="E1125" s="8"/>
      <c r="F1125" s="8"/>
      <c r="G1125" s="8"/>
      <c r="H1125" s="8"/>
      <c r="I1125" s="8"/>
    </row>
    <row r="1126" customFormat="false" ht="15.75" hidden="false" customHeight="false" outlineLevel="0" collapsed="false">
      <c r="A1126" s="8"/>
      <c r="B1126" s="8"/>
      <c r="C1126" s="8"/>
      <c r="D1126" s="8"/>
      <c r="E1126" s="8"/>
      <c r="F1126" s="8"/>
      <c r="G1126" s="8"/>
      <c r="H1126" s="8"/>
      <c r="I1126" s="8"/>
    </row>
    <row r="1127" customFormat="false" ht="15.75" hidden="false" customHeight="false" outlineLevel="0" collapsed="false">
      <c r="A1127" s="8"/>
      <c r="B1127" s="8"/>
      <c r="C1127" s="8"/>
      <c r="D1127" s="8"/>
      <c r="E1127" s="8"/>
      <c r="F1127" s="8"/>
      <c r="G1127" s="8"/>
      <c r="H1127" s="8"/>
      <c r="I1127" s="8"/>
    </row>
    <row r="1128" customFormat="false" ht="15.75" hidden="false" customHeight="false" outlineLevel="0" collapsed="false">
      <c r="A1128" s="8"/>
      <c r="B1128" s="8"/>
      <c r="C1128" s="8"/>
      <c r="D1128" s="8"/>
      <c r="E1128" s="8"/>
      <c r="F1128" s="8"/>
      <c r="G1128" s="8"/>
      <c r="H1128" s="8"/>
      <c r="I1128" s="8"/>
    </row>
    <row r="1129" customFormat="false" ht="15.75" hidden="false" customHeight="false" outlineLevel="0" collapsed="false">
      <c r="A1129" s="8"/>
      <c r="B1129" s="8"/>
      <c r="C1129" s="8"/>
      <c r="D1129" s="8"/>
      <c r="E1129" s="8"/>
      <c r="F1129" s="8"/>
      <c r="G1129" s="8"/>
      <c r="H1129" s="8"/>
      <c r="I1129" s="8"/>
    </row>
    <row r="1130" customFormat="false" ht="15.75" hidden="false" customHeight="false" outlineLevel="0" collapsed="false">
      <c r="A1130" s="8"/>
      <c r="B1130" s="8"/>
      <c r="C1130" s="8"/>
      <c r="D1130" s="8"/>
      <c r="E1130" s="8"/>
      <c r="F1130" s="8"/>
      <c r="G1130" s="8"/>
      <c r="H1130" s="8"/>
      <c r="I1130" s="8"/>
    </row>
    <row r="1131" customFormat="false" ht="15.75" hidden="false" customHeight="false" outlineLevel="0" collapsed="false">
      <c r="A1131" s="8"/>
      <c r="B1131" s="8"/>
      <c r="C1131" s="8"/>
      <c r="D1131" s="8"/>
      <c r="E1131" s="8"/>
      <c r="F1131" s="8"/>
      <c r="G1131" s="8"/>
      <c r="H1131" s="8"/>
      <c r="I1131" s="8"/>
    </row>
    <row r="1132" customFormat="false" ht="15.75" hidden="false" customHeight="false" outlineLevel="0" collapsed="false">
      <c r="A1132" s="8"/>
      <c r="B1132" s="8"/>
      <c r="C1132" s="8"/>
      <c r="D1132" s="8"/>
      <c r="E1132" s="8"/>
      <c r="F1132" s="8"/>
      <c r="G1132" s="8"/>
      <c r="H1132" s="8"/>
      <c r="I1132" s="8"/>
    </row>
    <row r="1133" customFormat="false" ht="15.75" hidden="false" customHeight="false" outlineLevel="0" collapsed="false">
      <c r="A1133" s="8"/>
      <c r="B1133" s="8"/>
      <c r="C1133" s="8"/>
      <c r="D1133" s="8"/>
      <c r="E1133" s="8"/>
      <c r="F1133" s="8"/>
      <c r="G1133" s="8"/>
      <c r="H1133" s="8"/>
      <c r="I1133" s="8"/>
    </row>
    <row r="1134" customFormat="false" ht="15.75" hidden="false" customHeight="false" outlineLevel="0" collapsed="false">
      <c r="A1134" s="8"/>
      <c r="B1134" s="8"/>
      <c r="C1134" s="8"/>
      <c r="D1134" s="8"/>
      <c r="E1134" s="8"/>
      <c r="F1134" s="8"/>
      <c r="G1134" s="8"/>
      <c r="H1134" s="8"/>
      <c r="I1134" s="8"/>
    </row>
    <row r="1135" customFormat="false" ht="15.75" hidden="false" customHeight="false" outlineLevel="0" collapsed="false">
      <c r="A1135" s="8"/>
      <c r="B1135" s="8"/>
      <c r="C1135" s="8"/>
      <c r="D1135" s="8"/>
      <c r="E1135" s="8"/>
      <c r="F1135" s="8"/>
      <c r="G1135" s="8"/>
      <c r="H1135" s="8"/>
      <c r="I1135" s="8"/>
    </row>
    <row r="1136" customFormat="false" ht="15.75" hidden="false" customHeight="false" outlineLevel="0" collapsed="false">
      <c r="A1136" s="8"/>
      <c r="B1136" s="8"/>
      <c r="C1136" s="8"/>
      <c r="D1136" s="8"/>
      <c r="E1136" s="8"/>
      <c r="F1136" s="8"/>
      <c r="G1136" s="8"/>
      <c r="H1136" s="8"/>
      <c r="I1136" s="8"/>
    </row>
    <row r="1137" customFormat="false" ht="15.75" hidden="false" customHeight="false" outlineLevel="0" collapsed="false">
      <c r="A1137" s="8"/>
      <c r="B1137" s="8"/>
      <c r="C1137" s="8"/>
      <c r="D1137" s="8"/>
      <c r="E1137" s="8"/>
      <c r="F1137" s="8"/>
      <c r="G1137" s="8"/>
      <c r="H1137" s="8"/>
      <c r="I1137" s="8"/>
    </row>
    <row r="1138" customFormat="false" ht="15.75" hidden="false" customHeight="false" outlineLevel="0" collapsed="false">
      <c r="A1138" s="8"/>
      <c r="B1138" s="8"/>
      <c r="C1138" s="8"/>
      <c r="D1138" s="8"/>
      <c r="E1138" s="8"/>
      <c r="F1138" s="8"/>
      <c r="G1138" s="8"/>
      <c r="H1138" s="8"/>
      <c r="I1138" s="8"/>
    </row>
    <row r="1139" customFormat="false" ht="15.75" hidden="false" customHeight="false" outlineLevel="0" collapsed="false">
      <c r="A1139" s="8"/>
      <c r="B1139" s="8"/>
      <c r="C1139" s="8"/>
      <c r="D1139" s="8"/>
      <c r="E1139" s="8"/>
      <c r="F1139" s="8"/>
      <c r="G1139" s="8"/>
      <c r="H1139" s="8"/>
      <c r="I1139" s="8"/>
    </row>
    <row r="1140" customFormat="false" ht="15.75" hidden="false" customHeight="false" outlineLevel="0" collapsed="false">
      <c r="A1140" s="8"/>
      <c r="B1140" s="8"/>
      <c r="C1140" s="8"/>
      <c r="D1140" s="8"/>
      <c r="E1140" s="8"/>
      <c r="F1140" s="8"/>
      <c r="G1140" s="8"/>
      <c r="H1140" s="8"/>
      <c r="I1140" s="8"/>
    </row>
    <row r="1141" customFormat="false" ht="15.75" hidden="false" customHeight="false" outlineLevel="0" collapsed="false">
      <c r="A1141" s="8"/>
      <c r="B1141" s="8"/>
      <c r="C1141" s="8"/>
      <c r="D1141" s="8"/>
      <c r="E1141" s="8"/>
      <c r="F1141" s="8"/>
      <c r="G1141" s="8"/>
      <c r="H1141" s="8"/>
      <c r="I1141" s="8"/>
    </row>
    <row r="1142" customFormat="false" ht="15.75" hidden="false" customHeight="false" outlineLevel="0" collapsed="false">
      <c r="A1142" s="8"/>
      <c r="B1142" s="8"/>
      <c r="C1142" s="8"/>
      <c r="D1142" s="8"/>
      <c r="E1142" s="8"/>
      <c r="F1142" s="8"/>
      <c r="G1142" s="8"/>
      <c r="H1142" s="8"/>
      <c r="I1142" s="8"/>
    </row>
    <row r="1143" customFormat="false" ht="15.75" hidden="false" customHeight="false" outlineLevel="0" collapsed="false">
      <c r="A1143" s="8"/>
      <c r="B1143" s="8"/>
      <c r="C1143" s="8"/>
      <c r="D1143" s="8"/>
      <c r="E1143" s="8"/>
      <c r="F1143" s="8"/>
      <c r="G1143" s="8"/>
      <c r="H1143" s="8"/>
      <c r="I1143" s="8"/>
    </row>
    <row r="1144" customFormat="false" ht="15.75" hidden="false" customHeight="false" outlineLevel="0" collapsed="false">
      <c r="A1144" s="8"/>
      <c r="B1144" s="8"/>
      <c r="C1144" s="8"/>
      <c r="D1144" s="8"/>
      <c r="E1144" s="8"/>
      <c r="F1144" s="8"/>
      <c r="G1144" s="8"/>
      <c r="H1144" s="8"/>
      <c r="I1144" s="8"/>
    </row>
    <row r="1145" customFormat="false" ht="15.75" hidden="false" customHeight="false" outlineLevel="0" collapsed="false">
      <c r="A1145" s="8"/>
      <c r="B1145" s="8"/>
      <c r="C1145" s="8"/>
      <c r="D1145" s="8"/>
      <c r="E1145" s="8"/>
      <c r="F1145" s="8"/>
      <c r="G1145" s="8"/>
      <c r="H1145" s="8"/>
      <c r="I1145" s="8"/>
    </row>
    <row r="1146" customFormat="false" ht="15.75" hidden="false" customHeight="false" outlineLevel="0" collapsed="false">
      <c r="A1146" s="8"/>
      <c r="B1146" s="8"/>
      <c r="C1146" s="8"/>
      <c r="D1146" s="8"/>
      <c r="E1146" s="8"/>
      <c r="F1146" s="8"/>
      <c r="G1146" s="8"/>
      <c r="H1146" s="8"/>
      <c r="I1146" s="8"/>
    </row>
    <row r="1147" customFormat="false" ht="15.75" hidden="false" customHeight="false" outlineLevel="0" collapsed="false">
      <c r="A1147" s="8"/>
      <c r="B1147" s="8"/>
      <c r="C1147" s="8"/>
      <c r="D1147" s="8"/>
      <c r="E1147" s="8"/>
      <c r="F1147" s="8"/>
      <c r="G1147" s="8"/>
      <c r="H1147" s="8"/>
      <c r="I1147" s="8"/>
    </row>
    <row r="1148" customFormat="false" ht="15.75" hidden="false" customHeight="false" outlineLevel="0" collapsed="false">
      <c r="A1148" s="8"/>
      <c r="B1148" s="8"/>
      <c r="C1148" s="8"/>
      <c r="D1148" s="8"/>
      <c r="E1148" s="8"/>
      <c r="F1148" s="8"/>
      <c r="G1148" s="8"/>
      <c r="H1148" s="8"/>
      <c r="I1148" s="8"/>
    </row>
    <row r="1149" customFormat="false" ht="15.75" hidden="false" customHeight="false" outlineLevel="0" collapsed="false">
      <c r="A1149" s="8"/>
      <c r="B1149" s="8"/>
      <c r="C1149" s="8"/>
      <c r="D1149" s="8"/>
      <c r="E1149" s="8"/>
      <c r="F1149" s="8"/>
      <c r="G1149" s="8"/>
      <c r="H1149" s="8"/>
      <c r="I1149" s="8"/>
    </row>
    <row r="1150" customFormat="false" ht="15.75" hidden="false" customHeight="false" outlineLevel="0" collapsed="false">
      <c r="A1150" s="8"/>
      <c r="B1150" s="8"/>
      <c r="C1150" s="8"/>
      <c r="D1150" s="8"/>
      <c r="E1150" s="8"/>
      <c r="F1150" s="8"/>
      <c r="G1150" s="8"/>
      <c r="H1150" s="8"/>
      <c r="I1150" s="8"/>
    </row>
    <row r="1151" customFormat="false" ht="15.75" hidden="false" customHeight="false" outlineLevel="0" collapsed="false">
      <c r="A1151" s="8"/>
      <c r="B1151" s="8"/>
      <c r="C1151" s="8"/>
      <c r="D1151" s="8"/>
      <c r="E1151" s="8"/>
      <c r="F1151" s="8"/>
      <c r="G1151" s="8"/>
      <c r="H1151" s="8"/>
      <c r="I1151" s="8"/>
    </row>
    <row r="1152" customFormat="false" ht="15.75" hidden="false" customHeight="false" outlineLevel="0" collapsed="false">
      <c r="A1152" s="8"/>
      <c r="B1152" s="8"/>
      <c r="C1152" s="8"/>
      <c r="D1152" s="8"/>
      <c r="E1152" s="8"/>
      <c r="F1152" s="8"/>
      <c r="G1152" s="8"/>
      <c r="H1152" s="8"/>
      <c r="I1152" s="8"/>
    </row>
    <row r="1153" customFormat="false" ht="15.75" hidden="false" customHeight="false" outlineLevel="0" collapsed="false">
      <c r="A1153" s="8"/>
      <c r="B1153" s="8"/>
      <c r="C1153" s="8"/>
      <c r="D1153" s="8"/>
      <c r="E1153" s="8"/>
      <c r="F1153" s="8"/>
      <c r="G1153" s="8"/>
      <c r="H1153" s="8"/>
      <c r="I1153" s="8"/>
    </row>
    <row r="1154" customFormat="false" ht="15.75" hidden="false" customHeight="false" outlineLevel="0" collapsed="false">
      <c r="A1154" s="8"/>
      <c r="B1154" s="8"/>
      <c r="C1154" s="8"/>
      <c r="D1154" s="8"/>
      <c r="E1154" s="8"/>
      <c r="F1154" s="8"/>
      <c r="G1154" s="8"/>
      <c r="H1154" s="8"/>
      <c r="I1154" s="8"/>
    </row>
    <row r="1155" customFormat="false" ht="15.75" hidden="false" customHeight="false" outlineLevel="0" collapsed="false">
      <c r="A1155" s="8"/>
      <c r="B1155" s="8"/>
      <c r="C1155" s="8"/>
      <c r="D1155" s="8"/>
      <c r="E1155" s="8"/>
      <c r="F1155" s="8"/>
      <c r="G1155" s="8"/>
      <c r="H1155" s="8"/>
      <c r="I1155" s="8"/>
    </row>
    <row r="1156" customFormat="false" ht="15.75" hidden="false" customHeight="false" outlineLevel="0" collapsed="false">
      <c r="A1156" s="8"/>
      <c r="B1156" s="8"/>
      <c r="C1156" s="8"/>
      <c r="D1156" s="8"/>
      <c r="E1156" s="8"/>
      <c r="F1156" s="8"/>
      <c r="G1156" s="8"/>
      <c r="H1156" s="8"/>
      <c r="I1156" s="8"/>
    </row>
    <row r="1157" customFormat="false" ht="15.75" hidden="false" customHeight="false" outlineLevel="0" collapsed="false">
      <c r="A1157" s="8"/>
      <c r="B1157" s="8"/>
      <c r="C1157" s="8"/>
      <c r="D1157" s="8"/>
      <c r="E1157" s="8"/>
      <c r="F1157" s="8"/>
      <c r="G1157" s="8"/>
      <c r="H1157" s="8"/>
      <c r="I1157" s="8"/>
    </row>
    <row r="1158" customFormat="false" ht="15.75" hidden="false" customHeight="false" outlineLevel="0" collapsed="false">
      <c r="A1158" s="8"/>
      <c r="B1158" s="8"/>
      <c r="C1158" s="8"/>
      <c r="D1158" s="8"/>
      <c r="E1158" s="8"/>
      <c r="F1158" s="8"/>
      <c r="G1158" s="8"/>
      <c r="H1158" s="8"/>
      <c r="I1158" s="8"/>
    </row>
    <row r="1159" customFormat="false" ht="15.75" hidden="false" customHeight="false" outlineLevel="0" collapsed="false">
      <c r="A1159" s="8"/>
      <c r="B1159" s="8"/>
      <c r="C1159" s="8"/>
      <c r="D1159" s="8"/>
      <c r="E1159" s="8"/>
      <c r="F1159" s="8"/>
      <c r="G1159" s="8"/>
      <c r="H1159" s="8"/>
      <c r="I1159" s="8"/>
    </row>
    <row r="1160" customFormat="false" ht="15.75" hidden="false" customHeight="false" outlineLevel="0" collapsed="false">
      <c r="A1160" s="8"/>
      <c r="B1160" s="8"/>
      <c r="C1160" s="8"/>
      <c r="D1160" s="8"/>
      <c r="E1160" s="8"/>
      <c r="F1160" s="8"/>
      <c r="G1160" s="8"/>
      <c r="H1160" s="8"/>
      <c r="I1160" s="8"/>
    </row>
    <row r="1161" customFormat="false" ht="15.75" hidden="false" customHeight="false" outlineLevel="0" collapsed="false">
      <c r="A1161" s="8"/>
      <c r="B1161" s="8"/>
      <c r="C1161" s="8"/>
      <c r="D1161" s="8"/>
      <c r="E1161" s="8"/>
      <c r="F1161" s="8"/>
      <c r="G1161" s="8"/>
      <c r="H1161" s="8"/>
      <c r="I1161" s="8"/>
    </row>
    <row r="1162" customFormat="false" ht="15.75" hidden="false" customHeight="false" outlineLevel="0" collapsed="false">
      <c r="A1162" s="8"/>
      <c r="B1162" s="8"/>
      <c r="C1162" s="8"/>
      <c r="D1162" s="8"/>
      <c r="E1162" s="8"/>
      <c r="F1162" s="8"/>
      <c r="G1162" s="8"/>
      <c r="H1162" s="8"/>
      <c r="I1162" s="8"/>
    </row>
    <row r="1163" customFormat="false" ht="15.75" hidden="false" customHeight="false" outlineLevel="0" collapsed="false">
      <c r="A1163" s="8"/>
      <c r="B1163" s="8"/>
      <c r="C1163" s="8"/>
      <c r="D1163" s="8"/>
      <c r="E1163" s="8"/>
      <c r="F1163" s="8"/>
      <c r="G1163" s="8"/>
      <c r="H1163" s="8"/>
      <c r="I1163" s="8"/>
    </row>
    <row r="1164" customFormat="false" ht="15.75" hidden="false" customHeight="false" outlineLevel="0" collapsed="false">
      <c r="A1164" s="8"/>
      <c r="B1164" s="8"/>
      <c r="C1164" s="8"/>
      <c r="D1164" s="8"/>
      <c r="E1164" s="8"/>
      <c r="F1164" s="8"/>
      <c r="G1164" s="8"/>
      <c r="H1164" s="8"/>
      <c r="I1164" s="8"/>
    </row>
    <row r="1165" customFormat="false" ht="15.75" hidden="false" customHeight="false" outlineLevel="0" collapsed="false">
      <c r="A1165" s="8"/>
      <c r="B1165" s="8"/>
      <c r="C1165" s="8"/>
      <c r="D1165" s="8"/>
      <c r="E1165" s="8"/>
      <c r="F1165" s="8"/>
      <c r="G1165" s="8"/>
      <c r="H1165" s="8"/>
      <c r="I1165" s="8"/>
    </row>
    <row r="1166" customFormat="false" ht="15.75" hidden="false" customHeight="false" outlineLevel="0" collapsed="false">
      <c r="A1166" s="8"/>
      <c r="B1166" s="8"/>
      <c r="C1166" s="8"/>
      <c r="D1166" s="8"/>
      <c r="E1166" s="8"/>
      <c r="F1166" s="8"/>
      <c r="G1166" s="8"/>
      <c r="H1166" s="8"/>
      <c r="I1166" s="8"/>
    </row>
    <row r="1167" customFormat="false" ht="15.75" hidden="false" customHeight="false" outlineLevel="0" collapsed="false">
      <c r="A1167" s="8"/>
      <c r="B1167" s="8"/>
      <c r="C1167" s="8"/>
      <c r="D1167" s="8"/>
      <c r="E1167" s="8"/>
      <c r="F1167" s="8"/>
      <c r="G1167" s="8"/>
      <c r="H1167" s="8"/>
      <c r="I1167" s="8"/>
    </row>
    <row r="1168" customFormat="false" ht="15.75" hidden="false" customHeight="false" outlineLevel="0" collapsed="false">
      <c r="A1168" s="8"/>
      <c r="B1168" s="8"/>
      <c r="C1168" s="8"/>
      <c r="D1168" s="8"/>
      <c r="E1168" s="8"/>
      <c r="F1168" s="8"/>
      <c r="G1168" s="8"/>
      <c r="H1168" s="8"/>
      <c r="I1168" s="8"/>
    </row>
    <row r="1169" customFormat="false" ht="15.75" hidden="false" customHeight="false" outlineLevel="0" collapsed="false">
      <c r="A1169" s="8"/>
      <c r="B1169" s="8"/>
      <c r="C1169" s="8"/>
      <c r="D1169" s="8"/>
      <c r="E1169" s="8"/>
      <c r="F1169" s="8"/>
      <c r="G1169" s="8"/>
      <c r="H1169" s="8"/>
      <c r="I1169" s="8"/>
    </row>
    <row r="1170" customFormat="false" ht="15.75" hidden="false" customHeight="false" outlineLevel="0" collapsed="false">
      <c r="A1170" s="8"/>
      <c r="B1170" s="8"/>
      <c r="C1170" s="8"/>
      <c r="D1170" s="8"/>
      <c r="E1170" s="8"/>
      <c r="F1170" s="8"/>
      <c r="G1170" s="8"/>
      <c r="H1170" s="8"/>
      <c r="I1170" s="8"/>
    </row>
    <row r="1171" customFormat="false" ht="15.75" hidden="false" customHeight="false" outlineLevel="0" collapsed="false">
      <c r="A1171" s="8"/>
      <c r="B1171" s="8"/>
      <c r="C1171" s="8"/>
      <c r="D1171" s="8"/>
      <c r="E1171" s="8"/>
      <c r="F1171" s="8"/>
      <c r="G1171" s="8"/>
      <c r="H1171" s="8"/>
      <c r="I1171" s="8"/>
    </row>
    <row r="1172" customFormat="false" ht="15.75" hidden="false" customHeight="false" outlineLevel="0" collapsed="false">
      <c r="A1172" s="8"/>
      <c r="B1172" s="8"/>
      <c r="C1172" s="8"/>
      <c r="D1172" s="8"/>
      <c r="E1172" s="8"/>
      <c r="F1172" s="8"/>
      <c r="G1172" s="8"/>
      <c r="H1172" s="8"/>
      <c r="I1172" s="8"/>
    </row>
    <row r="1173" customFormat="false" ht="15.75" hidden="false" customHeight="false" outlineLevel="0" collapsed="false">
      <c r="A1173" s="8"/>
      <c r="B1173" s="8"/>
      <c r="C1173" s="8"/>
      <c r="D1173" s="8"/>
      <c r="E1173" s="8"/>
      <c r="F1173" s="8"/>
      <c r="G1173" s="8"/>
      <c r="H1173" s="8"/>
      <c r="I1173" s="8"/>
    </row>
    <row r="1174" customFormat="false" ht="15.75" hidden="false" customHeight="false" outlineLevel="0" collapsed="false">
      <c r="A1174" s="8"/>
      <c r="B1174" s="8"/>
      <c r="C1174" s="8"/>
      <c r="D1174" s="8"/>
      <c r="E1174" s="8"/>
      <c r="F1174" s="8"/>
      <c r="G1174" s="8"/>
      <c r="H1174" s="8"/>
      <c r="I1174" s="8"/>
    </row>
    <row r="1175" customFormat="false" ht="15.75" hidden="false" customHeight="false" outlineLevel="0" collapsed="false">
      <c r="A1175" s="8"/>
      <c r="B1175" s="8"/>
      <c r="C1175" s="8"/>
      <c r="D1175" s="8"/>
      <c r="E1175" s="8"/>
      <c r="F1175" s="8"/>
      <c r="G1175" s="8"/>
      <c r="H1175" s="8"/>
      <c r="I1175" s="8"/>
    </row>
    <row r="1176" customFormat="false" ht="15.75" hidden="false" customHeight="false" outlineLevel="0" collapsed="false">
      <c r="A1176" s="8"/>
      <c r="B1176" s="8"/>
      <c r="C1176" s="8"/>
      <c r="D1176" s="8"/>
      <c r="E1176" s="8"/>
      <c r="F1176" s="8"/>
      <c r="G1176" s="8"/>
      <c r="H1176" s="8"/>
      <c r="I1176" s="8"/>
    </row>
    <row r="1177" customFormat="false" ht="15.75" hidden="false" customHeight="false" outlineLevel="0" collapsed="false">
      <c r="A1177" s="8"/>
      <c r="B1177" s="8"/>
      <c r="C1177" s="8"/>
      <c r="D1177" s="8"/>
      <c r="E1177" s="8"/>
      <c r="F1177" s="8"/>
      <c r="G1177" s="8"/>
      <c r="H1177" s="8"/>
      <c r="I1177" s="8"/>
    </row>
    <row r="1178" customFormat="false" ht="15.75" hidden="false" customHeight="false" outlineLevel="0" collapsed="false">
      <c r="A1178" s="8"/>
      <c r="B1178" s="8"/>
      <c r="C1178" s="8"/>
      <c r="D1178" s="8"/>
      <c r="E1178" s="8"/>
      <c r="F1178" s="8"/>
      <c r="G1178" s="8"/>
      <c r="H1178" s="8"/>
      <c r="I1178" s="8"/>
    </row>
    <row r="1179" customFormat="false" ht="15.75" hidden="false" customHeight="false" outlineLevel="0" collapsed="false">
      <c r="A1179" s="8"/>
      <c r="B1179" s="8"/>
      <c r="C1179" s="8"/>
      <c r="D1179" s="8"/>
      <c r="E1179" s="8"/>
      <c r="F1179" s="8"/>
      <c r="G1179" s="8"/>
      <c r="H1179" s="8"/>
      <c r="I1179" s="8"/>
    </row>
    <row r="1180" customFormat="false" ht="15.75" hidden="false" customHeight="false" outlineLevel="0" collapsed="false">
      <c r="A1180" s="8"/>
      <c r="B1180" s="8"/>
      <c r="C1180" s="8"/>
      <c r="D1180" s="8"/>
      <c r="E1180" s="8"/>
      <c r="F1180" s="8"/>
      <c r="G1180" s="8"/>
      <c r="H1180" s="8"/>
      <c r="I1180" s="8"/>
    </row>
    <row r="1181" customFormat="false" ht="15.75" hidden="false" customHeight="false" outlineLevel="0" collapsed="false">
      <c r="A1181" s="8"/>
      <c r="B1181" s="8"/>
      <c r="C1181" s="8"/>
      <c r="D1181" s="8"/>
      <c r="E1181" s="8"/>
      <c r="F1181" s="8"/>
      <c r="G1181" s="8"/>
      <c r="H1181" s="8"/>
      <c r="I1181" s="8"/>
    </row>
    <row r="1182" customFormat="false" ht="15.75" hidden="false" customHeight="false" outlineLevel="0" collapsed="false">
      <c r="A1182" s="8"/>
      <c r="B1182" s="8"/>
      <c r="C1182" s="8"/>
      <c r="D1182" s="8"/>
      <c r="E1182" s="8"/>
      <c r="F1182" s="8"/>
      <c r="G1182" s="8"/>
      <c r="H1182" s="8"/>
      <c r="I1182" s="8"/>
    </row>
    <row r="1183" customFormat="false" ht="15.75" hidden="false" customHeight="false" outlineLevel="0" collapsed="false">
      <c r="A1183" s="8"/>
      <c r="B1183" s="8"/>
      <c r="C1183" s="8"/>
      <c r="D1183" s="8"/>
      <c r="E1183" s="8"/>
      <c r="F1183" s="8"/>
      <c r="G1183" s="8"/>
      <c r="H1183" s="8"/>
      <c r="I1183" s="8"/>
    </row>
    <row r="1184" customFormat="false" ht="15.75" hidden="false" customHeight="false" outlineLevel="0" collapsed="false">
      <c r="A1184" s="8"/>
      <c r="B1184" s="8"/>
      <c r="C1184" s="8"/>
      <c r="D1184" s="8"/>
      <c r="E1184" s="8"/>
      <c r="F1184" s="8"/>
      <c r="G1184" s="8"/>
      <c r="H1184" s="8"/>
      <c r="I1184" s="8"/>
    </row>
    <row r="1185" customFormat="false" ht="15.75" hidden="false" customHeight="false" outlineLevel="0" collapsed="false">
      <c r="A1185" s="8"/>
      <c r="B1185" s="8"/>
      <c r="C1185" s="8"/>
      <c r="D1185" s="8"/>
      <c r="E1185" s="8"/>
      <c r="F1185" s="8"/>
      <c r="G1185" s="8"/>
      <c r="H1185" s="8"/>
      <c r="I1185" s="8"/>
    </row>
    <row r="1186" customFormat="false" ht="15.75" hidden="false" customHeight="false" outlineLevel="0" collapsed="false">
      <c r="A1186" s="8"/>
      <c r="B1186" s="8"/>
      <c r="C1186" s="8"/>
      <c r="D1186" s="8"/>
      <c r="E1186" s="8"/>
      <c r="F1186" s="8"/>
      <c r="G1186" s="8"/>
      <c r="H1186" s="8"/>
      <c r="I1186" s="8"/>
    </row>
    <row r="1187" customFormat="false" ht="15.75" hidden="false" customHeight="false" outlineLevel="0" collapsed="false">
      <c r="A1187" s="8"/>
      <c r="B1187" s="8"/>
      <c r="C1187" s="8"/>
      <c r="D1187" s="8"/>
      <c r="E1187" s="8"/>
      <c r="F1187" s="8"/>
      <c r="G1187" s="8"/>
      <c r="H1187" s="8"/>
      <c r="I1187" s="8"/>
    </row>
    <row r="1188" customFormat="false" ht="15.75" hidden="false" customHeight="false" outlineLevel="0" collapsed="false">
      <c r="A1188" s="8"/>
      <c r="B1188" s="8"/>
      <c r="C1188" s="8"/>
      <c r="D1188" s="8"/>
      <c r="E1188" s="8"/>
      <c r="F1188" s="8"/>
      <c r="G1188" s="8"/>
      <c r="H1188" s="8"/>
      <c r="I1188" s="8"/>
    </row>
    <row r="1189" customFormat="false" ht="15.75" hidden="false" customHeight="false" outlineLevel="0" collapsed="false">
      <c r="A1189" s="8"/>
      <c r="B1189" s="8"/>
      <c r="C1189" s="8"/>
      <c r="D1189" s="8"/>
      <c r="E1189" s="8"/>
      <c r="F1189" s="8"/>
      <c r="G1189" s="8"/>
      <c r="H1189" s="8"/>
      <c r="I1189" s="8"/>
    </row>
    <row r="1190" customFormat="false" ht="15.75" hidden="false" customHeight="false" outlineLevel="0" collapsed="false">
      <c r="A1190" s="8"/>
      <c r="B1190" s="8"/>
      <c r="C1190" s="8"/>
      <c r="D1190" s="8"/>
      <c r="E1190" s="8"/>
      <c r="F1190" s="8"/>
      <c r="G1190" s="8"/>
      <c r="H1190" s="8"/>
      <c r="I1190" s="8"/>
    </row>
    <row r="1191" customFormat="false" ht="15.75" hidden="false" customHeight="false" outlineLevel="0" collapsed="false">
      <c r="A1191" s="8"/>
      <c r="B1191" s="8"/>
      <c r="C1191" s="8"/>
      <c r="D1191" s="8"/>
      <c r="E1191" s="8"/>
      <c r="F1191" s="8"/>
      <c r="G1191" s="8"/>
      <c r="H1191" s="8"/>
      <c r="I1191" s="8"/>
    </row>
    <row r="1192" customFormat="false" ht="15.75" hidden="false" customHeight="false" outlineLevel="0" collapsed="false">
      <c r="A1192" s="8"/>
      <c r="B1192" s="8"/>
      <c r="C1192" s="8"/>
      <c r="D1192" s="8"/>
      <c r="E1192" s="8"/>
      <c r="F1192" s="8"/>
      <c r="G1192" s="8"/>
      <c r="H1192" s="8"/>
      <c r="I1192" s="8"/>
    </row>
    <row r="1193" customFormat="false" ht="15.75" hidden="false" customHeight="false" outlineLevel="0" collapsed="false">
      <c r="A1193" s="8"/>
      <c r="B1193" s="8"/>
      <c r="C1193" s="8"/>
      <c r="D1193" s="8"/>
      <c r="E1193" s="8"/>
      <c r="F1193" s="8"/>
      <c r="G1193" s="8"/>
      <c r="H1193" s="8"/>
      <c r="I1193" s="8"/>
    </row>
    <row r="1194" customFormat="false" ht="15.75" hidden="false" customHeight="false" outlineLevel="0" collapsed="false">
      <c r="A1194" s="8"/>
      <c r="B1194" s="8"/>
      <c r="C1194" s="8"/>
      <c r="D1194" s="8"/>
      <c r="E1194" s="8"/>
      <c r="F1194" s="8"/>
      <c r="G1194" s="8"/>
      <c r="H1194" s="8"/>
      <c r="I1194" s="8"/>
    </row>
    <row r="1195" customFormat="false" ht="15.75" hidden="false" customHeight="false" outlineLevel="0" collapsed="false">
      <c r="A1195" s="8"/>
      <c r="B1195" s="8"/>
      <c r="C1195" s="8"/>
      <c r="D1195" s="8"/>
      <c r="E1195" s="8"/>
      <c r="F1195" s="8"/>
      <c r="G1195" s="8"/>
      <c r="H1195" s="8"/>
      <c r="I1195" s="8"/>
    </row>
    <row r="1196" customFormat="false" ht="15.75" hidden="false" customHeight="false" outlineLevel="0" collapsed="false">
      <c r="A1196" s="8"/>
      <c r="B1196" s="8"/>
      <c r="C1196" s="8"/>
      <c r="D1196" s="8"/>
      <c r="E1196" s="8"/>
      <c r="F1196" s="8"/>
      <c r="G1196" s="8"/>
      <c r="H1196" s="8"/>
      <c r="I1196" s="8"/>
    </row>
    <row r="1197" customFormat="false" ht="15.75" hidden="false" customHeight="false" outlineLevel="0" collapsed="false">
      <c r="A1197" s="8"/>
      <c r="B1197" s="8"/>
      <c r="C1197" s="8"/>
      <c r="D1197" s="8"/>
      <c r="E1197" s="8"/>
      <c r="F1197" s="8"/>
      <c r="G1197" s="8"/>
      <c r="H1197" s="8"/>
      <c r="I1197" s="8"/>
    </row>
    <row r="1198" customFormat="false" ht="15.75" hidden="false" customHeight="false" outlineLevel="0" collapsed="false">
      <c r="A1198" s="8"/>
      <c r="B1198" s="8"/>
      <c r="C1198" s="8"/>
      <c r="D1198" s="8"/>
      <c r="E1198" s="8"/>
      <c r="F1198" s="8"/>
      <c r="G1198" s="8"/>
      <c r="H1198" s="8"/>
      <c r="I1198" s="8"/>
    </row>
    <row r="1199" customFormat="false" ht="15.75" hidden="false" customHeight="false" outlineLevel="0" collapsed="false">
      <c r="A1199" s="8"/>
      <c r="B1199" s="8"/>
      <c r="C1199" s="8"/>
      <c r="D1199" s="8"/>
      <c r="E1199" s="8"/>
      <c r="F1199" s="8"/>
      <c r="G1199" s="8"/>
      <c r="H1199" s="8"/>
      <c r="I1199" s="8"/>
    </row>
    <row r="1200" customFormat="false" ht="15.75" hidden="false" customHeight="false" outlineLevel="0" collapsed="false">
      <c r="A1200" s="8"/>
      <c r="B1200" s="8"/>
      <c r="C1200" s="8"/>
      <c r="D1200" s="8"/>
      <c r="E1200" s="8"/>
      <c r="F1200" s="8"/>
      <c r="G1200" s="8"/>
      <c r="H1200" s="8"/>
      <c r="I1200" s="8"/>
    </row>
    <row r="1201" customFormat="false" ht="15.75" hidden="false" customHeight="false" outlineLevel="0" collapsed="false">
      <c r="A1201" s="8"/>
      <c r="B1201" s="8"/>
      <c r="C1201" s="8"/>
      <c r="D1201" s="8"/>
      <c r="E1201" s="8"/>
      <c r="F1201" s="8"/>
      <c r="G1201" s="8"/>
      <c r="H1201" s="8"/>
      <c r="I1201" s="8"/>
    </row>
    <row r="1202" customFormat="false" ht="15.75" hidden="false" customHeight="false" outlineLevel="0" collapsed="false">
      <c r="A1202" s="8"/>
      <c r="B1202" s="8"/>
      <c r="C1202" s="8"/>
      <c r="D1202" s="8"/>
      <c r="E1202" s="8"/>
      <c r="F1202" s="8"/>
      <c r="G1202" s="8"/>
      <c r="H1202" s="8"/>
      <c r="I1202" s="8"/>
    </row>
    <row r="1203" customFormat="false" ht="15.75" hidden="false" customHeight="false" outlineLevel="0" collapsed="false">
      <c r="A1203" s="8"/>
      <c r="B1203" s="8"/>
      <c r="C1203" s="8"/>
      <c r="D1203" s="8"/>
      <c r="E1203" s="8"/>
      <c r="F1203" s="8"/>
      <c r="G1203" s="8"/>
      <c r="H1203" s="8"/>
      <c r="I1203" s="8"/>
    </row>
    <row r="1204" customFormat="false" ht="15.75" hidden="false" customHeight="false" outlineLevel="0" collapsed="false">
      <c r="A1204" s="8"/>
      <c r="B1204" s="8"/>
      <c r="C1204" s="8"/>
      <c r="D1204" s="8"/>
      <c r="E1204" s="8"/>
      <c r="F1204" s="8"/>
      <c r="G1204" s="8"/>
      <c r="H1204" s="8"/>
      <c r="I1204" s="8"/>
    </row>
    <row r="1205" customFormat="false" ht="15.75" hidden="false" customHeight="false" outlineLevel="0" collapsed="false">
      <c r="A1205" s="8"/>
      <c r="B1205" s="8"/>
      <c r="C1205" s="8"/>
      <c r="D1205" s="8"/>
      <c r="E1205" s="8"/>
      <c r="F1205" s="8"/>
      <c r="G1205" s="8"/>
      <c r="H1205" s="8"/>
      <c r="I1205" s="8"/>
    </row>
    <row r="1206" customFormat="false" ht="15.75" hidden="false" customHeight="false" outlineLevel="0" collapsed="false">
      <c r="A1206" s="8"/>
      <c r="B1206" s="8"/>
      <c r="C1206" s="8"/>
      <c r="D1206" s="8"/>
      <c r="E1206" s="8"/>
      <c r="F1206" s="8"/>
      <c r="G1206" s="8"/>
      <c r="H1206" s="8"/>
      <c r="I1206" s="8"/>
    </row>
    <row r="1207" customFormat="false" ht="15.75" hidden="false" customHeight="false" outlineLevel="0" collapsed="false">
      <c r="A1207" s="8"/>
      <c r="B1207" s="8"/>
      <c r="C1207" s="8"/>
      <c r="D1207" s="8"/>
      <c r="E1207" s="8"/>
      <c r="F1207" s="8"/>
      <c r="G1207" s="8"/>
      <c r="H1207" s="8"/>
      <c r="I1207" s="8"/>
    </row>
    <row r="1208" customFormat="false" ht="15.75" hidden="false" customHeight="false" outlineLevel="0" collapsed="false">
      <c r="A1208" s="8"/>
      <c r="B1208" s="8"/>
      <c r="C1208" s="8"/>
      <c r="D1208" s="8"/>
      <c r="E1208" s="8"/>
      <c r="F1208" s="8"/>
      <c r="G1208" s="8"/>
      <c r="H1208" s="8"/>
      <c r="I1208" s="8"/>
    </row>
    <row r="1209" customFormat="false" ht="15.75" hidden="false" customHeight="false" outlineLevel="0" collapsed="false">
      <c r="A1209" s="8"/>
      <c r="B1209" s="8"/>
      <c r="C1209" s="8"/>
      <c r="D1209" s="8"/>
      <c r="E1209" s="8"/>
      <c r="F1209" s="8"/>
      <c r="G1209" s="8"/>
      <c r="H1209" s="8"/>
      <c r="I1209" s="8"/>
    </row>
    <row r="1210" customFormat="false" ht="15.75" hidden="false" customHeight="false" outlineLevel="0" collapsed="false">
      <c r="A1210" s="8"/>
      <c r="B1210" s="8"/>
      <c r="C1210" s="8"/>
      <c r="D1210" s="8"/>
      <c r="E1210" s="8"/>
      <c r="F1210" s="8"/>
      <c r="G1210" s="8"/>
      <c r="H1210" s="8"/>
      <c r="I1210" s="8"/>
    </row>
    <row r="1211" customFormat="false" ht="15.75" hidden="false" customHeight="false" outlineLevel="0" collapsed="false">
      <c r="A1211" s="8"/>
      <c r="B1211" s="8"/>
      <c r="C1211" s="8"/>
      <c r="D1211" s="8"/>
      <c r="E1211" s="8"/>
      <c r="F1211" s="8"/>
      <c r="G1211" s="8"/>
      <c r="H1211" s="8"/>
      <c r="I1211" s="8"/>
    </row>
    <row r="1212" customFormat="false" ht="15.75" hidden="false" customHeight="false" outlineLevel="0" collapsed="false">
      <c r="A1212" s="8"/>
      <c r="B1212" s="8"/>
      <c r="C1212" s="8"/>
      <c r="D1212" s="8"/>
      <c r="E1212" s="8"/>
      <c r="F1212" s="8"/>
      <c r="G1212" s="8"/>
      <c r="H1212" s="8"/>
      <c r="I1212" s="8"/>
    </row>
    <row r="1213" customFormat="false" ht="15.75" hidden="false" customHeight="false" outlineLevel="0" collapsed="false">
      <c r="A1213" s="8"/>
      <c r="B1213" s="8"/>
      <c r="C1213" s="8"/>
      <c r="D1213" s="8"/>
      <c r="E1213" s="8"/>
      <c r="F1213" s="8"/>
      <c r="G1213" s="8"/>
      <c r="H1213" s="8"/>
      <c r="I1213" s="8"/>
    </row>
    <row r="1214" customFormat="false" ht="15.75" hidden="false" customHeight="false" outlineLevel="0" collapsed="false">
      <c r="A1214" s="8"/>
      <c r="B1214" s="8"/>
      <c r="C1214" s="8"/>
      <c r="D1214" s="8"/>
      <c r="E1214" s="8"/>
      <c r="F1214" s="8"/>
      <c r="G1214" s="8"/>
      <c r="H1214" s="8"/>
      <c r="I1214" s="8"/>
    </row>
    <row r="1215" customFormat="false" ht="15.75" hidden="false" customHeight="false" outlineLevel="0" collapsed="false">
      <c r="A1215" s="8"/>
      <c r="B1215" s="8"/>
      <c r="C1215" s="8"/>
      <c r="D1215" s="8"/>
      <c r="E1215" s="8"/>
      <c r="F1215" s="8"/>
      <c r="G1215" s="8"/>
      <c r="H1215" s="8"/>
      <c r="I1215" s="8"/>
    </row>
    <row r="1216" customFormat="false" ht="15.75" hidden="false" customHeight="false" outlineLevel="0" collapsed="false">
      <c r="A1216" s="8"/>
      <c r="B1216" s="8"/>
      <c r="C1216" s="8"/>
      <c r="D1216" s="8"/>
      <c r="E1216" s="8"/>
      <c r="F1216" s="8"/>
      <c r="G1216" s="8"/>
      <c r="H1216" s="8"/>
      <c r="I1216" s="8"/>
    </row>
    <row r="1217" customFormat="false" ht="15.75" hidden="false" customHeight="false" outlineLevel="0" collapsed="false">
      <c r="A1217" s="8"/>
      <c r="B1217" s="8"/>
      <c r="C1217" s="8"/>
      <c r="D1217" s="8"/>
      <c r="E1217" s="8"/>
      <c r="F1217" s="8"/>
      <c r="G1217" s="8"/>
      <c r="H1217" s="8"/>
      <c r="I1217" s="8"/>
    </row>
    <row r="1218" customFormat="false" ht="15.75" hidden="false" customHeight="false" outlineLevel="0" collapsed="false">
      <c r="A1218" s="8"/>
      <c r="B1218" s="8"/>
      <c r="C1218" s="8"/>
      <c r="D1218" s="8"/>
      <c r="E1218" s="8"/>
      <c r="F1218" s="8"/>
      <c r="G1218" s="8"/>
      <c r="H1218" s="8"/>
      <c r="I1218" s="8"/>
    </row>
    <row r="1219" customFormat="false" ht="15.75" hidden="false" customHeight="false" outlineLevel="0" collapsed="false">
      <c r="A1219" s="8"/>
      <c r="B1219" s="8"/>
      <c r="C1219" s="8"/>
      <c r="D1219" s="8"/>
      <c r="E1219" s="8"/>
      <c r="F1219" s="8"/>
      <c r="G1219" s="8"/>
      <c r="H1219" s="8"/>
      <c r="I1219" s="8"/>
    </row>
    <row r="1220" customFormat="false" ht="15.75" hidden="false" customHeight="false" outlineLevel="0" collapsed="false">
      <c r="A1220" s="8"/>
      <c r="B1220" s="8"/>
      <c r="C1220" s="8"/>
      <c r="D1220" s="8"/>
      <c r="E1220" s="8"/>
      <c r="F1220" s="8"/>
      <c r="G1220" s="8"/>
      <c r="H1220" s="8"/>
      <c r="I1220" s="8"/>
    </row>
    <row r="1221" customFormat="false" ht="15.75" hidden="false" customHeight="false" outlineLevel="0" collapsed="false">
      <c r="A1221" s="8"/>
      <c r="B1221" s="8"/>
      <c r="C1221" s="8"/>
      <c r="D1221" s="8"/>
      <c r="E1221" s="8"/>
      <c r="F1221" s="8"/>
      <c r="G1221" s="8"/>
      <c r="H1221" s="8"/>
      <c r="I1221" s="8"/>
    </row>
    <row r="1222" customFormat="false" ht="15.75" hidden="false" customHeight="false" outlineLevel="0" collapsed="false">
      <c r="A1222" s="8"/>
      <c r="B1222" s="8"/>
      <c r="C1222" s="8"/>
      <c r="D1222" s="8"/>
      <c r="E1222" s="8"/>
      <c r="F1222" s="8"/>
      <c r="G1222" s="8"/>
      <c r="H1222" s="8"/>
      <c r="I1222" s="8"/>
    </row>
    <row r="1223" customFormat="false" ht="15.75" hidden="false" customHeight="false" outlineLevel="0" collapsed="false">
      <c r="A1223" s="8"/>
      <c r="B1223" s="8"/>
      <c r="C1223" s="8"/>
      <c r="D1223" s="8"/>
      <c r="E1223" s="8"/>
      <c r="F1223" s="8"/>
      <c r="G1223" s="8"/>
      <c r="H1223" s="8"/>
      <c r="I1223" s="8"/>
    </row>
    <row r="1224" customFormat="false" ht="15.75" hidden="false" customHeight="false" outlineLevel="0" collapsed="false">
      <c r="A1224" s="8"/>
      <c r="B1224" s="8"/>
      <c r="C1224" s="8"/>
      <c r="D1224" s="8"/>
      <c r="E1224" s="8"/>
      <c r="F1224" s="8"/>
      <c r="G1224" s="8"/>
      <c r="H1224" s="8"/>
      <c r="I1224" s="8"/>
    </row>
    <row r="1225" customFormat="false" ht="15.75" hidden="false" customHeight="false" outlineLevel="0" collapsed="false">
      <c r="A1225" s="8"/>
      <c r="B1225" s="8"/>
      <c r="C1225" s="8"/>
      <c r="D1225" s="8"/>
      <c r="E1225" s="8"/>
      <c r="F1225" s="8"/>
      <c r="G1225" s="8"/>
      <c r="H1225" s="8"/>
      <c r="I1225" s="8"/>
    </row>
    <row r="1226" customFormat="false" ht="15.75" hidden="false" customHeight="false" outlineLevel="0" collapsed="false">
      <c r="A1226" s="8"/>
      <c r="B1226" s="8"/>
      <c r="C1226" s="8"/>
      <c r="D1226" s="8"/>
      <c r="E1226" s="8"/>
      <c r="F1226" s="8"/>
      <c r="G1226" s="8"/>
      <c r="H1226" s="8"/>
      <c r="I1226" s="8"/>
    </row>
    <row r="1227" customFormat="false" ht="15.75" hidden="false" customHeight="false" outlineLevel="0" collapsed="false">
      <c r="A1227" s="8"/>
      <c r="B1227" s="8"/>
      <c r="C1227" s="8"/>
      <c r="D1227" s="8"/>
      <c r="E1227" s="8"/>
      <c r="F1227" s="8"/>
      <c r="G1227" s="8"/>
      <c r="H1227" s="8"/>
      <c r="I1227" s="8"/>
    </row>
    <row r="1228" customFormat="false" ht="15.75" hidden="false" customHeight="false" outlineLevel="0" collapsed="false">
      <c r="A1228" s="8"/>
      <c r="B1228" s="8"/>
      <c r="C1228" s="8"/>
      <c r="D1228" s="8"/>
      <c r="E1228" s="8"/>
      <c r="F1228" s="8"/>
      <c r="G1228" s="8"/>
      <c r="H1228" s="8"/>
      <c r="I1228" s="8"/>
    </row>
    <row r="1229" customFormat="false" ht="15.75" hidden="false" customHeight="false" outlineLevel="0" collapsed="false">
      <c r="A1229" s="8"/>
      <c r="B1229" s="8"/>
      <c r="C1229" s="8"/>
      <c r="D1229" s="8"/>
      <c r="E1229" s="8"/>
      <c r="F1229" s="8"/>
      <c r="G1229" s="8"/>
      <c r="H1229" s="8"/>
      <c r="I1229" s="8"/>
    </row>
    <row r="1230" customFormat="false" ht="15.75" hidden="false" customHeight="false" outlineLevel="0" collapsed="false">
      <c r="A1230" s="8"/>
      <c r="B1230" s="8"/>
      <c r="C1230" s="8"/>
      <c r="D1230" s="8"/>
      <c r="E1230" s="8"/>
      <c r="F1230" s="8"/>
      <c r="G1230" s="8"/>
      <c r="H1230" s="8"/>
      <c r="I1230" s="8"/>
    </row>
    <row r="1231" customFormat="false" ht="15.75" hidden="false" customHeight="false" outlineLevel="0" collapsed="false">
      <c r="A1231" s="8"/>
      <c r="B1231" s="8"/>
      <c r="C1231" s="8"/>
      <c r="D1231" s="8"/>
      <c r="E1231" s="8"/>
      <c r="F1231" s="8"/>
      <c r="G1231" s="8"/>
      <c r="H1231" s="8"/>
      <c r="I1231" s="8"/>
    </row>
    <row r="1232" customFormat="false" ht="15.75" hidden="false" customHeight="false" outlineLevel="0" collapsed="false">
      <c r="A1232" s="8"/>
      <c r="B1232" s="8"/>
      <c r="C1232" s="8"/>
      <c r="D1232" s="8"/>
      <c r="E1232" s="8"/>
      <c r="F1232" s="8"/>
      <c r="G1232" s="8"/>
      <c r="H1232" s="8"/>
      <c r="I1232" s="8"/>
    </row>
    <row r="1233" customFormat="false" ht="15.75" hidden="false" customHeight="false" outlineLevel="0" collapsed="false">
      <c r="A1233" s="8"/>
      <c r="B1233" s="8"/>
      <c r="C1233" s="8"/>
      <c r="D1233" s="8"/>
      <c r="E1233" s="8"/>
      <c r="F1233" s="8"/>
      <c r="G1233" s="8"/>
      <c r="H1233" s="8"/>
      <c r="I1233" s="8"/>
    </row>
    <row r="1234" customFormat="false" ht="15.75" hidden="false" customHeight="false" outlineLevel="0" collapsed="false">
      <c r="A1234" s="8"/>
      <c r="B1234" s="8"/>
      <c r="C1234" s="8"/>
      <c r="D1234" s="8"/>
      <c r="E1234" s="8"/>
      <c r="F1234" s="8"/>
      <c r="G1234" s="8"/>
      <c r="H1234" s="8"/>
      <c r="I1234" s="8"/>
    </row>
    <row r="1235" customFormat="false" ht="15.75" hidden="false" customHeight="false" outlineLevel="0" collapsed="false">
      <c r="A1235" s="8"/>
      <c r="B1235" s="8"/>
      <c r="C1235" s="8"/>
      <c r="D1235" s="8"/>
      <c r="E1235" s="8"/>
      <c r="F1235" s="8"/>
      <c r="G1235" s="8"/>
      <c r="H1235" s="8"/>
      <c r="I1235" s="8"/>
    </row>
    <row r="1236" customFormat="false" ht="15.75" hidden="false" customHeight="false" outlineLevel="0" collapsed="false">
      <c r="A1236" s="8"/>
      <c r="B1236" s="8"/>
      <c r="C1236" s="8"/>
      <c r="D1236" s="8"/>
      <c r="E1236" s="8"/>
      <c r="F1236" s="8"/>
      <c r="G1236" s="8"/>
      <c r="H1236" s="8"/>
      <c r="I1236" s="8"/>
    </row>
    <row r="1237" customFormat="false" ht="15.75" hidden="false" customHeight="false" outlineLevel="0" collapsed="false">
      <c r="A1237" s="8"/>
      <c r="B1237" s="8"/>
      <c r="C1237" s="8"/>
      <c r="D1237" s="8"/>
      <c r="E1237" s="8"/>
      <c r="F1237" s="8"/>
      <c r="G1237" s="8"/>
      <c r="H1237" s="8"/>
      <c r="I1237" s="8"/>
    </row>
    <row r="1238" customFormat="false" ht="15.75" hidden="false" customHeight="false" outlineLevel="0" collapsed="false">
      <c r="A1238" s="8"/>
      <c r="B1238" s="8"/>
      <c r="C1238" s="8"/>
      <c r="D1238" s="8"/>
      <c r="E1238" s="8"/>
      <c r="F1238" s="8"/>
      <c r="G1238" s="8"/>
      <c r="H1238" s="8"/>
      <c r="I1238" s="8"/>
    </row>
    <row r="1239" customFormat="false" ht="15.75" hidden="false" customHeight="false" outlineLevel="0" collapsed="false">
      <c r="A1239" s="8"/>
      <c r="B1239" s="8"/>
      <c r="C1239" s="8"/>
      <c r="D1239" s="8"/>
      <c r="E1239" s="8"/>
      <c r="F1239" s="8"/>
      <c r="G1239" s="8"/>
      <c r="H1239" s="8"/>
      <c r="I1239" s="8"/>
    </row>
    <row r="1240" customFormat="false" ht="15.75" hidden="false" customHeight="false" outlineLevel="0" collapsed="false">
      <c r="A1240" s="8"/>
      <c r="B1240" s="8"/>
      <c r="C1240" s="8"/>
      <c r="D1240" s="8"/>
      <c r="E1240" s="8"/>
      <c r="F1240" s="8"/>
      <c r="G1240" s="8"/>
      <c r="H1240" s="8"/>
      <c r="I1240" s="8"/>
    </row>
    <row r="1241" customFormat="false" ht="15.75" hidden="false" customHeight="false" outlineLevel="0" collapsed="false">
      <c r="A1241" s="8"/>
      <c r="B1241" s="8"/>
      <c r="C1241" s="8"/>
      <c r="D1241" s="8"/>
      <c r="E1241" s="8"/>
      <c r="F1241" s="8"/>
      <c r="G1241" s="8"/>
      <c r="H1241" s="8"/>
      <c r="I1241" s="8"/>
    </row>
    <row r="1242" customFormat="false" ht="15.75" hidden="false" customHeight="false" outlineLevel="0" collapsed="false">
      <c r="A1242" s="8"/>
      <c r="B1242" s="8"/>
      <c r="C1242" s="8"/>
      <c r="D1242" s="8"/>
      <c r="E1242" s="8"/>
      <c r="F1242" s="8"/>
      <c r="G1242" s="8"/>
      <c r="H1242" s="8"/>
      <c r="I1242" s="8"/>
    </row>
    <row r="1243" customFormat="false" ht="15.75" hidden="false" customHeight="false" outlineLevel="0" collapsed="false">
      <c r="A1243" s="8"/>
      <c r="B1243" s="8"/>
      <c r="C1243" s="8"/>
      <c r="D1243" s="8"/>
      <c r="E1243" s="8"/>
      <c r="F1243" s="8"/>
      <c r="G1243" s="8"/>
      <c r="H1243" s="8"/>
      <c r="I1243" s="8"/>
    </row>
    <row r="1244" customFormat="false" ht="15.75" hidden="false" customHeight="false" outlineLevel="0" collapsed="false">
      <c r="A1244" s="8"/>
      <c r="B1244" s="8"/>
      <c r="C1244" s="8"/>
      <c r="D1244" s="8"/>
      <c r="E1244" s="8"/>
      <c r="F1244" s="8"/>
      <c r="G1244" s="8"/>
      <c r="H1244" s="8"/>
      <c r="I1244" s="8"/>
    </row>
    <row r="1245" customFormat="false" ht="15.75" hidden="false" customHeight="false" outlineLevel="0" collapsed="false">
      <c r="A1245" s="8"/>
      <c r="B1245" s="8"/>
      <c r="C1245" s="8"/>
      <c r="D1245" s="8"/>
      <c r="E1245" s="8"/>
      <c r="F1245" s="8"/>
      <c r="G1245" s="8"/>
      <c r="H1245" s="8"/>
      <c r="I1245" s="8"/>
    </row>
    <row r="1246" customFormat="false" ht="15.75" hidden="false" customHeight="false" outlineLevel="0" collapsed="false">
      <c r="A1246" s="8"/>
      <c r="B1246" s="8"/>
      <c r="C1246" s="8"/>
      <c r="D1246" s="8"/>
      <c r="E1246" s="8"/>
      <c r="F1246" s="8"/>
      <c r="G1246" s="8"/>
      <c r="H1246" s="8"/>
      <c r="I1246" s="8"/>
    </row>
    <row r="1247" customFormat="false" ht="15.75" hidden="false" customHeight="false" outlineLevel="0" collapsed="false">
      <c r="A1247" s="8"/>
      <c r="B1247" s="8"/>
      <c r="C1247" s="8"/>
      <c r="D1247" s="8"/>
      <c r="E1247" s="8"/>
      <c r="F1247" s="8"/>
      <c r="G1247" s="8"/>
      <c r="H1247" s="8"/>
      <c r="I1247" s="8"/>
    </row>
    <row r="1248" customFormat="false" ht="15.75" hidden="false" customHeight="false" outlineLevel="0" collapsed="false">
      <c r="A1248" s="8"/>
      <c r="B1248" s="8"/>
      <c r="C1248" s="8"/>
      <c r="D1248" s="8"/>
      <c r="E1248" s="8"/>
      <c r="F1248" s="8"/>
      <c r="G1248" s="8"/>
      <c r="H1248" s="8"/>
      <c r="I1248" s="8"/>
    </row>
    <row r="1249" customFormat="false" ht="15.75" hidden="false" customHeight="false" outlineLevel="0" collapsed="false">
      <c r="A1249" s="8"/>
      <c r="B1249" s="8"/>
      <c r="C1249" s="8"/>
      <c r="D1249" s="8"/>
      <c r="E1249" s="8"/>
      <c r="F1249" s="8"/>
      <c r="G1249" s="8"/>
      <c r="H1249" s="8"/>
      <c r="I1249" s="8"/>
    </row>
    <row r="1250" customFormat="false" ht="15.75" hidden="false" customHeight="false" outlineLevel="0" collapsed="false">
      <c r="A1250" s="8"/>
      <c r="B1250" s="8"/>
      <c r="C1250" s="8"/>
      <c r="D1250" s="8"/>
      <c r="E1250" s="8"/>
      <c r="F1250" s="8"/>
      <c r="G1250" s="8"/>
      <c r="H1250" s="8"/>
      <c r="I1250" s="8"/>
    </row>
    <row r="1251" customFormat="false" ht="15.75" hidden="false" customHeight="false" outlineLevel="0" collapsed="false">
      <c r="A1251" s="8"/>
      <c r="B1251" s="8"/>
      <c r="C1251" s="8"/>
      <c r="D1251" s="8"/>
      <c r="E1251" s="8"/>
      <c r="F1251" s="8"/>
      <c r="G1251" s="8"/>
      <c r="H1251" s="8"/>
      <c r="I1251" s="8"/>
    </row>
    <row r="1252" customFormat="false" ht="15.75" hidden="false" customHeight="false" outlineLevel="0" collapsed="false">
      <c r="A1252" s="8"/>
      <c r="B1252" s="8"/>
      <c r="C1252" s="8"/>
      <c r="D1252" s="8"/>
      <c r="E1252" s="8"/>
      <c r="F1252" s="8"/>
      <c r="G1252" s="8"/>
      <c r="H1252" s="8"/>
      <c r="I1252" s="8"/>
    </row>
    <row r="1253" customFormat="false" ht="15.75" hidden="false" customHeight="false" outlineLevel="0" collapsed="false">
      <c r="A1253" s="8"/>
      <c r="B1253" s="8"/>
      <c r="C1253" s="8"/>
      <c r="D1253" s="8"/>
      <c r="E1253" s="8"/>
      <c r="F1253" s="8"/>
      <c r="G1253" s="8"/>
      <c r="H1253" s="8"/>
      <c r="I1253" s="8"/>
    </row>
    <row r="1254" customFormat="false" ht="15.75" hidden="false" customHeight="false" outlineLevel="0" collapsed="false">
      <c r="A1254" s="8"/>
      <c r="B1254" s="8"/>
      <c r="C1254" s="8"/>
      <c r="D1254" s="8"/>
      <c r="E1254" s="8"/>
      <c r="F1254" s="8"/>
      <c r="G1254" s="8"/>
      <c r="H1254" s="8"/>
      <c r="I1254" s="8"/>
    </row>
    <row r="1255" customFormat="false" ht="15.75" hidden="false" customHeight="false" outlineLevel="0" collapsed="false">
      <c r="A1255" s="8"/>
      <c r="B1255" s="8"/>
      <c r="C1255" s="8"/>
      <c r="D1255" s="8"/>
      <c r="E1255" s="8"/>
      <c r="F1255" s="8"/>
      <c r="G1255" s="8"/>
      <c r="H1255" s="8"/>
      <c r="I1255" s="8"/>
    </row>
    <row r="1256" customFormat="false" ht="15.75" hidden="false" customHeight="false" outlineLevel="0" collapsed="false">
      <c r="A1256" s="8"/>
      <c r="B1256" s="8"/>
      <c r="C1256" s="8"/>
      <c r="D1256" s="8"/>
      <c r="E1256" s="8"/>
      <c r="F1256" s="8"/>
      <c r="G1256" s="8"/>
      <c r="H1256" s="8"/>
      <c r="I1256" s="8"/>
    </row>
    <row r="1257" customFormat="false" ht="15.75" hidden="false" customHeight="false" outlineLevel="0" collapsed="false">
      <c r="A1257" s="8"/>
      <c r="B1257" s="8"/>
      <c r="C1257" s="8"/>
      <c r="D1257" s="8"/>
      <c r="E1257" s="8"/>
      <c r="F1257" s="8"/>
      <c r="G1257" s="8"/>
      <c r="H1257" s="8"/>
      <c r="I1257" s="8"/>
    </row>
    <row r="1258" customFormat="false" ht="15.75" hidden="false" customHeight="false" outlineLevel="0" collapsed="false">
      <c r="A1258" s="8"/>
      <c r="B1258" s="8"/>
      <c r="C1258" s="8"/>
      <c r="D1258" s="8"/>
      <c r="E1258" s="8"/>
      <c r="F1258" s="8"/>
      <c r="G1258" s="8"/>
      <c r="H1258" s="8"/>
      <c r="I1258" s="8"/>
    </row>
    <row r="1259" customFormat="false" ht="15.75" hidden="false" customHeight="false" outlineLevel="0" collapsed="false">
      <c r="A1259" s="8"/>
      <c r="B1259" s="8"/>
      <c r="C1259" s="8"/>
      <c r="D1259" s="8"/>
      <c r="E1259" s="8"/>
      <c r="F1259" s="8"/>
      <c r="G1259" s="8"/>
      <c r="H1259" s="8"/>
      <c r="I1259" s="8"/>
    </row>
    <row r="1260" customFormat="false" ht="15.75" hidden="false" customHeight="false" outlineLevel="0" collapsed="false">
      <c r="A1260" s="8"/>
      <c r="B1260" s="8"/>
      <c r="C1260" s="8"/>
      <c r="D1260" s="8"/>
      <c r="E1260" s="8"/>
      <c r="F1260" s="8"/>
      <c r="G1260" s="8"/>
      <c r="H1260" s="8"/>
      <c r="I1260" s="8"/>
    </row>
    <row r="1261" customFormat="false" ht="15.75" hidden="false" customHeight="false" outlineLevel="0" collapsed="false">
      <c r="A1261" s="8"/>
      <c r="B1261" s="8"/>
      <c r="C1261" s="8"/>
      <c r="D1261" s="8"/>
      <c r="E1261" s="8"/>
      <c r="F1261" s="8"/>
      <c r="G1261" s="8"/>
      <c r="H1261" s="8"/>
      <c r="I1261" s="8"/>
    </row>
    <row r="1262" customFormat="false" ht="15.75" hidden="false" customHeight="false" outlineLevel="0" collapsed="false">
      <c r="A1262" s="8"/>
      <c r="B1262" s="8"/>
      <c r="C1262" s="8"/>
      <c r="D1262" s="8"/>
      <c r="E1262" s="8"/>
      <c r="F1262" s="8"/>
      <c r="G1262" s="8"/>
      <c r="H1262" s="8"/>
      <c r="I1262" s="8"/>
    </row>
    <row r="1263" customFormat="false" ht="15.75" hidden="false" customHeight="false" outlineLevel="0" collapsed="false">
      <c r="A1263" s="8"/>
      <c r="B1263" s="8"/>
      <c r="C1263" s="8"/>
      <c r="D1263" s="8"/>
      <c r="E1263" s="8"/>
      <c r="F1263" s="8"/>
      <c r="G1263" s="8"/>
      <c r="H1263" s="8"/>
      <c r="I1263" s="8"/>
    </row>
    <row r="1264" customFormat="false" ht="15.75" hidden="false" customHeight="false" outlineLevel="0" collapsed="false">
      <c r="A1264" s="8"/>
      <c r="B1264" s="8"/>
      <c r="C1264" s="8"/>
      <c r="D1264" s="8"/>
      <c r="E1264" s="8"/>
      <c r="F1264" s="8"/>
      <c r="G1264" s="8"/>
      <c r="H1264" s="8"/>
      <c r="I1264" s="8"/>
    </row>
    <row r="1265" customFormat="false" ht="15.75" hidden="false" customHeight="false" outlineLevel="0" collapsed="false">
      <c r="A1265" s="8"/>
      <c r="B1265" s="8"/>
      <c r="C1265" s="8"/>
      <c r="D1265" s="8"/>
      <c r="E1265" s="8"/>
      <c r="F1265" s="8"/>
      <c r="G1265" s="8"/>
      <c r="H1265" s="8"/>
      <c r="I1265" s="8"/>
    </row>
    <row r="1266" customFormat="false" ht="15.75" hidden="false" customHeight="false" outlineLevel="0" collapsed="false">
      <c r="A1266" s="8"/>
      <c r="B1266" s="8"/>
      <c r="C1266" s="8"/>
      <c r="D1266" s="8"/>
      <c r="E1266" s="8"/>
      <c r="F1266" s="8"/>
      <c r="G1266" s="8"/>
      <c r="H1266" s="8"/>
      <c r="I1266" s="8"/>
    </row>
    <row r="1267" customFormat="false" ht="15.75" hidden="false" customHeight="false" outlineLevel="0" collapsed="false">
      <c r="A1267" s="8"/>
      <c r="B1267" s="8"/>
      <c r="C1267" s="8"/>
      <c r="D1267" s="8"/>
      <c r="E1267" s="8"/>
      <c r="F1267" s="8"/>
      <c r="G1267" s="8"/>
      <c r="H1267" s="8"/>
      <c r="I1267" s="8"/>
    </row>
    <row r="1268" customFormat="false" ht="15.75" hidden="false" customHeight="false" outlineLevel="0" collapsed="false">
      <c r="A1268" s="8"/>
      <c r="B1268" s="8"/>
      <c r="C1268" s="8"/>
      <c r="D1268" s="8"/>
      <c r="E1268" s="8"/>
      <c r="F1268" s="8"/>
      <c r="G1268" s="8"/>
      <c r="H1268" s="8"/>
      <c r="I1268" s="8"/>
    </row>
    <row r="1269" customFormat="false" ht="15.75" hidden="false" customHeight="false" outlineLevel="0" collapsed="false">
      <c r="A1269" s="8"/>
      <c r="B1269" s="8"/>
      <c r="C1269" s="8"/>
      <c r="D1269" s="8"/>
      <c r="E1269" s="8"/>
      <c r="F1269" s="8"/>
      <c r="G1269" s="8"/>
      <c r="H1269" s="8"/>
      <c r="I1269" s="8"/>
    </row>
    <row r="1270" customFormat="false" ht="15.75" hidden="false" customHeight="false" outlineLevel="0" collapsed="false">
      <c r="A1270" s="8"/>
      <c r="B1270" s="8"/>
      <c r="C1270" s="8"/>
      <c r="D1270" s="8"/>
      <c r="E1270" s="8"/>
      <c r="F1270" s="8"/>
      <c r="G1270" s="8"/>
      <c r="H1270" s="8"/>
      <c r="I1270" s="8"/>
    </row>
    <row r="1271" customFormat="false" ht="15.75" hidden="false" customHeight="false" outlineLevel="0" collapsed="false">
      <c r="A1271" s="8"/>
      <c r="B1271" s="8"/>
      <c r="C1271" s="8"/>
      <c r="D1271" s="8"/>
      <c r="E1271" s="8"/>
      <c r="F1271" s="8"/>
      <c r="G1271" s="8"/>
      <c r="H1271" s="8"/>
      <c r="I1271" s="8"/>
    </row>
    <row r="1272" customFormat="false" ht="15.75" hidden="false" customHeight="false" outlineLevel="0" collapsed="false">
      <c r="A1272" s="8"/>
      <c r="B1272" s="8"/>
      <c r="C1272" s="8"/>
      <c r="D1272" s="8"/>
      <c r="E1272" s="8"/>
      <c r="F1272" s="8"/>
      <c r="G1272" s="8"/>
      <c r="H1272" s="8"/>
      <c r="I1272" s="8"/>
    </row>
    <row r="1273" customFormat="false" ht="15.75" hidden="false" customHeight="false" outlineLevel="0" collapsed="false">
      <c r="A1273" s="8"/>
      <c r="B1273" s="8"/>
      <c r="C1273" s="8"/>
      <c r="D1273" s="8"/>
      <c r="E1273" s="8"/>
      <c r="F1273" s="8"/>
      <c r="G1273" s="8"/>
      <c r="H1273" s="8"/>
      <c r="I1273" s="8"/>
    </row>
    <row r="1274" customFormat="false" ht="15.75" hidden="false" customHeight="false" outlineLevel="0" collapsed="false">
      <c r="A1274" s="8"/>
      <c r="B1274" s="8"/>
      <c r="C1274" s="8"/>
      <c r="D1274" s="8"/>
      <c r="E1274" s="8"/>
      <c r="F1274" s="8"/>
      <c r="G1274" s="8"/>
      <c r="H1274" s="8"/>
      <c r="I1274" s="8"/>
    </row>
    <row r="1275" customFormat="false" ht="15.75" hidden="false" customHeight="false" outlineLevel="0" collapsed="false">
      <c r="A1275" s="8"/>
      <c r="B1275" s="8"/>
      <c r="C1275" s="8"/>
      <c r="D1275" s="8"/>
      <c r="E1275" s="8"/>
      <c r="F1275" s="8"/>
      <c r="G1275" s="8"/>
      <c r="H1275" s="8"/>
      <c r="I1275" s="8"/>
    </row>
    <row r="1276" customFormat="false" ht="15.75" hidden="false" customHeight="false" outlineLevel="0" collapsed="false">
      <c r="A1276" s="8"/>
      <c r="B1276" s="8"/>
      <c r="C1276" s="8"/>
      <c r="D1276" s="8"/>
      <c r="E1276" s="8"/>
      <c r="F1276" s="8"/>
      <c r="G1276" s="8"/>
      <c r="H1276" s="8"/>
      <c r="I1276" s="8"/>
    </row>
    <row r="1277" customFormat="false" ht="15.75" hidden="false" customHeight="false" outlineLevel="0" collapsed="false">
      <c r="A1277" s="8"/>
      <c r="B1277" s="8"/>
      <c r="C1277" s="8"/>
      <c r="D1277" s="8"/>
      <c r="E1277" s="8"/>
      <c r="F1277" s="8"/>
      <c r="G1277" s="8"/>
      <c r="H1277" s="8"/>
      <c r="I1277" s="8"/>
    </row>
    <row r="1278" customFormat="false" ht="15.75" hidden="false" customHeight="false" outlineLevel="0" collapsed="false">
      <c r="A1278" s="8"/>
      <c r="B1278" s="8"/>
      <c r="C1278" s="8"/>
      <c r="D1278" s="8"/>
      <c r="E1278" s="8"/>
      <c r="F1278" s="8"/>
      <c r="G1278" s="8"/>
      <c r="H1278" s="8"/>
      <c r="I1278" s="8"/>
    </row>
    <row r="1279" customFormat="false" ht="15.75" hidden="false" customHeight="false" outlineLevel="0" collapsed="false">
      <c r="A1279" s="8"/>
      <c r="B1279" s="8"/>
      <c r="C1279" s="8"/>
      <c r="D1279" s="8"/>
      <c r="E1279" s="8"/>
      <c r="F1279" s="8"/>
      <c r="G1279" s="8"/>
      <c r="H1279" s="8"/>
      <c r="I1279" s="8"/>
    </row>
    <row r="1280" customFormat="false" ht="15.75" hidden="false" customHeight="false" outlineLevel="0" collapsed="false">
      <c r="A1280" s="8"/>
      <c r="B1280" s="8"/>
      <c r="C1280" s="8"/>
      <c r="D1280" s="8"/>
      <c r="E1280" s="8"/>
      <c r="F1280" s="8"/>
      <c r="G1280" s="8"/>
      <c r="H1280" s="8"/>
      <c r="I1280" s="8"/>
    </row>
    <row r="1281" customFormat="false" ht="15.75" hidden="false" customHeight="false" outlineLevel="0" collapsed="false">
      <c r="A1281" s="8"/>
      <c r="B1281" s="8"/>
      <c r="C1281" s="8"/>
      <c r="D1281" s="8"/>
      <c r="E1281" s="8"/>
      <c r="F1281" s="8"/>
      <c r="G1281" s="8"/>
      <c r="H1281" s="8"/>
      <c r="I1281" s="8"/>
    </row>
    <row r="1282" customFormat="false" ht="15.75" hidden="false" customHeight="false" outlineLevel="0" collapsed="false">
      <c r="A1282" s="8"/>
      <c r="B1282" s="8"/>
      <c r="C1282" s="8"/>
      <c r="D1282" s="8"/>
      <c r="E1282" s="8"/>
      <c r="F1282" s="8"/>
      <c r="G1282" s="8"/>
      <c r="H1282" s="8"/>
      <c r="I1282" s="8"/>
    </row>
    <row r="1283" customFormat="false" ht="15.75" hidden="false" customHeight="false" outlineLevel="0" collapsed="false">
      <c r="A1283" s="8"/>
      <c r="B1283" s="8"/>
      <c r="C1283" s="8"/>
      <c r="D1283" s="8"/>
      <c r="E1283" s="8"/>
      <c r="F1283" s="8"/>
      <c r="G1283" s="8"/>
      <c r="H1283" s="8"/>
      <c r="I1283" s="8"/>
    </row>
    <row r="1284" customFormat="false" ht="15.75" hidden="false" customHeight="false" outlineLevel="0" collapsed="false">
      <c r="A1284" s="8"/>
      <c r="B1284" s="8"/>
      <c r="C1284" s="8"/>
      <c r="D1284" s="8"/>
      <c r="E1284" s="8"/>
      <c r="F1284" s="8"/>
      <c r="G1284" s="8"/>
      <c r="H1284" s="8"/>
      <c r="I1284" s="8"/>
    </row>
    <row r="1285" customFormat="false" ht="15.75" hidden="false" customHeight="false" outlineLevel="0" collapsed="false">
      <c r="A1285" s="8"/>
      <c r="B1285" s="8"/>
      <c r="C1285" s="8"/>
      <c r="D1285" s="8"/>
      <c r="E1285" s="8"/>
      <c r="F1285" s="8"/>
      <c r="G1285" s="8"/>
      <c r="H1285" s="8"/>
      <c r="I1285" s="8"/>
    </row>
    <row r="1286" customFormat="false" ht="15.75" hidden="false" customHeight="false" outlineLevel="0" collapsed="false">
      <c r="A1286" s="8"/>
      <c r="B1286" s="8"/>
      <c r="C1286" s="8"/>
      <c r="D1286" s="8"/>
      <c r="E1286" s="8"/>
      <c r="F1286" s="8"/>
      <c r="G1286" s="8"/>
      <c r="H1286" s="8"/>
      <c r="I1286" s="8"/>
    </row>
    <row r="1287" customFormat="false" ht="15.75" hidden="false" customHeight="false" outlineLevel="0" collapsed="false">
      <c r="A1287" s="8"/>
      <c r="B1287" s="8"/>
      <c r="C1287" s="8"/>
      <c r="D1287" s="8"/>
      <c r="E1287" s="8"/>
      <c r="F1287" s="8"/>
      <c r="G1287" s="8"/>
      <c r="H1287" s="8"/>
      <c r="I1287" s="8"/>
    </row>
    <row r="1288" customFormat="false" ht="15.75" hidden="false" customHeight="false" outlineLevel="0" collapsed="false">
      <c r="A1288" s="8"/>
      <c r="B1288" s="8"/>
      <c r="C1288" s="8"/>
      <c r="D1288" s="8"/>
      <c r="E1288" s="8"/>
      <c r="F1288" s="8"/>
      <c r="G1288" s="8"/>
      <c r="H1288" s="8"/>
      <c r="I1288" s="8"/>
    </row>
    <row r="1289" customFormat="false" ht="15.75" hidden="false" customHeight="false" outlineLevel="0" collapsed="false">
      <c r="A1289" s="8"/>
      <c r="B1289" s="8"/>
      <c r="C1289" s="8"/>
      <c r="D1289" s="8"/>
      <c r="E1289" s="8"/>
      <c r="F1289" s="8"/>
      <c r="G1289" s="8"/>
      <c r="H1289" s="8"/>
      <c r="I1289" s="8"/>
    </row>
    <row r="1290" customFormat="false" ht="15.75" hidden="false" customHeight="false" outlineLevel="0" collapsed="false">
      <c r="A1290" s="8"/>
      <c r="B1290" s="8"/>
      <c r="C1290" s="8"/>
      <c r="D1290" s="8"/>
      <c r="E1290" s="8"/>
      <c r="F1290" s="8"/>
      <c r="G1290" s="8"/>
      <c r="H1290" s="8"/>
      <c r="I1290" s="8"/>
    </row>
    <row r="1291" customFormat="false" ht="15.75" hidden="false" customHeight="false" outlineLevel="0" collapsed="false">
      <c r="A1291" s="8"/>
      <c r="B1291" s="8"/>
      <c r="C1291" s="8"/>
      <c r="D1291" s="8"/>
      <c r="E1291" s="8"/>
      <c r="F1291" s="8"/>
      <c r="G1291" s="8"/>
      <c r="H1291" s="8"/>
      <c r="I1291" s="8"/>
    </row>
    <row r="1292" customFormat="false" ht="15.75" hidden="false" customHeight="false" outlineLevel="0" collapsed="false">
      <c r="A1292" s="8"/>
      <c r="B1292" s="8"/>
      <c r="C1292" s="8"/>
      <c r="D1292" s="8"/>
      <c r="E1292" s="8"/>
      <c r="F1292" s="8"/>
      <c r="G1292" s="8"/>
      <c r="H1292" s="8"/>
      <c r="I1292" s="8"/>
    </row>
    <row r="1293" customFormat="false" ht="15.75" hidden="false" customHeight="false" outlineLevel="0" collapsed="false">
      <c r="A1293" s="8"/>
      <c r="B1293" s="8"/>
      <c r="C1293" s="8"/>
      <c r="D1293" s="8"/>
      <c r="E1293" s="8"/>
      <c r="F1293" s="8"/>
      <c r="G1293" s="8"/>
      <c r="H1293" s="8"/>
      <c r="I1293" s="8"/>
    </row>
    <row r="1294" customFormat="false" ht="15.75" hidden="false" customHeight="false" outlineLevel="0" collapsed="false">
      <c r="A1294" s="8"/>
      <c r="B1294" s="8"/>
      <c r="C1294" s="8"/>
      <c r="D1294" s="8"/>
      <c r="E1294" s="8"/>
      <c r="F1294" s="8"/>
      <c r="G1294" s="8"/>
      <c r="H1294" s="8"/>
      <c r="I1294" s="8"/>
    </row>
    <row r="1295" customFormat="false" ht="15.75" hidden="false" customHeight="false" outlineLevel="0" collapsed="false">
      <c r="A1295" s="8"/>
      <c r="B1295" s="8"/>
      <c r="C1295" s="8"/>
      <c r="D1295" s="8"/>
      <c r="E1295" s="8"/>
      <c r="F1295" s="8"/>
      <c r="G1295" s="8"/>
      <c r="H1295" s="8"/>
      <c r="I1295" s="8"/>
    </row>
    <row r="1296" customFormat="false" ht="15.75" hidden="false" customHeight="false" outlineLevel="0" collapsed="false">
      <c r="A1296" s="8"/>
      <c r="B1296" s="8"/>
      <c r="C1296" s="8"/>
      <c r="D1296" s="8"/>
      <c r="E1296" s="8"/>
      <c r="F1296" s="8"/>
      <c r="G1296" s="8"/>
      <c r="H1296" s="8"/>
      <c r="I1296" s="8"/>
    </row>
    <row r="1297" customFormat="false" ht="15.75" hidden="false" customHeight="false" outlineLevel="0" collapsed="false">
      <c r="A1297" s="8"/>
      <c r="B1297" s="8"/>
      <c r="C1297" s="8"/>
      <c r="D1297" s="8"/>
      <c r="E1297" s="8"/>
      <c r="F1297" s="8"/>
      <c r="G1297" s="8"/>
      <c r="H1297" s="8"/>
      <c r="I1297" s="8"/>
    </row>
    <row r="1298" customFormat="false" ht="15.75" hidden="false" customHeight="false" outlineLevel="0" collapsed="false">
      <c r="A1298" s="8"/>
      <c r="B1298" s="8"/>
      <c r="C1298" s="8"/>
      <c r="D1298" s="8"/>
      <c r="E1298" s="8"/>
      <c r="F1298" s="8"/>
      <c r="G1298" s="8"/>
      <c r="H1298" s="8"/>
      <c r="I1298" s="8"/>
    </row>
    <row r="1299" customFormat="false" ht="15.75" hidden="false" customHeight="false" outlineLevel="0" collapsed="false">
      <c r="A1299" s="8"/>
      <c r="B1299" s="8"/>
      <c r="C1299" s="8"/>
      <c r="D1299" s="8"/>
      <c r="E1299" s="8"/>
      <c r="F1299" s="8"/>
      <c r="G1299" s="8"/>
      <c r="H1299" s="8"/>
      <c r="I1299" s="8"/>
    </row>
    <row r="1300" customFormat="false" ht="15.75" hidden="false" customHeight="false" outlineLevel="0" collapsed="false">
      <c r="A1300" s="8"/>
      <c r="B1300" s="8"/>
      <c r="C1300" s="8"/>
      <c r="D1300" s="8"/>
      <c r="E1300" s="8"/>
      <c r="F1300" s="8"/>
      <c r="G1300" s="8"/>
      <c r="H1300" s="8"/>
      <c r="I1300" s="8"/>
    </row>
    <row r="1301" customFormat="false" ht="15.75" hidden="false" customHeight="false" outlineLevel="0" collapsed="false">
      <c r="A1301" s="8"/>
      <c r="B1301" s="8"/>
      <c r="C1301" s="8"/>
      <c r="D1301" s="8"/>
      <c r="E1301" s="8"/>
      <c r="F1301" s="8"/>
      <c r="G1301" s="8"/>
      <c r="H1301" s="8"/>
      <c r="I1301" s="8"/>
    </row>
    <row r="1302" customFormat="false" ht="15.75" hidden="false" customHeight="false" outlineLevel="0" collapsed="false">
      <c r="A1302" s="8"/>
      <c r="B1302" s="8"/>
      <c r="C1302" s="8"/>
      <c r="D1302" s="8"/>
      <c r="E1302" s="8"/>
      <c r="F1302" s="8"/>
      <c r="G1302" s="8"/>
      <c r="H1302" s="8"/>
      <c r="I1302" s="8"/>
    </row>
    <row r="1303" customFormat="false" ht="15.75" hidden="false" customHeight="false" outlineLevel="0" collapsed="false">
      <c r="A1303" s="8"/>
      <c r="B1303" s="8"/>
      <c r="C1303" s="8"/>
      <c r="D1303" s="8"/>
      <c r="E1303" s="8"/>
      <c r="F1303" s="8"/>
      <c r="G1303" s="8"/>
      <c r="H1303" s="8"/>
      <c r="I1303" s="8"/>
    </row>
    <row r="1304" customFormat="false" ht="15.75" hidden="false" customHeight="false" outlineLevel="0" collapsed="false">
      <c r="A1304" s="8"/>
      <c r="B1304" s="8"/>
      <c r="C1304" s="8"/>
      <c r="D1304" s="8"/>
      <c r="E1304" s="8"/>
      <c r="F1304" s="8"/>
      <c r="G1304" s="8"/>
      <c r="H1304" s="8"/>
      <c r="I1304" s="8"/>
    </row>
    <row r="1305" customFormat="false" ht="15.75" hidden="false" customHeight="false" outlineLevel="0" collapsed="false">
      <c r="A1305" s="8"/>
      <c r="B1305" s="8"/>
      <c r="C1305" s="8"/>
      <c r="D1305" s="8"/>
      <c r="E1305" s="8"/>
      <c r="F1305" s="8"/>
      <c r="G1305" s="8"/>
      <c r="H1305" s="8"/>
      <c r="I1305" s="8"/>
    </row>
    <row r="1306" customFormat="false" ht="15.75" hidden="false" customHeight="false" outlineLevel="0" collapsed="false">
      <c r="A1306" s="8"/>
      <c r="B1306" s="8"/>
      <c r="C1306" s="8"/>
      <c r="D1306" s="8"/>
      <c r="E1306" s="8"/>
      <c r="F1306" s="8"/>
      <c r="G1306" s="8"/>
      <c r="H1306" s="8"/>
      <c r="I1306" s="8"/>
    </row>
    <row r="1307" customFormat="false" ht="15.75" hidden="false" customHeight="false" outlineLevel="0" collapsed="false">
      <c r="A1307" s="8"/>
      <c r="B1307" s="8"/>
      <c r="C1307" s="8"/>
      <c r="D1307" s="8"/>
      <c r="E1307" s="8"/>
      <c r="F1307" s="8"/>
      <c r="G1307" s="8"/>
      <c r="H1307" s="8"/>
      <c r="I1307" s="8"/>
    </row>
    <row r="1308" customFormat="false" ht="15.75" hidden="false" customHeight="false" outlineLevel="0" collapsed="false">
      <c r="A1308" s="8"/>
      <c r="B1308" s="8"/>
      <c r="C1308" s="8"/>
      <c r="D1308" s="8"/>
      <c r="E1308" s="8"/>
      <c r="F1308" s="8"/>
      <c r="G1308" s="8"/>
      <c r="H1308" s="8"/>
      <c r="I1308" s="8"/>
    </row>
    <row r="1309" customFormat="false" ht="15.75" hidden="false" customHeight="false" outlineLevel="0" collapsed="false">
      <c r="A1309" s="8"/>
      <c r="B1309" s="8"/>
      <c r="C1309" s="8"/>
      <c r="D1309" s="8"/>
      <c r="E1309" s="8"/>
      <c r="F1309" s="8"/>
      <c r="G1309" s="8"/>
      <c r="H1309" s="8"/>
      <c r="I1309" s="8"/>
    </row>
    <row r="1310" customFormat="false" ht="15.75" hidden="false" customHeight="false" outlineLevel="0" collapsed="false">
      <c r="A1310" s="8"/>
      <c r="B1310" s="8"/>
      <c r="C1310" s="8"/>
      <c r="D1310" s="8"/>
      <c r="E1310" s="8"/>
      <c r="F1310" s="8"/>
      <c r="G1310" s="8"/>
      <c r="H1310" s="8"/>
      <c r="I1310" s="8"/>
    </row>
    <row r="1311" customFormat="false" ht="15.75" hidden="false" customHeight="false" outlineLevel="0" collapsed="false">
      <c r="A1311" s="8"/>
      <c r="B1311" s="8"/>
      <c r="C1311" s="8"/>
      <c r="D1311" s="8"/>
      <c r="E1311" s="8"/>
      <c r="F1311" s="8"/>
      <c r="G1311" s="8"/>
      <c r="H1311" s="8"/>
      <c r="I1311" s="8"/>
    </row>
    <row r="1312" customFormat="false" ht="15.75" hidden="false" customHeight="false" outlineLevel="0" collapsed="false">
      <c r="A1312" s="8"/>
      <c r="B1312" s="8"/>
      <c r="C1312" s="8"/>
      <c r="D1312" s="8"/>
      <c r="E1312" s="8"/>
      <c r="F1312" s="8"/>
      <c r="G1312" s="8"/>
      <c r="H1312" s="8"/>
      <c r="I1312" s="8"/>
    </row>
    <row r="1313" customFormat="false" ht="15.75" hidden="false" customHeight="false" outlineLevel="0" collapsed="false">
      <c r="A1313" s="8"/>
      <c r="B1313" s="8"/>
      <c r="C1313" s="8"/>
      <c r="D1313" s="8"/>
      <c r="E1313" s="8"/>
      <c r="F1313" s="8"/>
      <c r="G1313" s="8"/>
      <c r="H1313" s="8"/>
      <c r="I1313" s="8"/>
    </row>
    <row r="1314" customFormat="false" ht="15.75" hidden="false" customHeight="false" outlineLevel="0" collapsed="false">
      <c r="A1314" s="8"/>
      <c r="B1314" s="8"/>
      <c r="C1314" s="8"/>
      <c r="D1314" s="8"/>
      <c r="E1314" s="8"/>
      <c r="F1314" s="8"/>
      <c r="G1314" s="8"/>
      <c r="H1314" s="8"/>
      <c r="I1314" s="8"/>
    </row>
    <row r="1315" customFormat="false" ht="15.75" hidden="false" customHeight="false" outlineLevel="0" collapsed="false">
      <c r="A1315" s="8"/>
      <c r="B1315" s="8"/>
      <c r="C1315" s="8"/>
      <c r="D1315" s="8"/>
      <c r="E1315" s="8"/>
      <c r="F1315" s="8"/>
      <c r="G1315" s="8"/>
      <c r="H1315" s="8"/>
      <c r="I1315" s="8"/>
    </row>
    <row r="1316" customFormat="false" ht="15.75" hidden="false" customHeight="false" outlineLevel="0" collapsed="false">
      <c r="A1316" s="8"/>
      <c r="B1316" s="8"/>
      <c r="C1316" s="8"/>
      <c r="D1316" s="8"/>
      <c r="E1316" s="8"/>
      <c r="F1316" s="8"/>
      <c r="G1316" s="8"/>
      <c r="H1316" s="8"/>
      <c r="I1316" s="8"/>
    </row>
    <row r="1317" customFormat="false" ht="15.75" hidden="false" customHeight="false" outlineLevel="0" collapsed="false">
      <c r="A1317" s="8"/>
      <c r="B1317" s="8"/>
      <c r="C1317" s="8"/>
      <c r="D1317" s="8"/>
      <c r="E1317" s="8"/>
      <c r="F1317" s="8"/>
      <c r="G1317" s="8"/>
      <c r="H1317" s="8"/>
      <c r="I1317" s="8"/>
    </row>
    <row r="1318" customFormat="false" ht="15.75" hidden="false" customHeight="false" outlineLevel="0" collapsed="false">
      <c r="A1318" s="8"/>
      <c r="B1318" s="8"/>
      <c r="C1318" s="8"/>
      <c r="D1318" s="8"/>
      <c r="E1318" s="8"/>
      <c r="F1318" s="8"/>
      <c r="G1318" s="8"/>
      <c r="H1318" s="8"/>
      <c r="I1318" s="8"/>
    </row>
    <row r="1319" customFormat="false" ht="15.75" hidden="false" customHeight="false" outlineLevel="0" collapsed="false">
      <c r="A1319" s="8"/>
      <c r="B1319" s="8"/>
      <c r="C1319" s="8"/>
      <c r="D1319" s="8"/>
      <c r="E1319" s="8"/>
      <c r="F1319" s="8"/>
      <c r="G1319" s="8"/>
      <c r="H1319" s="8"/>
      <c r="I1319" s="8"/>
    </row>
    <row r="1320" customFormat="false" ht="15.75" hidden="false" customHeight="false" outlineLevel="0" collapsed="false">
      <c r="A1320" s="8"/>
      <c r="B1320" s="8"/>
      <c r="C1320" s="8"/>
      <c r="D1320" s="8"/>
      <c r="E1320" s="8"/>
      <c r="F1320" s="8"/>
      <c r="G1320" s="8"/>
      <c r="H1320" s="8"/>
      <c r="I1320" s="8"/>
    </row>
    <row r="1321" customFormat="false" ht="15.75" hidden="false" customHeight="false" outlineLevel="0" collapsed="false">
      <c r="A1321" s="8"/>
      <c r="B1321" s="8"/>
      <c r="C1321" s="8"/>
      <c r="D1321" s="8"/>
      <c r="E1321" s="8"/>
      <c r="F1321" s="8"/>
      <c r="G1321" s="8"/>
      <c r="H1321" s="8"/>
      <c r="I1321" s="8"/>
    </row>
    <row r="1322" customFormat="false" ht="15.75" hidden="false" customHeight="false" outlineLevel="0" collapsed="false">
      <c r="A1322" s="8"/>
      <c r="B1322" s="8"/>
      <c r="C1322" s="8"/>
      <c r="D1322" s="8"/>
      <c r="E1322" s="8"/>
      <c r="F1322" s="8"/>
      <c r="G1322" s="8"/>
      <c r="H1322" s="8"/>
      <c r="I1322" s="8"/>
    </row>
    <row r="1323" customFormat="false" ht="15.75" hidden="false" customHeight="false" outlineLevel="0" collapsed="false">
      <c r="A1323" s="8"/>
      <c r="B1323" s="8"/>
      <c r="C1323" s="8"/>
      <c r="D1323" s="8"/>
      <c r="E1323" s="8"/>
      <c r="F1323" s="8"/>
      <c r="G1323" s="8"/>
      <c r="H1323" s="8"/>
      <c r="I1323" s="8"/>
    </row>
    <row r="1324" customFormat="false" ht="15.75" hidden="false" customHeight="false" outlineLevel="0" collapsed="false">
      <c r="A1324" s="8"/>
      <c r="B1324" s="8"/>
      <c r="C1324" s="8"/>
      <c r="D1324" s="8"/>
      <c r="E1324" s="8"/>
      <c r="F1324" s="8"/>
      <c r="G1324" s="8"/>
      <c r="H1324" s="8"/>
      <c r="I1324" s="8"/>
    </row>
    <row r="1325" customFormat="false" ht="15.75" hidden="false" customHeight="false" outlineLevel="0" collapsed="false">
      <c r="A1325" s="8"/>
      <c r="B1325" s="8"/>
      <c r="C1325" s="8"/>
      <c r="D1325" s="8"/>
      <c r="E1325" s="8"/>
      <c r="F1325" s="8"/>
      <c r="G1325" s="8"/>
      <c r="H1325" s="8"/>
      <c r="I1325" s="8"/>
    </row>
    <row r="1326" customFormat="false" ht="15.75" hidden="false" customHeight="false" outlineLevel="0" collapsed="false">
      <c r="A1326" s="8"/>
      <c r="B1326" s="8"/>
      <c r="C1326" s="8"/>
      <c r="D1326" s="8"/>
      <c r="E1326" s="8"/>
      <c r="F1326" s="8"/>
      <c r="G1326" s="8"/>
      <c r="H1326" s="8"/>
      <c r="I1326" s="8"/>
    </row>
    <row r="1327" customFormat="false" ht="15.75" hidden="false" customHeight="false" outlineLevel="0" collapsed="false">
      <c r="A1327" s="8"/>
      <c r="B1327" s="8"/>
      <c r="C1327" s="8"/>
      <c r="D1327" s="8"/>
      <c r="E1327" s="8"/>
      <c r="F1327" s="8"/>
      <c r="G1327" s="8"/>
      <c r="H1327" s="8"/>
      <c r="I1327" s="8"/>
    </row>
    <row r="1328" customFormat="false" ht="15.75" hidden="false" customHeight="false" outlineLevel="0" collapsed="false">
      <c r="A1328" s="8"/>
      <c r="B1328" s="8"/>
      <c r="C1328" s="8"/>
      <c r="D1328" s="8"/>
      <c r="E1328" s="8"/>
      <c r="F1328" s="8"/>
      <c r="G1328" s="8"/>
      <c r="H1328" s="8"/>
      <c r="I1328" s="8"/>
    </row>
    <row r="1329" customFormat="false" ht="15.75" hidden="false" customHeight="false" outlineLevel="0" collapsed="false">
      <c r="A1329" s="8"/>
      <c r="B1329" s="8"/>
      <c r="C1329" s="8"/>
      <c r="D1329" s="8"/>
      <c r="E1329" s="8"/>
      <c r="F1329" s="8"/>
      <c r="G1329" s="8"/>
      <c r="H1329" s="8"/>
      <c r="I1329" s="8"/>
    </row>
    <row r="1330" customFormat="false" ht="15.75" hidden="false" customHeight="false" outlineLevel="0" collapsed="false">
      <c r="A1330" s="8"/>
      <c r="B1330" s="8"/>
      <c r="C1330" s="8"/>
      <c r="D1330" s="8"/>
      <c r="E1330" s="8"/>
      <c r="F1330" s="8"/>
      <c r="G1330" s="8"/>
      <c r="H1330" s="8"/>
      <c r="I1330" s="8"/>
    </row>
    <row r="1331" customFormat="false" ht="15.75" hidden="false" customHeight="false" outlineLevel="0" collapsed="false">
      <c r="A1331" s="8"/>
      <c r="B1331" s="8"/>
      <c r="C1331" s="8"/>
      <c r="D1331" s="8"/>
      <c r="E1331" s="8"/>
      <c r="F1331" s="8"/>
      <c r="G1331" s="8"/>
      <c r="H1331" s="8"/>
      <c r="I1331" s="8"/>
    </row>
    <row r="1332" customFormat="false" ht="15.75" hidden="false" customHeight="false" outlineLevel="0" collapsed="false">
      <c r="A1332" s="8"/>
      <c r="B1332" s="8"/>
      <c r="C1332" s="8"/>
      <c r="D1332" s="8"/>
      <c r="E1332" s="8"/>
      <c r="F1332" s="8"/>
      <c r="G1332" s="8"/>
      <c r="H1332" s="8"/>
      <c r="I1332" s="8"/>
    </row>
    <row r="1333" customFormat="false" ht="15.75" hidden="false" customHeight="false" outlineLevel="0" collapsed="false">
      <c r="A1333" s="8"/>
      <c r="B1333" s="8"/>
      <c r="C1333" s="8"/>
      <c r="D1333" s="8"/>
      <c r="E1333" s="8"/>
      <c r="F1333" s="8"/>
      <c r="G1333" s="8"/>
      <c r="H1333" s="8"/>
      <c r="I1333" s="8"/>
    </row>
    <row r="1334" customFormat="false" ht="15.75" hidden="false" customHeight="false" outlineLevel="0" collapsed="false">
      <c r="A1334" s="8"/>
      <c r="B1334" s="8"/>
      <c r="C1334" s="8"/>
      <c r="D1334" s="8"/>
      <c r="E1334" s="8"/>
      <c r="F1334" s="8"/>
      <c r="G1334" s="8"/>
      <c r="H1334" s="8"/>
      <c r="I1334" s="8"/>
    </row>
    <row r="1335" customFormat="false" ht="15.75" hidden="false" customHeight="false" outlineLevel="0" collapsed="false">
      <c r="A1335" s="8"/>
      <c r="B1335" s="8"/>
      <c r="C1335" s="8"/>
      <c r="D1335" s="8"/>
      <c r="E1335" s="8"/>
      <c r="F1335" s="8"/>
      <c r="G1335" s="8"/>
      <c r="H1335" s="8"/>
      <c r="I1335" s="8"/>
    </row>
    <row r="1336" customFormat="false" ht="15.75" hidden="false" customHeight="false" outlineLevel="0" collapsed="false">
      <c r="A1336" s="8"/>
      <c r="B1336" s="8"/>
      <c r="C1336" s="8"/>
      <c r="D1336" s="8"/>
      <c r="E1336" s="8"/>
      <c r="F1336" s="8"/>
      <c r="G1336" s="8"/>
      <c r="H1336" s="8"/>
      <c r="I1336" s="8"/>
    </row>
    <row r="1337" customFormat="false" ht="15.75" hidden="false" customHeight="false" outlineLevel="0" collapsed="false">
      <c r="A1337" s="8"/>
      <c r="B1337" s="8"/>
      <c r="C1337" s="8"/>
      <c r="D1337" s="8"/>
      <c r="E1337" s="8"/>
      <c r="F1337" s="8"/>
      <c r="G1337" s="8"/>
      <c r="H1337" s="8"/>
      <c r="I1337" s="8"/>
    </row>
    <row r="1338" customFormat="false" ht="15.75" hidden="false" customHeight="false" outlineLevel="0" collapsed="false">
      <c r="A1338" s="8"/>
      <c r="B1338" s="8"/>
      <c r="C1338" s="8"/>
      <c r="D1338" s="8"/>
      <c r="E1338" s="8"/>
      <c r="F1338" s="8"/>
      <c r="G1338" s="8"/>
      <c r="H1338" s="8"/>
      <c r="I1338" s="8"/>
    </row>
    <row r="1339" customFormat="false" ht="15.75" hidden="false" customHeight="false" outlineLevel="0" collapsed="false">
      <c r="A1339" s="8"/>
      <c r="B1339" s="8"/>
      <c r="C1339" s="8"/>
      <c r="D1339" s="8"/>
      <c r="E1339" s="8"/>
      <c r="F1339" s="8"/>
      <c r="G1339" s="8"/>
      <c r="H1339" s="8"/>
      <c r="I1339" s="8"/>
    </row>
    <row r="1340" customFormat="false" ht="15.75" hidden="false" customHeight="false" outlineLevel="0" collapsed="false">
      <c r="A1340" s="8"/>
      <c r="B1340" s="8"/>
      <c r="C1340" s="8"/>
      <c r="D1340" s="8"/>
      <c r="E1340" s="8"/>
      <c r="F1340" s="8"/>
      <c r="G1340" s="8"/>
      <c r="H1340" s="8"/>
      <c r="I1340" s="8"/>
    </row>
    <row r="1341" customFormat="false" ht="15.75" hidden="false" customHeight="false" outlineLevel="0" collapsed="false">
      <c r="A1341" s="8"/>
      <c r="B1341" s="8"/>
      <c r="C1341" s="8"/>
      <c r="D1341" s="8"/>
      <c r="E1341" s="8"/>
      <c r="F1341" s="8"/>
      <c r="G1341" s="8"/>
      <c r="H1341" s="8"/>
      <c r="I1341" s="8"/>
    </row>
    <row r="1342" customFormat="false" ht="15.75" hidden="false" customHeight="false" outlineLevel="0" collapsed="false">
      <c r="A1342" s="8"/>
      <c r="B1342" s="8"/>
      <c r="C1342" s="8"/>
      <c r="D1342" s="8"/>
      <c r="E1342" s="8"/>
      <c r="F1342" s="8"/>
      <c r="G1342" s="8"/>
      <c r="H1342" s="8"/>
      <c r="I1342" s="8"/>
    </row>
    <row r="1343" customFormat="false" ht="15.75" hidden="false" customHeight="false" outlineLevel="0" collapsed="false">
      <c r="A1343" s="8"/>
      <c r="B1343" s="8"/>
      <c r="C1343" s="8"/>
      <c r="D1343" s="8"/>
      <c r="E1343" s="8"/>
      <c r="F1343" s="8"/>
      <c r="G1343" s="8"/>
      <c r="H1343" s="8"/>
      <c r="I1343" s="8"/>
    </row>
    <row r="1344" customFormat="false" ht="15.75" hidden="false" customHeight="false" outlineLevel="0" collapsed="false">
      <c r="A1344" s="8"/>
      <c r="B1344" s="8"/>
      <c r="C1344" s="8"/>
      <c r="D1344" s="8"/>
      <c r="E1344" s="8"/>
      <c r="F1344" s="8"/>
      <c r="G1344" s="8"/>
      <c r="H1344" s="8"/>
      <c r="I1344" s="8"/>
    </row>
    <row r="1345" customFormat="false" ht="15.75" hidden="false" customHeight="false" outlineLevel="0" collapsed="false">
      <c r="A1345" s="8"/>
      <c r="B1345" s="8"/>
      <c r="C1345" s="8"/>
      <c r="D1345" s="8"/>
      <c r="E1345" s="8"/>
      <c r="F1345" s="8"/>
      <c r="G1345" s="8"/>
      <c r="H1345" s="8"/>
      <c r="I1345" s="8"/>
    </row>
    <row r="1346" customFormat="false" ht="15.75" hidden="false" customHeight="false" outlineLevel="0" collapsed="false">
      <c r="A1346" s="8"/>
      <c r="B1346" s="8"/>
      <c r="C1346" s="8"/>
      <c r="D1346" s="8"/>
      <c r="E1346" s="8"/>
      <c r="F1346" s="8"/>
      <c r="G1346" s="8"/>
      <c r="H1346" s="8"/>
      <c r="I1346" s="8"/>
    </row>
    <row r="1347" customFormat="false" ht="15.75" hidden="false" customHeight="false" outlineLevel="0" collapsed="false">
      <c r="A1347" s="8"/>
      <c r="B1347" s="8"/>
      <c r="C1347" s="8"/>
      <c r="D1347" s="8"/>
      <c r="E1347" s="8"/>
      <c r="F1347" s="8"/>
      <c r="G1347" s="8"/>
      <c r="H1347" s="8"/>
      <c r="I1347" s="8"/>
    </row>
    <row r="1348" customFormat="false" ht="15.75" hidden="false" customHeight="false" outlineLevel="0" collapsed="false">
      <c r="A1348" s="8"/>
      <c r="B1348" s="8"/>
      <c r="C1348" s="8"/>
      <c r="D1348" s="8"/>
      <c r="E1348" s="8"/>
      <c r="F1348" s="8"/>
      <c r="G1348" s="8"/>
      <c r="H1348" s="8"/>
      <c r="I1348" s="8"/>
    </row>
    <row r="1349" customFormat="false" ht="15.75" hidden="false" customHeight="false" outlineLevel="0" collapsed="false">
      <c r="A1349" s="8"/>
      <c r="B1349" s="8"/>
      <c r="C1349" s="8"/>
      <c r="D1349" s="8"/>
      <c r="E1349" s="8"/>
      <c r="F1349" s="8"/>
      <c r="G1349" s="8"/>
      <c r="H1349" s="8"/>
      <c r="I1349" s="8"/>
    </row>
    <row r="1350" customFormat="false" ht="15.75" hidden="false" customHeight="false" outlineLevel="0" collapsed="false">
      <c r="A1350" s="8"/>
      <c r="B1350" s="8"/>
      <c r="C1350" s="8"/>
      <c r="D1350" s="8"/>
      <c r="E1350" s="8"/>
      <c r="F1350" s="8"/>
      <c r="G1350" s="8"/>
      <c r="H1350" s="8"/>
      <c r="I1350" s="8"/>
    </row>
    <row r="1351" customFormat="false" ht="15.75" hidden="false" customHeight="false" outlineLevel="0" collapsed="false">
      <c r="A1351" s="8"/>
      <c r="B1351" s="8"/>
      <c r="C1351" s="8"/>
      <c r="D1351" s="8"/>
      <c r="E1351" s="8"/>
      <c r="F1351" s="8"/>
      <c r="G1351" s="8"/>
      <c r="H1351" s="8"/>
      <c r="I1351" s="8"/>
    </row>
    <row r="1352" customFormat="false" ht="15.75" hidden="false" customHeight="false" outlineLevel="0" collapsed="false">
      <c r="A1352" s="8"/>
      <c r="B1352" s="8"/>
      <c r="C1352" s="8"/>
      <c r="D1352" s="8"/>
      <c r="E1352" s="8"/>
      <c r="F1352" s="8"/>
      <c r="G1352" s="8"/>
      <c r="H1352" s="8"/>
      <c r="I1352" s="8"/>
    </row>
    <row r="1353" customFormat="false" ht="15.75" hidden="false" customHeight="false" outlineLevel="0" collapsed="false">
      <c r="A1353" s="8"/>
      <c r="B1353" s="8"/>
      <c r="C1353" s="8"/>
      <c r="D1353" s="8"/>
      <c r="E1353" s="8"/>
      <c r="F1353" s="8"/>
      <c r="G1353" s="8"/>
      <c r="H1353" s="8"/>
      <c r="I1353" s="8"/>
    </row>
    <row r="1354" customFormat="false" ht="15.75" hidden="false" customHeight="false" outlineLevel="0" collapsed="false">
      <c r="A1354" s="8"/>
      <c r="B1354" s="8"/>
      <c r="C1354" s="8"/>
      <c r="D1354" s="8"/>
      <c r="E1354" s="8"/>
      <c r="F1354" s="8"/>
      <c r="G1354" s="8"/>
      <c r="H1354" s="8"/>
      <c r="I1354" s="8"/>
    </row>
    <row r="1355" customFormat="false" ht="15.75" hidden="false" customHeight="false" outlineLevel="0" collapsed="false">
      <c r="A1355" s="8"/>
      <c r="B1355" s="8"/>
      <c r="C1355" s="8"/>
      <c r="D1355" s="8"/>
      <c r="E1355" s="8"/>
      <c r="F1355" s="8"/>
      <c r="G1355" s="8"/>
      <c r="H1355" s="8"/>
      <c r="I1355" s="8"/>
    </row>
    <row r="1356" customFormat="false" ht="15.75" hidden="false" customHeight="false" outlineLevel="0" collapsed="false">
      <c r="A1356" s="8"/>
      <c r="B1356" s="8"/>
      <c r="C1356" s="8"/>
      <c r="D1356" s="8"/>
      <c r="E1356" s="8"/>
      <c r="F1356" s="8"/>
      <c r="G1356" s="8"/>
      <c r="H1356" s="8"/>
      <c r="I1356" s="8"/>
    </row>
    <row r="1357" customFormat="false" ht="15.75" hidden="false" customHeight="false" outlineLevel="0" collapsed="false">
      <c r="A1357" s="8"/>
      <c r="B1357" s="8"/>
      <c r="C1357" s="8"/>
      <c r="D1357" s="8"/>
      <c r="E1357" s="8"/>
      <c r="F1357" s="8"/>
      <c r="G1357" s="8"/>
      <c r="H1357" s="8"/>
      <c r="I1357" s="8"/>
    </row>
    <row r="1358" customFormat="false" ht="15.75" hidden="false" customHeight="false" outlineLevel="0" collapsed="false">
      <c r="A1358" s="8"/>
      <c r="B1358" s="8"/>
      <c r="C1358" s="8"/>
      <c r="D1358" s="8"/>
      <c r="E1358" s="8"/>
      <c r="F1358" s="8"/>
      <c r="G1358" s="8"/>
      <c r="H1358" s="8"/>
      <c r="I1358" s="8"/>
    </row>
    <row r="1359" customFormat="false" ht="15.75" hidden="false" customHeight="false" outlineLevel="0" collapsed="false">
      <c r="A1359" s="8"/>
      <c r="B1359" s="8"/>
      <c r="C1359" s="8"/>
      <c r="D1359" s="8"/>
      <c r="E1359" s="8"/>
      <c r="F1359" s="8"/>
      <c r="G1359" s="8"/>
      <c r="H1359" s="8"/>
      <c r="I1359" s="8"/>
    </row>
    <row r="1360" customFormat="false" ht="15.75" hidden="false" customHeight="false" outlineLevel="0" collapsed="false">
      <c r="A1360" s="8"/>
      <c r="B1360" s="8"/>
      <c r="C1360" s="8"/>
      <c r="D1360" s="8"/>
      <c r="E1360" s="8"/>
      <c r="F1360" s="8"/>
      <c r="G1360" s="8"/>
      <c r="H1360" s="8"/>
      <c r="I1360" s="8"/>
    </row>
    <row r="1361" customFormat="false" ht="15.75" hidden="false" customHeight="false" outlineLevel="0" collapsed="false">
      <c r="A1361" s="8"/>
      <c r="B1361" s="8"/>
      <c r="C1361" s="8"/>
      <c r="D1361" s="8"/>
      <c r="E1361" s="8"/>
      <c r="F1361" s="8"/>
      <c r="G1361" s="8"/>
      <c r="H1361" s="8"/>
      <c r="I1361" s="8"/>
    </row>
    <row r="1362" customFormat="false" ht="15.75" hidden="false" customHeight="false" outlineLevel="0" collapsed="false">
      <c r="A1362" s="8"/>
      <c r="B1362" s="8"/>
      <c r="C1362" s="8"/>
      <c r="D1362" s="8"/>
      <c r="E1362" s="8"/>
      <c r="F1362" s="8"/>
      <c r="G1362" s="8"/>
      <c r="H1362" s="8"/>
      <c r="I1362" s="8"/>
    </row>
    <row r="1363" customFormat="false" ht="15.75" hidden="false" customHeight="false" outlineLevel="0" collapsed="false">
      <c r="A1363" s="8"/>
      <c r="B1363" s="8"/>
      <c r="C1363" s="8"/>
      <c r="D1363" s="8"/>
      <c r="E1363" s="8"/>
      <c r="F1363" s="8"/>
      <c r="G1363" s="8"/>
      <c r="H1363" s="8"/>
      <c r="I1363" s="8"/>
    </row>
    <row r="1364" customFormat="false" ht="15.75" hidden="false" customHeight="false" outlineLevel="0" collapsed="false">
      <c r="A1364" s="8"/>
      <c r="B1364" s="8"/>
      <c r="C1364" s="8"/>
      <c r="D1364" s="8"/>
      <c r="E1364" s="8"/>
      <c r="F1364" s="8"/>
      <c r="G1364" s="8"/>
      <c r="H1364" s="8"/>
      <c r="I1364" s="8"/>
    </row>
    <row r="1365" customFormat="false" ht="15.75" hidden="false" customHeight="false" outlineLevel="0" collapsed="false">
      <c r="A1365" s="8"/>
      <c r="B1365" s="8"/>
      <c r="C1365" s="8"/>
      <c r="D1365" s="8"/>
      <c r="E1365" s="8"/>
      <c r="F1365" s="8"/>
      <c r="G1365" s="8"/>
      <c r="H1365" s="8"/>
      <c r="I1365" s="8"/>
    </row>
    <row r="1366" customFormat="false" ht="15.75" hidden="false" customHeight="false" outlineLevel="0" collapsed="false">
      <c r="A1366" s="8"/>
      <c r="B1366" s="8"/>
      <c r="C1366" s="8"/>
      <c r="D1366" s="8"/>
      <c r="E1366" s="8"/>
      <c r="F1366" s="8"/>
      <c r="G1366" s="8"/>
      <c r="H1366" s="8"/>
      <c r="I1366" s="8"/>
    </row>
    <row r="1367" customFormat="false" ht="15.75" hidden="false" customHeight="false" outlineLevel="0" collapsed="false">
      <c r="A1367" s="8"/>
      <c r="B1367" s="8"/>
      <c r="C1367" s="8"/>
      <c r="D1367" s="8"/>
      <c r="E1367" s="8"/>
      <c r="F1367" s="8"/>
      <c r="G1367" s="8"/>
      <c r="H1367" s="8"/>
      <c r="I1367" s="8"/>
    </row>
    <row r="1368" customFormat="false" ht="15.75" hidden="false" customHeight="false" outlineLevel="0" collapsed="false">
      <c r="A1368" s="8"/>
      <c r="B1368" s="8"/>
      <c r="C1368" s="8"/>
      <c r="D1368" s="8"/>
      <c r="E1368" s="8"/>
      <c r="F1368" s="8"/>
      <c r="G1368" s="8"/>
      <c r="H1368" s="8"/>
      <c r="I1368" s="8"/>
    </row>
    <row r="1369" customFormat="false" ht="15.75" hidden="false" customHeight="false" outlineLevel="0" collapsed="false">
      <c r="A1369" s="8"/>
      <c r="B1369" s="8"/>
      <c r="C1369" s="8"/>
      <c r="D1369" s="8"/>
      <c r="E1369" s="8"/>
      <c r="F1369" s="8"/>
      <c r="G1369" s="8"/>
      <c r="H1369" s="8"/>
      <c r="I1369" s="8"/>
    </row>
    <row r="1370" customFormat="false" ht="15.75" hidden="false" customHeight="false" outlineLevel="0" collapsed="false">
      <c r="A1370" s="8"/>
      <c r="B1370" s="8"/>
      <c r="C1370" s="8"/>
      <c r="D1370" s="8"/>
      <c r="E1370" s="8"/>
      <c r="F1370" s="8"/>
      <c r="G1370" s="8"/>
      <c r="H1370" s="8"/>
      <c r="I1370" s="8"/>
    </row>
    <row r="1371" customFormat="false" ht="15.75" hidden="false" customHeight="false" outlineLevel="0" collapsed="false">
      <c r="A1371" s="8"/>
      <c r="B1371" s="8"/>
      <c r="C1371" s="8"/>
      <c r="D1371" s="8"/>
      <c r="E1371" s="8"/>
      <c r="F1371" s="8"/>
      <c r="G1371" s="8"/>
      <c r="H1371" s="8"/>
      <c r="I1371" s="8"/>
    </row>
    <row r="1372" customFormat="false" ht="15.75" hidden="false" customHeight="false" outlineLevel="0" collapsed="false">
      <c r="A1372" s="8"/>
      <c r="B1372" s="8"/>
      <c r="C1372" s="8"/>
      <c r="D1372" s="8"/>
      <c r="E1372" s="8"/>
      <c r="F1372" s="8"/>
      <c r="G1372" s="8"/>
      <c r="H1372" s="8"/>
      <c r="I1372" s="8"/>
    </row>
    <row r="1373" customFormat="false" ht="15.75" hidden="false" customHeight="false" outlineLevel="0" collapsed="false">
      <c r="A1373" s="8"/>
      <c r="B1373" s="8"/>
      <c r="C1373" s="8"/>
      <c r="D1373" s="8"/>
      <c r="E1373" s="8"/>
      <c r="F1373" s="8"/>
      <c r="G1373" s="8"/>
      <c r="H1373" s="8"/>
      <c r="I1373" s="8"/>
    </row>
    <row r="1374" customFormat="false" ht="15.75" hidden="false" customHeight="false" outlineLevel="0" collapsed="false">
      <c r="A1374" s="8"/>
      <c r="B1374" s="8"/>
      <c r="C1374" s="8"/>
      <c r="D1374" s="8"/>
      <c r="E1374" s="8"/>
      <c r="F1374" s="8"/>
      <c r="G1374" s="8"/>
      <c r="H1374" s="8"/>
      <c r="I1374" s="8"/>
    </row>
    <row r="1375" customFormat="false" ht="15.75" hidden="false" customHeight="false" outlineLevel="0" collapsed="false">
      <c r="A1375" s="8"/>
      <c r="B1375" s="8"/>
      <c r="C1375" s="8"/>
      <c r="D1375" s="8"/>
      <c r="E1375" s="8"/>
      <c r="F1375" s="8"/>
      <c r="G1375" s="8"/>
      <c r="H1375" s="8"/>
      <c r="I1375" s="8"/>
    </row>
    <row r="1376" customFormat="false" ht="15.75" hidden="false" customHeight="false" outlineLevel="0" collapsed="false">
      <c r="A1376" s="8"/>
      <c r="B1376" s="8"/>
      <c r="C1376" s="8"/>
      <c r="D1376" s="8"/>
      <c r="E1376" s="8"/>
      <c r="F1376" s="8"/>
      <c r="G1376" s="8"/>
      <c r="H1376" s="8"/>
      <c r="I1376" s="8"/>
    </row>
    <row r="1377" customFormat="false" ht="15.75" hidden="false" customHeight="false" outlineLevel="0" collapsed="false">
      <c r="A1377" s="8"/>
      <c r="B1377" s="8"/>
      <c r="C1377" s="8"/>
      <c r="D1377" s="8"/>
      <c r="E1377" s="8"/>
      <c r="F1377" s="8"/>
      <c r="G1377" s="8"/>
      <c r="H1377" s="8"/>
      <c r="I1377" s="8"/>
    </row>
    <row r="1378" customFormat="false" ht="15.75" hidden="false" customHeight="false" outlineLevel="0" collapsed="false">
      <c r="A1378" s="8"/>
      <c r="B1378" s="8"/>
      <c r="C1378" s="8"/>
      <c r="D1378" s="8"/>
      <c r="E1378" s="8"/>
      <c r="F1378" s="8"/>
      <c r="G1378" s="8"/>
      <c r="H1378" s="8"/>
      <c r="I1378" s="8"/>
    </row>
    <row r="1379" customFormat="false" ht="15.75" hidden="false" customHeight="false" outlineLevel="0" collapsed="false">
      <c r="A1379" s="8"/>
      <c r="B1379" s="8"/>
      <c r="C1379" s="8"/>
      <c r="D1379" s="8"/>
      <c r="E1379" s="8"/>
      <c r="F1379" s="8"/>
      <c r="G1379" s="8"/>
      <c r="H1379" s="8"/>
      <c r="I1379" s="8"/>
    </row>
    <row r="1380" customFormat="false" ht="15.75" hidden="false" customHeight="false" outlineLevel="0" collapsed="false">
      <c r="A1380" s="8"/>
      <c r="B1380" s="8"/>
      <c r="C1380" s="8"/>
      <c r="D1380" s="8"/>
      <c r="E1380" s="8"/>
      <c r="F1380" s="8"/>
      <c r="G1380" s="8"/>
      <c r="H1380" s="8"/>
      <c r="I1380" s="8"/>
    </row>
    <row r="1381" customFormat="false" ht="15.75" hidden="false" customHeight="false" outlineLevel="0" collapsed="false">
      <c r="A1381" s="8"/>
      <c r="B1381" s="8"/>
      <c r="C1381" s="8"/>
      <c r="D1381" s="8"/>
      <c r="E1381" s="8"/>
      <c r="F1381" s="8"/>
      <c r="G1381" s="8"/>
      <c r="H1381" s="8"/>
      <c r="I1381" s="8"/>
    </row>
    <row r="1382" customFormat="false" ht="15.75" hidden="false" customHeight="false" outlineLevel="0" collapsed="false">
      <c r="A1382" s="8"/>
      <c r="B1382" s="8"/>
      <c r="C1382" s="8"/>
      <c r="D1382" s="8"/>
      <c r="E1382" s="8"/>
      <c r="F1382" s="8"/>
      <c r="G1382" s="8"/>
      <c r="H1382" s="8"/>
      <c r="I1382" s="8"/>
    </row>
    <row r="1383" customFormat="false" ht="15.75" hidden="false" customHeight="false" outlineLevel="0" collapsed="false">
      <c r="A1383" s="8"/>
      <c r="B1383" s="8"/>
      <c r="C1383" s="8"/>
      <c r="D1383" s="8"/>
      <c r="E1383" s="8"/>
      <c r="F1383" s="8"/>
      <c r="G1383" s="8"/>
      <c r="H1383" s="8"/>
      <c r="I1383" s="8"/>
    </row>
    <row r="1384" customFormat="false" ht="15.75" hidden="false" customHeight="false" outlineLevel="0" collapsed="false">
      <c r="A1384" s="8"/>
      <c r="B1384" s="8"/>
      <c r="C1384" s="8"/>
      <c r="D1384" s="8"/>
      <c r="E1384" s="8"/>
      <c r="F1384" s="8"/>
      <c r="G1384" s="8"/>
      <c r="H1384" s="8"/>
      <c r="I1384" s="8"/>
    </row>
    <row r="1385" customFormat="false" ht="15.75" hidden="false" customHeight="false" outlineLevel="0" collapsed="false">
      <c r="A1385" s="8"/>
      <c r="B1385" s="8"/>
      <c r="C1385" s="8"/>
      <c r="D1385" s="8"/>
      <c r="E1385" s="8"/>
      <c r="F1385" s="8"/>
      <c r="G1385" s="8"/>
      <c r="H1385" s="8"/>
      <c r="I1385" s="8"/>
    </row>
    <row r="1386" customFormat="false" ht="15.75" hidden="false" customHeight="false" outlineLevel="0" collapsed="false">
      <c r="A1386" s="8"/>
      <c r="B1386" s="8"/>
      <c r="C1386" s="8"/>
      <c r="D1386" s="8"/>
      <c r="E1386" s="8"/>
      <c r="F1386" s="8"/>
      <c r="G1386" s="8"/>
      <c r="H1386" s="8"/>
      <c r="I1386" s="8"/>
    </row>
    <row r="1387" customFormat="false" ht="15.75" hidden="false" customHeight="false" outlineLevel="0" collapsed="false">
      <c r="A1387" s="8"/>
      <c r="B1387" s="8"/>
      <c r="C1387" s="8"/>
      <c r="D1387" s="8"/>
      <c r="E1387" s="8"/>
      <c r="F1387" s="8"/>
      <c r="G1387" s="8"/>
      <c r="H1387" s="8"/>
      <c r="I1387" s="8"/>
    </row>
    <row r="1388" customFormat="false" ht="15.75" hidden="false" customHeight="false" outlineLevel="0" collapsed="false">
      <c r="A1388" s="8"/>
      <c r="B1388" s="8"/>
      <c r="C1388" s="8"/>
      <c r="D1388" s="8"/>
      <c r="E1388" s="8"/>
      <c r="F1388" s="8"/>
      <c r="G1388" s="8"/>
      <c r="H1388" s="8"/>
      <c r="I1388" s="8"/>
    </row>
    <row r="1389" customFormat="false" ht="15.75" hidden="false" customHeight="false" outlineLevel="0" collapsed="false">
      <c r="A1389" s="8"/>
      <c r="B1389" s="8"/>
      <c r="C1389" s="8"/>
      <c r="D1389" s="8"/>
      <c r="E1389" s="8"/>
      <c r="F1389" s="8"/>
      <c r="G1389" s="8"/>
      <c r="H1389" s="8"/>
      <c r="I1389" s="8"/>
    </row>
    <row r="1390" customFormat="false" ht="15.75" hidden="false" customHeight="false" outlineLevel="0" collapsed="false">
      <c r="A1390" s="8"/>
      <c r="B1390" s="8"/>
      <c r="C1390" s="8"/>
      <c r="D1390" s="8"/>
      <c r="E1390" s="8"/>
      <c r="F1390" s="8"/>
      <c r="G1390" s="8"/>
      <c r="H1390" s="8"/>
      <c r="I1390" s="8"/>
    </row>
    <row r="1391" customFormat="false" ht="15.75" hidden="false" customHeight="false" outlineLevel="0" collapsed="false">
      <c r="A1391" s="8"/>
      <c r="B1391" s="8"/>
      <c r="C1391" s="8"/>
      <c r="D1391" s="8"/>
      <c r="E1391" s="8"/>
      <c r="F1391" s="8"/>
      <c r="G1391" s="8"/>
      <c r="H1391" s="8"/>
      <c r="I1391" s="8"/>
    </row>
    <row r="1392" customFormat="false" ht="15.75" hidden="false" customHeight="false" outlineLevel="0" collapsed="false">
      <c r="A1392" s="8"/>
      <c r="B1392" s="8"/>
      <c r="C1392" s="8"/>
      <c r="D1392" s="8"/>
      <c r="E1392" s="8"/>
      <c r="F1392" s="8"/>
      <c r="G1392" s="8"/>
      <c r="H1392" s="8"/>
      <c r="I1392" s="8"/>
    </row>
    <row r="1393" customFormat="false" ht="15.75" hidden="false" customHeight="false" outlineLevel="0" collapsed="false">
      <c r="A1393" s="8"/>
      <c r="B1393" s="8"/>
      <c r="C1393" s="8"/>
      <c r="D1393" s="8"/>
      <c r="E1393" s="8"/>
      <c r="F1393" s="8"/>
      <c r="G1393" s="8"/>
      <c r="H1393" s="8"/>
      <c r="I1393" s="8"/>
    </row>
    <row r="1394" customFormat="false" ht="15.75" hidden="false" customHeight="false" outlineLevel="0" collapsed="false">
      <c r="A1394" s="8"/>
      <c r="B1394" s="8"/>
      <c r="C1394" s="8"/>
      <c r="D1394" s="8"/>
      <c r="E1394" s="8"/>
      <c r="F1394" s="8"/>
      <c r="G1394" s="8"/>
      <c r="H1394" s="8"/>
      <c r="I1394" s="8"/>
    </row>
    <row r="1395" customFormat="false" ht="15.75" hidden="false" customHeight="false" outlineLevel="0" collapsed="false">
      <c r="A1395" s="8"/>
      <c r="B1395" s="8"/>
      <c r="C1395" s="8"/>
      <c r="D1395" s="8"/>
      <c r="E1395" s="8"/>
      <c r="F1395" s="8"/>
      <c r="G1395" s="8"/>
      <c r="H1395" s="8"/>
      <c r="I1395" s="8"/>
    </row>
    <row r="1396" customFormat="false" ht="15.75" hidden="false" customHeight="false" outlineLevel="0" collapsed="false">
      <c r="A1396" s="8"/>
      <c r="B1396" s="8"/>
      <c r="C1396" s="8"/>
      <c r="D1396" s="8"/>
      <c r="E1396" s="8"/>
      <c r="F1396" s="8"/>
      <c r="G1396" s="8"/>
      <c r="H1396" s="8"/>
      <c r="I1396" s="8"/>
    </row>
    <row r="1397" customFormat="false" ht="15.75" hidden="false" customHeight="false" outlineLevel="0" collapsed="false">
      <c r="A1397" s="8"/>
      <c r="B1397" s="8"/>
      <c r="C1397" s="8"/>
      <c r="D1397" s="8"/>
      <c r="E1397" s="8"/>
      <c r="F1397" s="8"/>
      <c r="G1397" s="8"/>
      <c r="H1397" s="8"/>
      <c r="I1397" s="8"/>
    </row>
    <row r="1398" customFormat="false" ht="15.75" hidden="false" customHeight="false" outlineLevel="0" collapsed="false">
      <c r="A1398" s="8"/>
      <c r="B1398" s="8"/>
      <c r="C1398" s="8"/>
      <c r="D1398" s="8"/>
      <c r="E1398" s="8"/>
      <c r="F1398" s="8"/>
      <c r="G1398" s="8"/>
      <c r="H1398" s="8"/>
      <c r="I1398" s="8"/>
    </row>
    <row r="1399" customFormat="false" ht="15.75" hidden="false" customHeight="false" outlineLevel="0" collapsed="false">
      <c r="A1399" s="8"/>
      <c r="B1399" s="8"/>
      <c r="C1399" s="8"/>
      <c r="D1399" s="8"/>
      <c r="E1399" s="8"/>
      <c r="F1399" s="8"/>
      <c r="G1399" s="8"/>
      <c r="H1399" s="8"/>
      <c r="I1399" s="8"/>
    </row>
    <row r="1400" customFormat="false" ht="15.75" hidden="false" customHeight="false" outlineLevel="0" collapsed="false">
      <c r="A1400" s="8"/>
      <c r="B1400" s="8"/>
      <c r="C1400" s="8"/>
      <c r="D1400" s="8"/>
      <c r="E1400" s="8"/>
      <c r="F1400" s="8"/>
      <c r="G1400" s="8"/>
      <c r="H1400" s="8"/>
      <c r="I1400" s="8"/>
    </row>
    <row r="1401" customFormat="false" ht="15.75" hidden="false" customHeight="false" outlineLevel="0" collapsed="false">
      <c r="A1401" s="8"/>
      <c r="B1401" s="8"/>
      <c r="C1401" s="8"/>
      <c r="D1401" s="8"/>
      <c r="E1401" s="8"/>
      <c r="F1401" s="8"/>
      <c r="G1401" s="8"/>
      <c r="H1401" s="8"/>
      <c r="I1401" s="8"/>
    </row>
    <row r="1402" customFormat="false" ht="15.75" hidden="false" customHeight="false" outlineLevel="0" collapsed="false">
      <c r="A1402" s="8"/>
      <c r="B1402" s="8"/>
      <c r="C1402" s="8"/>
      <c r="D1402" s="8"/>
      <c r="E1402" s="8"/>
      <c r="F1402" s="8"/>
      <c r="G1402" s="8"/>
      <c r="H1402" s="8"/>
      <c r="I1402" s="8"/>
    </row>
    <row r="1403" customFormat="false" ht="15.75" hidden="false" customHeight="false" outlineLevel="0" collapsed="false">
      <c r="A1403" s="8"/>
      <c r="B1403" s="8"/>
      <c r="C1403" s="8"/>
      <c r="D1403" s="8"/>
      <c r="E1403" s="8"/>
      <c r="F1403" s="8"/>
      <c r="G1403" s="8"/>
      <c r="H1403" s="8"/>
      <c r="I1403" s="8"/>
    </row>
    <row r="1404" customFormat="false" ht="15.75" hidden="false" customHeight="false" outlineLevel="0" collapsed="false">
      <c r="A1404" s="8"/>
      <c r="B1404" s="8"/>
      <c r="C1404" s="8"/>
      <c r="D1404" s="8"/>
      <c r="E1404" s="8"/>
      <c r="F1404" s="8"/>
      <c r="G1404" s="8"/>
      <c r="H1404" s="8"/>
      <c r="I1404" s="8"/>
    </row>
    <row r="1405" customFormat="false" ht="15.75" hidden="false" customHeight="false" outlineLevel="0" collapsed="false">
      <c r="A1405" s="8"/>
      <c r="B1405" s="8"/>
      <c r="C1405" s="8"/>
      <c r="D1405" s="8"/>
      <c r="E1405" s="8"/>
      <c r="F1405" s="8"/>
      <c r="G1405" s="8"/>
      <c r="H1405" s="8"/>
      <c r="I1405" s="8"/>
    </row>
    <row r="1406" customFormat="false" ht="15.75" hidden="false" customHeight="false" outlineLevel="0" collapsed="false">
      <c r="A1406" s="8"/>
      <c r="B1406" s="8"/>
      <c r="C1406" s="8"/>
      <c r="D1406" s="8"/>
      <c r="E1406" s="8"/>
      <c r="F1406" s="8"/>
      <c r="G1406" s="8"/>
      <c r="H1406" s="8"/>
      <c r="I1406" s="8"/>
    </row>
    <row r="1407" customFormat="false" ht="15.75" hidden="false" customHeight="false" outlineLevel="0" collapsed="false">
      <c r="A1407" s="8"/>
      <c r="B1407" s="8"/>
      <c r="C1407" s="8"/>
      <c r="D1407" s="8"/>
      <c r="E1407" s="8"/>
      <c r="F1407" s="8"/>
      <c r="G1407" s="8"/>
      <c r="H1407" s="8"/>
      <c r="I1407" s="8"/>
    </row>
    <row r="1408" customFormat="false" ht="15.75" hidden="false" customHeight="false" outlineLevel="0" collapsed="false">
      <c r="A1408" s="8"/>
      <c r="B1408" s="8"/>
      <c r="C1408" s="8"/>
      <c r="D1408" s="8"/>
      <c r="E1408" s="8"/>
      <c r="F1408" s="8"/>
      <c r="G1408" s="8"/>
      <c r="H1408" s="8"/>
      <c r="I1408" s="8"/>
    </row>
    <row r="1409" customFormat="false" ht="15.75" hidden="false" customHeight="false" outlineLevel="0" collapsed="false">
      <c r="A1409" s="8"/>
      <c r="B1409" s="8"/>
      <c r="C1409" s="8"/>
      <c r="D1409" s="8"/>
      <c r="E1409" s="8"/>
      <c r="F1409" s="8"/>
      <c r="G1409" s="8"/>
      <c r="H1409" s="8"/>
      <c r="I1409" s="8"/>
    </row>
    <row r="1410" customFormat="false" ht="15.75" hidden="false" customHeight="false" outlineLevel="0" collapsed="false">
      <c r="A1410" s="8"/>
      <c r="B1410" s="8"/>
      <c r="C1410" s="8"/>
      <c r="D1410" s="8"/>
      <c r="E1410" s="8"/>
      <c r="F1410" s="8"/>
      <c r="G1410" s="8"/>
      <c r="H1410" s="8"/>
      <c r="I1410" s="8"/>
    </row>
    <row r="1411" customFormat="false" ht="15.75" hidden="false" customHeight="false" outlineLevel="0" collapsed="false">
      <c r="A1411" s="8"/>
      <c r="B1411" s="8"/>
      <c r="C1411" s="8"/>
      <c r="D1411" s="8"/>
      <c r="E1411" s="8"/>
      <c r="F1411" s="8"/>
      <c r="G1411" s="8"/>
      <c r="H1411" s="8"/>
      <c r="I1411" s="8"/>
    </row>
    <row r="1412" customFormat="false" ht="15.75" hidden="false" customHeight="false" outlineLevel="0" collapsed="false">
      <c r="A1412" s="8"/>
      <c r="B1412" s="8"/>
      <c r="C1412" s="8"/>
      <c r="D1412" s="8"/>
      <c r="E1412" s="8"/>
      <c r="F1412" s="8"/>
      <c r="G1412" s="8"/>
      <c r="H1412" s="8"/>
      <c r="I1412" s="8"/>
    </row>
    <row r="1413" customFormat="false" ht="15.75" hidden="false" customHeight="false" outlineLevel="0" collapsed="false">
      <c r="A1413" s="8"/>
      <c r="B1413" s="8"/>
      <c r="C1413" s="8"/>
      <c r="D1413" s="8"/>
      <c r="E1413" s="8"/>
      <c r="F1413" s="8"/>
      <c r="G1413" s="8"/>
      <c r="H1413" s="8"/>
      <c r="I1413" s="8"/>
    </row>
    <row r="1414" customFormat="false" ht="15.75" hidden="false" customHeight="false" outlineLevel="0" collapsed="false">
      <c r="A1414" s="8"/>
      <c r="B1414" s="8"/>
      <c r="C1414" s="8"/>
      <c r="D1414" s="8"/>
      <c r="E1414" s="8"/>
      <c r="F1414" s="8"/>
      <c r="G1414" s="8"/>
      <c r="H1414" s="8"/>
      <c r="I1414" s="8"/>
    </row>
    <row r="1415" customFormat="false" ht="15.75" hidden="false" customHeight="false" outlineLevel="0" collapsed="false">
      <c r="A1415" s="8"/>
      <c r="B1415" s="8"/>
      <c r="C1415" s="8"/>
      <c r="D1415" s="8"/>
      <c r="E1415" s="8"/>
      <c r="F1415" s="8"/>
      <c r="G1415" s="8"/>
      <c r="H1415" s="8"/>
      <c r="I1415" s="8"/>
    </row>
    <row r="1416" customFormat="false" ht="15.75" hidden="false" customHeight="false" outlineLevel="0" collapsed="false">
      <c r="A1416" s="8"/>
      <c r="B1416" s="8"/>
      <c r="C1416" s="8"/>
      <c r="D1416" s="8"/>
      <c r="E1416" s="8"/>
      <c r="F1416" s="8"/>
      <c r="G1416" s="8"/>
      <c r="H1416" s="8"/>
      <c r="I1416" s="8"/>
    </row>
    <row r="1417" customFormat="false" ht="15.75" hidden="false" customHeight="false" outlineLevel="0" collapsed="false">
      <c r="A1417" s="8"/>
      <c r="B1417" s="8"/>
      <c r="C1417" s="8"/>
      <c r="D1417" s="8"/>
      <c r="E1417" s="8"/>
      <c r="F1417" s="8"/>
      <c r="G1417" s="8"/>
      <c r="H1417" s="8"/>
      <c r="I1417" s="8"/>
    </row>
    <row r="1418" customFormat="false" ht="15.75" hidden="false" customHeight="false" outlineLevel="0" collapsed="false">
      <c r="A1418" s="8"/>
      <c r="B1418" s="8"/>
      <c r="C1418" s="8"/>
      <c r="D1418" s="8"/>
      <c r="E1418" s="8"/>
      <c r="F1418" s="8"/>
      <c r="G1418" s="8"/>
      <c r="H1418" s="8"/>
      <c r="I1418" s="8"/>
    </row>
    <row r="1419" customFormat="false" ht="15.75" hidden="false" customHeight="false" outlineLevel="0" collapsed="false">
      <c r="A1419" s="8"/>
      <c r="B1419" s="8"/>
      <c r="C1419" s="8"/>
      <c r="D1419" s="8"/>
      <c r="E1419" s="8"/>
      <c r="F1419" s="8"/>
      <c r="G1419" s="8"/>
      <c r="H1419" s="8"/>
      <c r="I1419" s="8"/>
    </row>
    <row r="1420" customFormat="false" ht="15.75" hidden="false" customHeight="false" outlineLevel="0" collapsed="false">
      <c r="A1420" s="8"/>
      <c r="B1420" s="8"/>
      <c r="C1420" s="8"/>
      <c r="D1420" s="8"/>
      <c r="E1420" s="8"/>
      <c r="F1420" s="8"/>
      <c r="G1420" s="8"/>
      <c r="H1420" s="8"/>
      <c r="I1420" s="8"/>
    </row>
    <row r="1421" customFormat="false" ht="15.75" hidden="false" customHeight="false" outlineLevel="0" collapsed="false">
      <c r="A1421" s="8"/>
      <c r="B1421" s="8"/>
      <c r="C1421" s="8"/>
      <c r="D1421" s="8"/>
      <c r="E1421" s="8"/>
      <c r="F1421" s="8"/>
      <c r="G1421" s="8"/>
      <c r="H1421" s="8"/>
      <c r="I1421" s="8"/>
    </row>
    <row r="1422" customFormat="false" ht="15.75" hidden="false" customHeight="false" outlineLevel="0" collapsed="false">
      <c r="A1422" s="8"/>
      <c r="B1422" s="8"/>
      <c r="C1422" s="8"/>
      <c r="D1422" s="8"/>
      <c r="E1422" s="8"/>
      <c r="F1422" s="8"/>
      <c r="G1422" s="8"/>
      <c r="H1422" s="8"/>
      <c r="I1422" s="8"/>
    </row>
    <row r="1423" customFormat="false" ht="15.75" hidden="false" customHeight="false" outlineLevel="0" collapsed="false">
      <c r="A1423" s="8"/>
      <c r="B1423" s="8"/>
      <c r="C1423" s="8"/>
      <c r="D1423" s="8"/>
      <c r="E1423" s="8"/>
      <c r="F1423" s="8"/>
      <c r="G1423" s="8"/>
      <c r="H1423" s="8"/>
      <c r="I1423" s="8"/>
    </row>
    <row r="1424" customFormat="false" ht="15.75" hidden="false" customHeight="false" outlineLevel="0" collapsed="false">
      <c r="A1424" s="8"/>
      <c r="B1424" s="8"/>
      <c r="C1424" s="8"/>
      <c r="D1424" s="8"/>
      <c r="E1424" s="8"/>
      <c r="F1424" s="8"/>
      <c r="G1424" s="8"/>
      <c r="H1424" s="8"/>
      <c r="I1424" s="8"/>
    </row>
    <row r="1425" customFormat="false" ht="15.75" hidden="false" customHeight="false" outlineLevel="0" collapsed="false">
      <c r="A1425" s="8"/>
      <c r="B1425" s="8"/>
      <c r="C1425" s="8"/>
      <c r="D1425" s="8"/>
      <c r="E1425" s="8"/>
      <c r="F1425" s="8"/>
      <c r="G1425" s="8"/>
      <c r="H1425" s="8"/>
      <c r="I1425" s="8"/>
    </row>
    <row r="1426" customFormat="false" ht="15.75" hidden="false" customHeight="false" outlineLevel="0" collapsed="false">
      <c r="A1426" s="8"/>
      <c r="B1426" s="8"/>
      <c r="C1426" s="8"/>
      <c r="D1426" s="8"/>
      <c r="E1426" s="8"/>
      <c r="F1426" s="8"/>
      <c r="G1426" s="8"/>
      <c r="H1426" s="8"/>
      <c r="I1426" s="8"/>
    </row>
    <row r="1427" customFormat="false" ht="15.75" hidden="false" customHeight="false" outlineLevel="0" collapsed="false">
      <c r="A1427" s="8"/>
      <c r="B1427" s="8"/>
      <c r="C1427" s="8"/>
      <c r="D1427" s="8"/>
      <c r="E1427" s="8"/>
      <c r="F1427" s="8"/>
      <c r="G1427" s="8"/>
      <c r="H1427" s="8"/>
      <c r="I1427" s="8"/>
    </row>
    <row r="1428" customFormat="false" ht="15.75" hidden="false" customHeight="false" outlineLevel="0" collapsed="false">
      <c r="A1428" s="8"/>
      <c r="B1428" s="8"/>
      <c r="C1428" s="8"/>
      <c r="D1428" s="8"/>
      <c r="E1428" s="8"/>
      <c r="F1428" s="8"/>
      <c r="G1428" s="8"/>
      <c r="H1428" s="8"/>
      <c r="I1428" s="8"/>
    </row>
    <row r="1429" customFormat="false" ht="15.75" hidden="false" customHeight="false" outlineLevel="0" collapsed="false">
      <c r="A1429" s="8"/>
      <c r="B1429" s="8"/>
      <c r="C1429" s="8"/>
      <c r="D1429" s="8"/>
      <c r="E1429" s="8"/>
      <c r="F1429" s="8"/>
      <c r="G1429" s="8"/>
      <c r="H1429" s="8"/>
      <c r="I1429" s="8"/>
    </row>
    <row r="1430" customFormat="false" ht="15.75" hidden="false" customHeight="false" outlineLevel="0" collapsed="false">
      <c r="A1430" s="8"/>
      <c r="B1430" s="8"/>
      <c r="C1430" s="8"/>
      <c r="D1430" s="8"/>
      <c r="E1430" s="8"/>
      <c r="F1430" s="8"/>
      <c r="G1430" s="8"/>
      <c r="H1430" s="8"/>
      <c r="I1430" s="8"/>
    </row>
    <row r="1431" customFormat="false" ht="15.75" hidden="false" customHeight="false" outlineLevel="0" collapsed="false">
      <c r="A1431" s="8"/>
      <c r="B1431" s="8"/>
      <c r="C1431" s="8"/>
      <c r="D1431" s="8"/>
      <c r="E1431" s="8"/>
      <c r="F1431" s="8"/>
      <c r="G1431" s="8"/>
      <c r="H1431" s="8"/>
      <c r="I1431" s="8"/>
    </row>
    <row r="1432" customFormat="false" ht="15.75" hidden="false" customHeight="false" outlineLevel="0" collapsed="false">
      <c r="A1432" s="8"/>
      <c r="B1432" s="8"/>
      <c r="C1432" s="8"/>
      <c r="D1432" s="8"/>
      <c r="E1432" s="8"/>
      <c r="F1432" s="8"/>
      <c r="G1432" s="8"/>
      <c r="H1432" s="8"/>
      <c r="I1432" s="8"/>
    </row>
    <row r="1433" customFormat="false" ht="15.75" hidden="false" customHeight="false" outlineLevel="0" collapsed="false">
      <c r="A1433" s="8"/>
      <c r="B1433" s="8"/>
      <c r="C1433" s="8"/>
      <c r="D1433" s="8"/>
      <c r="E1433" s="8"/>
      <c r="F1433" s="8"/>
      <c r="G1433" s="8"/>
      <c r="H1433" s="8"/>
      <c r="I1433" s="8"/>
    </row>
    <row r="1434" customFormat="false" ht="15.75" hidden="false" customHeight="false" outlineLevel="0" collapsed="false">
      <c r="A1434" s="8"/>
      <c r="B1434" s="8"/>
      <c r="C1434" s="8"/>
      <c r="D1434" s="8"/>
      <c r="E1434" s="8"/>
      <c r="F1434" s="8"/>
      <c r="G1434" s="8"/>
      <c r="H1434" s="8"/>
      <c r="I1434" s="8"/>
    </row>
    <row r="1435" customFormat="false" ht="15.75" hidden="false" customHeight="false" outlineLevel="0" collapsed="false">
      <c r="A1435" s="8"/>
      <c r="B1435" s="8"/>
      <c r="C1435" s="8"/>
      <c r="D1435" s="8"/>
      <c r="E1435" s="8"/>
      <c r="F1435" s="8"/>
      <c r="G1435" s="8"/>
      <c r="H1435" s="8"/>
      <c r="I1435" s="8"/>
    </row>
    <row r="1436" customFormat="false" ht="15.75" hidden="false" customHeight="false" outlineLevel="0" collapsed="false">
      <c r="A1436" s="8"/>
      <c r="B1436" s="8"/>
      <c r="C1436" s="8"/>
      <c r="D1436" s="8"/>
      <c r="E1436" s="8"/>
      <c r="F1436" s="8"/>
      <c r="G1436" s="8"/>
      <c r="H1436" s="8"/>
      <c r="I1436" s="8"/>
    </row>
    <row r="1437" customFormat="false" ht="15.75" hidden="false" customHeight="false" outlineLevel="0" collapsed="false">
      <c r="A1437" s="8"/>
      <c r="B1437" s="8"/>
      <c r="C1437" s="8"/>
      <c r="D1437" s="8"/>
      <c r="E1437" s="8"/>
      <c r="F1437" s="8"/>
      <c r="G1437" s="8"/>
      <c r="H1437" s="8"/>
      <c r="I1437" s="8"/>
    </row>
    <row r="1438" customFormat="false" ht="15.75" hidden="false" customHeight="false" outlineLevel="0" collapsed="false">
      <c r="A1438" s="8"/>
      <c r="B1438" s="8"/>
      <c r="C1438" s="8"/>
      <c r="D1438" s="8"/>
      <c r="E1438" s="8"/>
      <c r="F1438" s="8"/>
      <c r="G1438" s="8"/>
      <c r="H1438" s="8"/>
      <c r="I1438" s="8"/>
    </row>
    <row r="1439" customFormat="false" ht="15.75" hidden="false" customHeight="false" outlineLevel="0" collapsed="false">
      <c r="A1439" s="8"/>
      <c r="B1439" s="8"/>
      <c r="C1439" s="8"/>
      <c r="D1439" s="8"/>
      <c r="E1439" s="8"/>
      <c r="F1439" s="8"/>
      <c r="G1439" s="8"/>
      <c r="H1439" s="8"/>
      <c r="I1439" s="8"/>
    </row>
    <row r="1440" customFormat="false" ht="15.75" hidden="false" customHeight="false" outlineLevel="0" collapsed="false">
      <c r="A1440" s="8"/>
      <c r="B1440" s="8"/>
      <c r="C1440" s="8"/>
      <c r="D1440" s="8"/>
      <c r="E1440" s="8"/>
      <c r="F1440" s="8"/>
      <c r="G1440" s="8"/>
      <c r="H1440" s="8"/>
      <c r="I1440" s="8"/>
    </row>
    <row r="1441" customFormat="false" ht="15.75" hidden="false" customHeight="false" outlineLevel="0" collapsed="false">
      <c r="A1441" s="8"/>
      <c r="B1441" s="8"/>
      <c r="C1441" s="8"/>
      <c r="D1441" s="8"/>
      <c r="E1441" s="8"/>
      <c r="F1441" s="8"/>
      <c r="G1441" s="8"/>
      <c r="H1441" s="8"/>
      <c r="I1441" s="8"/>
    </row>
    <row r="1442" customFormat="false" ht="15.75" hidden="false" customHeight="false" outlineLevel="0" collapsed="false">
      <c r="A1442" s="8"/>
      <c r="B1442" s="8"/>
      <c r="C1442" s="8"/>
      <c r="D1442" s="8"/>
      <c r="E1442" s="8"/>
      <c r="F1442" s="8"/>
      <c r="G1442" s="8"/>
      <c r="H1442" s="8"/>
      <c r="I1442" s="8"/>
    </row>
    <row r="1443" customFormat="false" ht="15.75" hidden="false" customHeight="false" outlineLevel="0" collapsed="false">
      <c r="A1443" s="8"/>
      <c r="B1443" s="8"/>
      <c r="C1443" s="8"/>
      <c r="D1443" s="8"/>
      <c r="E1443" s="8"/>
      <c r="F1443" s="8"/>
      <c r="G1443" s="8"/>
      <c r="H1443" s="8"/>
      <c r="I1443" s="8"/>
    </row>
    <row r="1444" customFormat="false" ht="15.75" hidden="false" customHeight="false" outlineLevel="0" collapsed="false">
      <c r="A1444" s="8"/>
      <c r="B1444" s="8"/>
      <c r="C1444" s="8"/>
      <c r="D1444" s="8"/>
      <c r="E1444" s="8"/>
      <c r="F1444" s="8"/>
      <c r="G1444" s="8"/>
      <c r="H1444" s="8"/>
      <c r="I1444" s="8"/>
    </row>
    <row r="1445" customFormat="false" ht="15.75" hidden="false" customHeight="false" outlineLevel="0" collapsed="false">
      <c r="A1445" s="8"/>
      <c r="B1445" s="8"/>
      <c r="C1445" s="8"/>
      <c r="D1445" s="8"/>
      <c r="E1445" s="8"/>
      <c r="F1445" s="8"/>
      <c r="G1445" s="8"/>
      <c r="H1445" s="8"/>
      <c r="I1445" s="8"/>
    </row>
    <row r="1446" customFormat="false" ht="15.75" hidden="false" customHeight="false" outlineLevel="0" collapsed="false">
      <c r="A1446" s="8"/>
      <c r="B1446" s="8"/>
      <c r="C1446" s="8"/>
      <c r="D1446" s="8"/>
      <c r="E1446" s="8"/>
      <c r="F1446" s="8"/>
      <c r="G1446" s="8"/>
      <c r="H1446" s="8"/>
      <c r="I1446" s="8"/>
    </row>
    <row r="1447" customFormat="false" ht="15.75" hidden="false" customHeight="false" outlineLevel="0" collapsed="false">
      <c r="A1447" s="8"/>
      <c r="B1447" s="8"/>
      <c r="C1447" s="8"/>
      <c r="D1447" s="8"/>
      <c r="E1447" s="8"/>
      <c r="F1447" s="8"/>
      <c r="G1447" s="8"/>
      <c r="H1447" s="8"/>
      <c r="I1447" s="8"/>
    </row>
    <row r="1448" customFormat="false" ht="15.75" hidden="false" customHeight="false" outlineLevel="0" collapsed="false">
      <c r="A1448" s="8"/>
      <c r="B1448" s="8"/>
      <c r="C1448" s="8"/>
      <c r="D1448" s="8"/>
      <c r="E1448" s="8"/>
      <c r="F1448" s="8"/>
      <c r="G1448" s="8"/>
      <c r="H1448" s="8"/>
      <c r="I1448" s="8"/>
    </row>
    <row r="1449" customFormat="false" ht="15.75" hidden="false" customHeight="false" outlineLevel="0" collapsed="false">
      <c r="A1449" s="8"/>
      <c r="B1449" s="8"/>
      <c r="C1449" s="8"/>
      <c r="D1449" s="8"/>
      <c r="E1449" s="8"/>
      <c r="F1449" s="8"/>
      <c r="G1449" s="8"/>
      <c r="H1449" s="8"/>
      <c r="I1449" s="8"/>
    </row>
    <row r="1450" customFormat="false" ht="15.75" hidden="false" customHeight="false" outlineLevel="0" collapsed="false">
      <c r="A1450" s="8"/>
      <c r="B1450" s="8"/>
      <c r="C1450" s="8"/>
      <c r="D1450" s="8"/>
      <c r="E1450" s="8"/>
      <c r="F1450" s="8"/>
      <c r="G1450" s="8"/>
      <c r="H1450" s="8"/>
      <c r="I1450" s="8"/>
    </row>
    <row r="1451" customFormat="false" ht="15.75" hidden="false" customHeight="false" outlineLevel="0" collapsed="false">
      <c r="A1451" s="8"/>
      <c r="B1451" s="8"/>
      <c r="C1451" s="8"/>
      <c r="D1451" s="8"/>
      <c r="E1451" s="8"/>
      <c r="F1451" s="8"/>
      <c r="G1451" s="8"/>
      <c r="H1451" s="8"/>
      <c r="I1451" s="8"/>
    </row>
    <row r="1452" customFormat="false" ht="15.75" hidden="false" customHeight="false" outlineLevel="0" collapsed="false">
      <c r="A1452" s="8"/>
      <c r="B1452" s="8"/>
      <c r="C1452" s="8"/>
      <c r="D1452" s="8"/>
      <c r="E1452" s="8"/>
      <c r="F1452" s="8"/>
      <c r="G1452" s="8"/>
      <c r="H1452" s="8"/>
      <c r="I1452" s="8"/>
    </row>
    <row r="1453" customFormat="false" ht="15.75" hidden="false" customHeight="false" outlineLevel="0" collapsed="false">
      <c r="A1453" s="8"/>
      <c r="B1453" s="8"/>
      <c r="C1453" s="8"/>
      <c r="D1453" s="8"/>
      <c r="E1453" s="8"/>
      <c r="F1453" s="8"/>
      <c r="G1453" s="8"/>
      <c r="H1453" s="8"/>
      <c r="I1453" s="8"/>
    </row>
    <row r="1454" customFormat="false" ht="15.75" hidden="false" customHeight="false" outlineLevel="0" collapsed="false">
      <c r="A1454" s="8"/>
      <c r="B1454" s="8"/>
      <c r="C1454" s="8"/>
      <c r="D1454" s="8"/>
      <c r="E1454" s="8"/>
      <c r="F1454" s="8"/>
      <c r="G1454" s="8"/>
      <c r="H1454" s="8"/>
      <c r="I1454" s="8"/>
    </row>
    <row r="1455" customFormat="false" ht="15.75" hidden="false" customHeight="false" outlineLevel="0" collapsed="false">
      <c r="A1455" s="8"/>
      <c r="B1455" s="8"/>
      <c r="C1455" s="8"/>
      <c r="D1455" s="8"/>
      <c r="E1455" s="8"/>
      <c r="F1455" s="8"/>
      <c r="G1455" s="8"/>
      <c r="H1455" s="8"/>
      <c r="I1455" s="8"/>
    </row>
    <row r="1456" customFormat="false" ht="15.75" hidden="false" customHeight="false" outlineLevel="0" collapsed="false">
      <c r="A1456" s="8"/>
      <c r="B1456" s="8"/>
      <c r="C1456" s="8"/>
      <c r="D1456" s="8"/>
      <c r="E1456" s="8"/>
      <c r="F1456" s="8"/>
      <c r="G1456" s="8"/>
      <c r="H1456" s="8"/>
      <c r="I1456" s="8"/>
    </row>
    <row r="1457" customFormat="false" ht="15.75" hidden="false" customHeight="false" outlineLevel="0" collapsed="false">
      <c r="A1457" s="8"/>
      <c r="B1457" s="8"/>
      <c r="C1457" s="8"/>
      <c r="D1457" s="8"/>
      <c r="E1457" s="8"/>
      <c r="F1457" s="8"/>
      <c r="G1457" s="8"/>
      <c r="H1457" s="8"/>
      <c r="I1457" s="8"/>
    </row>
    <row r="1458" customFormat="false" ht="15.75" hidden="false" customHeight="false" outlineLevel="0" collapsed="false">
      <c r="A1458" s="8"/>
      <c r="B1458" s="8"/>
      <c r="C1458" s="8"/>
      <c r="D1458" s="8"/>
      <c r="E1458" s="8"/>
      <c r="F1458" s="8"/>
      <c r="G1458" s="8"/>
      <c r="H1458" s="8"/>
      <c r="I1458" s="8"/>
    </row>
    <row r="1459" customFormat="false" ht="15.75" hidden="false" customHeight="false" outlineLevel="0" collapsed="false">
      <c r="A1459" s="8"/>
      <c r="B1459" s="8"/>
      <c r="C1459" s="8"/>
      <c r="D1459" s="8"/>
      <c r="E1459" s="8"/>
      <c r="F1459" s="8"/>
      <c r="G1459" s="8"/>
      <c r="H1459" s="8"/>
      <c r="I1459" s="8"/>
    </row>
    <row r="1460" customFormat="false" ht="15.75" hidden="false" customHeight="false" outlineLevel="0" collapsed="false">
      <c r="A1460" s="8"/>
      <c r="B1460" s="8"/>
      <c r="C1460" s="8"/>
      <c r="D1460" s="8"/>
      <c r="E1460" s="8"/>
      <c r="F1460" s="8"/>
      <c r="G1460" s="8"/>
      <c r="H1460" s="8"/>
      <c r="I1460" s="8"/>
    </row>
    <row r="1461" customFormat="false" ht="15.75" hidden="false" customHeight="false" outlineLevel="0" collapsed="false">
      <c r="A1461" s="8"/>
      <c r="B1461" s="8"/>
      <c r="C1461" s="8"/>
      <c r="D1461" s="8"/>
      <c r="E1461" s="8"/>
      <c r="F1461" s="8"/>
      <c r="G1461" s="8"/>
      <c r="H1461" s="8"/>
      <c r="I1461" s="8"/>
    </row>
    <row r="1462" customFormat="false" ht="15.75" hidden="false" customHeight="false" outlineLevel="0" collapsed="false">
      <c r="A1462" s="8"/>
      <c r="B1462" s="8"/>
      <c r="C1462" s="8"/>
      <c r="D1462" s="8"/>
      <c r="E1462" s="8"/>
      <c r="F1462" s="8"/>
      <c r="G1462" s="8"/>
      <c r="H1462" s="8"/>
      <c r="I1462" s="8"/>
    </row>
    <row r="1463" customFormat="false" ht="15.75" hidden="false" customHeight="false" outlineLevel="0" collapsed="false">
      <c r="A1463" s="8"/>
      <c r="B1463" s="8"/>
      <c r="C1463" s="8"/>
      <c r="D1463" s="8"/>
      <c r="E1463" s="8"/>
      <c r="F1463" s="8"/>
      <c r="G1463" s="8"/>
      <c r="H1463" s="8"/>
      <c r="I1463" s="8"/>
    </row>
    <row r="1464" customFormat="false" ht="15.75" hidden="false" customHeight="false" outlineLevel="0" collapsed="false">
      <c r="A1464" s="8"/>
      <c r="B1464" s="8"/>
      <c r="C1464" s="8"/>
      <c r="D1464" s="8"/>
      <c r="E1464" s="8"/>
      <c r="F1464" s="8"/>
      <c r="G1464" s="8"/>
      <c r="H1464" s="8"/>
      <c r="I1464" s="8"/>
    </row>
    <row r="1465" customFormat="false" ht="15.75" hidden="false" customHeight="false" outlineLevel="0" collapsed="false">
      <c r="A1465" s="8"/>
      <c r="B1465" s="8"/>
      <c r="C1465" s="8"/>
      <c r="D1465" s="8"/>
      <c r="E1465" s="8"/>
      <c r="F1465" s="8"/>
      <c r="G1465" s="8"/>
      <c r="H1465" s="8"/>
      <c r="I1465" s="8"/>
    </row>
    <row r="1466" customFormat="false" ht="15.75" hidden="false" customHeight="false" outlineLevel="0" collapsed="false">
      <c r="A1466" s="8"/>
      <c r="B1466" s="8"/>
      <c r="C1466" s="8"/>
      <c r="D1466" s="8"/>
      <c r="E1466" s="8"/>
      <c r="F1466" s="8"/>
      <c r="G1466" s="8"/>
      <c r="H1466" s="8"/>
      <c r="I1466" s="8"/>
    </row>
    <row r="1467" customFormat="false" ht="15.75" hidden="false" customHeight="false" outlineLevel="0" collapsed="false">
      <c r="A1467" s="8"/>
      <c r="B1467" s="8"/>
      <c r="C1467" s="8"/>
      <c r="D1467" s="8"/>
      <c r="E1467" s="8"/>
      <c r="F1467" s="8"/>
      <c r="G1467" s="8"/>
      <c r="H1467" s="8"/>
      <c r="I1467" s="8"/>
    </row>
    <row r="1468" customFormat="false" ht="15.75" hidden="false" customHeight="false" outlineLevel="0" collapsed="false">
      <c r="A1468" s="8"/>
      <c r="B1468" s="8"/>
      <c r="C1468" s="8"/>
      <c r="D1468" s="8"/>
      <c r="E1468" s="8"/>
      <c r="F1468" s="8"/>
      <c r="G1468" s="8"/>
      <c r="H1468" s="8"/>
      <c r="I1468" s="8"/>
    </row>
    <row r="1469" customFormat="false" ht="15.75" hidden="false" customHeight="false" outlineLevel="0" collapsed="false">
      <c r="A1469" s="8"/>
      <c r="B1469" s="8"/>
      <c r="C1469" s="8"/>
      <c r="D1469" s="8"/>
      <c r="E1469" s="8"/>
      <c r="F1469" s="8"/>
      <c r="G1469" s="8"/>
      <c r="H1469" s="8"/>
      <c r="I1469" s="8"/>
    </row>
    <row r="1470" customFormat="false" ht="15.75" hidden="false" customHeight="false" outlineLevel="0" collapsed="false">
      <c r="A1470" s="8"/>
      <c r="B1470" s="8"/>
      <c r="C1470" s="8"/>
      <c r="D1470" s="8"/>
      <c r="E1470" s="8"/>
      <c r="F1470" s="8"/>
      <c r="G1470" s="8"/>
      <c r="H1470" s="8"/>
      <c r="I1470" s="8"/>
    </row>
    <row r="1471" customFormat="false" ht="15.75" hidden="false" customHeight="false" outlineLevel="0" collapsed="false">
      <c r="A1471" s="8"/>
      <c r="B1471" s="8"/>
      <c r="C1471" s="8"/>
      <c r="D1471" s="8"/>
      <c r="E1471" s="8"/>
      <c r="F1471" s="8"/>
      <c r="G1471" s="8"/>
      <c r="H1471" s="8"/>
      <c r="I1471" s="8"/>
    </row>
    <row r="1472" customFormat="false" ht="15.75" hidden="false" customHeight="false" outlineLevel="0" collapsed="false">
      <c r="A1472" s="8"/>
      <c r="B1472" s="8"/>
      <c r="C1472" s="8"/>
      <c r="D1472" s="8"/>
      <c r="E1472" s="8"/>
      <c r="F1472" s="8"/>
      <c r="G1472" s="8"/>
      <c r="H1472" s="8"/>
      <c r="I1472" s="8"/>
    </row>
    <row r="1473" customFormat="false" ht="15.75" hidden="false" customHeight="false" outlineLevel="0" collapsed="false">
      <c r="A1473" s="8"/>
      <c r="B1473" s="8"/>
      <c r="C1473" s="8"/>
      <c r="D1473" s="8"/>
      <c r="E1473" s="8"/>
      <c r="F1473" s="8"/>
      <c r="G1473" s="8"/>
      <c r="H1473" s="8"/>
      <c r="I1473" s="8"/>
    </row>
    <row r="1474" customFormat="false" ht="15.75" hidden="false" customHeight="false" outlineLevel="0" collapsed="false">
      <c r="A1474" s="8"/>
      <c r="B1474" s="8"/>
      <c r="C1474" s="8"/>
      <c r="D1474" s="8"/>
      <c r="E1474" s="8"/>
      <c r="F1474" s="8"/>
      <c r="G1474" s="8"/>
      <c r="H1474" s="8"/>
      <c r="I1474" s="8"/>
    </row>
    <row r="1475" customFormat="false" ht="15.75" hidden="false" customHeight="false" outlineLevel="0" collapsed="false">
      <c r="A1475" s="8"/>
      <c r="B1475" s="8"/>
      <c r="C1475" s="8"/>
      <c r="D1475" s="8"/>
      <c r="E1475" s="8"/>
      <c r="F1475" s="8"/>
      <c r="G1475" s="8"/>
      <c r="H1475" s="8"/>
      <c r="I1475" s="8"/>
    </row>
    <row r="1476" customFormat="false" ht="15.75" hidden="false" customHeight="false" outlineLevel="0" collapsed="false">
      <c r="A1476" s="8"/>
      <c r="B1476" s="8"/>
      <c r="C1476" s="8"/>
      <c r="D1476" s="8"/>
      <c r="E1476" s="8"/>
      <c r="F1476" s="8"/>
      <c r="G1476" s="8"/>
      <c r="H1476" s="8"/>
      <c r="I1476" s="8"/>
    </row>
    <row r="1477" customFormat="false" ht="15.75" hidden="false" customHeight="false" outlineLevel="0" collapsed="false">
      <c r="A1477" s="8"/>
      <c r="B1477" s="8"/>
      <c r="C1477" s="8"/>
      <c r="D1477" s="8"/>
      <c r="E1477" s="8"/>
      <c r="F1477" s="8"/>
      <c r="G1477" s="8"/>
      <c r="H1477" s="8"/>
      <c r="I1477" s="8"/>
    </row>
    <row r="1478" customFormat="false" ht="15.75" hidden="false" customHeight="false" outlineLevel="0" collapsed="false">
      <c r="A1478" s="8"/>
      <c r="B1478" s="8"/>
      <c r="C1478" s="8"/>
      <c r="D1478" s="8"/>
      <c r="E1478" s="8"/>
      <c r="F1478" s="8"/>
      <c r="G1478" s="8"/>
      <c r="H1478" s="8"/>
      <c r="I1478" s="8"/>
    </row>
    <row r="1479" customFormat="false" ht="15.75" hidden="false" customHeight="false" outlineLevel="0" collapsed="false">
      <c r="A1479" s="8"/>
      <c r="B1479" s="8"/>
      <c r="C1479" s="8"/>
      <c r="D1479" s="8"/>
      <c r="E1479" s="8"/>
      <c r="F1479" s="8"/>
      <c r="G1479" s="8"/>
      <c r="H1479" s="8"/>
      <c r="I1479" s="8"/>
    </row>
    <row r="1480" customFormat="false" ht="15.75" hidden="false" customHeight="false" outlineLevel="0" collapsed="false">
      <c r="A1480" s="8"/>
      <c r="B1480" s="8"/>
      <c r="C1480" s="8"/>
      <c r="D1480" s="8"/>
      <c r="E1480" s="8"/>
      <c r="F1480" s="8"/>
      <c r="G1480" s="8"/>
      <c r="H1480" s="8"/>
      <c r="I1480" s="8"/>
    </row>
    <row r="1481" customFormat="false" ht="15.75" hidden="false" customHeight="false" outlineLevel="0" collapsed="false">
      <c r="A1481" s="8"/>
      <c r="B1481" s="8"/>
      <c r="C1481" s="8"/>
      <c r="D1481" s="8"/>
      <c r="E1481" s="8"/>
      <c r="F1481" s="8"/>
      <c r="G1481" s="8"/>
      <c r="H1481" s="8"/>
      <c r="I1481" s="8"/>
    </row>
    <row r="1482" customFormat="false" ht="15.75" hidden="false" customHeight="false" outlineLevel="0" collapsed="false">
      <c r="A1482" s="8"/>
      <c r="B1482" s="8"/>
      <c r="C1482" s="8"/>
      <c r="D1482" s="8"/>
      <c r="E1482" s="8"/>
      <c r="F1482" s="8"/>
      <c r="G1482" s="8"/>
      <c r="H1482" s="8"/>
      <c r="I1482" s="8"/>
    </row>
    <row r="1483" customFormat="false" ht="15.75" hidden="false" customHeight="false" outlineLevel="0" collapsed="false">
      <c r="A1483" s="8"/>
      <c r="B1483" s="8"/>
      <c r="C1483" s="8"/>
      <c r="D1483" s="8"/>
      <c r="E1483" s="8"/>
      <c r="F1483" s="8"/>
      <c r="G1483" s="8"/>
      <c r="H1483" s="8"/>
      <c r="I1483" s="8"/>
    </row>
    <row r="1484" customFormat="false" ht="15.75" hidden="false" customHeight="false" outlineLevel="0" collapsed="false">
      <c r="A1484" s="8"/>
      <c r="B1484" s="8"/>
      <c r="C1484" s="8"/>
      <c r="D1484" s="8"/>
      <c r="E1484" s="8"/>
      <c r="F1484" s="8"/>
      <c r="G1484" s="8"/>
      <c r="H1484" s="8"/>
      <c r="I1484" s="8"/>
    </row>
    <row r="1485" customFormat="false" ht="15.75" hidden="false" customHeight="false" outlineLevel="0" collapsed="false">
      <c r="A1485" s="8"/>
      <c r="B1485" s="8"/>
      <c r="C1485" s="8"/>
      <c r="D1485" s="8"/>
      <c r="E1485" s="8"/>
      <c r="F1485" s="8"/>
      <c r="G1485" s="8"/>
      <c r="H1485" s="8"/>
      <c r="I1485" s="8"/>
    </row>
    <row r="1486" customFormat="false" ht="15.75" hidden="false" customHeight="false" outlineLevel="0" collapsed="false">
      <c r="A1486" s="8"/>
      <c r="B1486" s="8"/>
      <c r="C1486" s="8"/>
      <c r="D1486" s="8"/>
      <c r="E1486" s="8"/>
      <c r="F1486" s="8"/>
      <c r="G1486" s="8"/>
      <c r="H1486" s="8"/>
      <c r="I1486" s="8"/>
    </row>
    <row r="1487" customFormat="false" ht="15.75" hidden="false" customHeight="false" outlineLevel="0" collapsed="false">
      <c r="A1487" s="8"/>
      <c r="B1487" s="8"/>
      <c r="C1487" s="8"/>
      <c r="D1487" s="8"/>
      <c r="E1487" s="8"/>
      <c r="F1487" s="8"/>
      <c r="G1487" s="8"/>
      <c r="H1487" s="8"/>
      <c r="I1487" s="8"/>
    </row>
    <row r="1488" customFormat="false" ht="15.75" hidden="false" customHeight="false" outlineLevel="0" collapsed="false">
      <c r="A1488" s="8"/>
      <c r="B1488" s="8"/>
      <c r="C1488" s="8"/>
      <c r="D1488" s="8"/>
      <c r="E1488" s="8"/>
      <c r="F1488" s="8"/>
      <c r="G1488" s="8"/>
      <c r="H1488" s="8"/>
      <c r="I1488" s="8"/>
    </row>
    <row r="1489" customFormat="false" ht="15.75" hidden="false" customHeight="false" outlineLevel="0" collapsed="false">
      <c r="A1489" s="8"/>
      <c r="B1489" s="8"/>
      <c r="C1489" s="8"/>
      <c r="D1489" s="8"/>
      <c r="E1489" s="8"/>
      <c r="F1489" s="8"/>
      <c r="G1489" s="8"/>
      <c r="H1489" s="8"/>
      <c r="I1489" s="8"/>
    </row>
    <row r="1490" customFormat="false" ht="15.75" hidden="false" customHeight="false" outlineLevel="0" collapsed="false">
      <c r="A1490" s="8"/>
      <c r="B1490" s="8"/>
      <c r="C1490" s="8"/>
      <c r="D1490" s="8"/>
      <c r="E1490" s="8"/>
      <c r="F1490" s="8"/>
      <c r="G1490" s="8"/>
      <c r="H1490" s="8"/>
      <c r="I1490" s="8"/>
    </row>
    <row r="1491" customFormat="false" ht="15.75" hidden="false" customHeight="false" outlineLevel="0" collapsed="false">
      <c r="A1491" s="8"/>
      <c r="B1491" s="8"/>
      <c r="C1491" s="8"/>
      <c r="D1491" s="8"/>
      <c r="E1491" s="8"/>
      <c r="F1491" s="8"/>
      <c r="G1491" s="8"/>
      <c r="H1491" s="8"/>
      <c r="I1491" s="8"/>
    </row>
    <row r="1492" customFormat="false" ht="15.75" hidden="false" customHeight="false" outlineLevel="0" collapsed="false">
      <c r="A1492" s="8"/>
      <c r="B1492" s="8"/>
      <c r="C1492" s="8"/>
      <c r="D1492" s="8"/>
      <c r="E1492" s="8"/>
      <c r="F1492" s="8"/>
      <c r="G1492" s="8"/>
      <c r="H1492" s="8"/>
      <c r="I1492" s="8"/>
    </row>
    <row r="1493" customFormat="false" ht="15.75" hidden="false" customHeight="false" outlineLevel="0" collapsed="false">
      <c r="A1493" s="8"/>
      <c r="B1493" s="8"/>
      <c r="C1493" s="8"/>
      <c r="D1493" s="8"/>
      <c r="E1493" s="8"/>
      <c r="F1493" s="8"/>
      <c r="G1493" s="8"/>
      <c r="H1493" s="8"/>
      <c r="I1493" s="8"/>
    </row>
    <row r="1494" customFormat="false" ht="15.75" hidden="false" customHeight="false" outlineLevel="0" collapsed="false">
      <c r="A1494" s="8"/>
      <c r="B1494" s="8"/>
      <c r="C1494" s="8"/>
      <c r="D1494" s="8"/>
      <c r="E1494" s="8"/>
      <c r="F1494" s="8"/>
      <c r="G1494" s="8"/>
      <c r="H1494" s="8"/>
      <c r="I1494" s="8"/>
    </row>
    <row r="1495" customFormat="false" ht="15.75" hidden="false" customHeight="false" outlineLevel="0" collapsed="false">
      <c r="A1495" s="8"/>
      <c r="B1495" s="8"/>
      <c r="C1495" s="8"/>
      <c r="D1495" s="8"/>
      <c r="E1495" s="8"/>
      <c r="F1495" s="8"/>
      <c r="G1495" s="8"/>
      <c r="H1495" s="8"/>
      <c r="I1495" s="8"/>
    </row>
    <row r="1496" customFormat="false" ht="15.75" hidden="false" customHeight="false" outlineLevel="0" collapsed="false">
      <c r="A1496" s="8"/>
      <c r="B1496" s="8"/>
      <c r="C1496" s="8"/>
      <c r="D1496" s="8"/>
      <c r="E1496" s="8"/>
      <c r="F1496" s="8"/>
      <c r="G1496" s="8"/>
      <c r="H1496" s="8"/>
      <c r="I1496" s="8"/>
    </row>
    <row r="1497" customFormat="false" ht="15.75" hidden="false" customHeight="false" outlineLevel="0" collapsed="false">
      <c r="A1497" s="8"/>
      <c r="B1497" s="8"/>
      <c r="C1497" s="8"/>
      <c r="D1497" s="8"/>
      <c r="E1497" s="8"/>
      <c r="F1497" s="8"/>
      <c r="G1497" s="8"/>
      <c r="H1497" s="8"/>
      <c r="I1497" s="8"/>
    </row>
    <row r="1498" customFormat="false" ht="15.75" hidden="false" customHeight="false" outlineLevel="0" collapsed="false">
      <c r="A1498" s="8"/>
      <c r="B1498" s="8"/>
      <c r="C1498" s="8"/>
      <c r="D1498" s="8"/>
      <c r="E1498" s="8"/>
      <c r="F1498" s="8"/>
      <c r="G1498" s="8"/>
      <c r="H1498" s="8"/>
      <c r="I1498" s="8"/>
    </row>
    <row r="1499" customFormat="false" ht="15.75" hidden="false" customHeight="false" outlineLevel="0" collapsed="false">
      <c r="A1499" s="8"/>
      <c r="B1499" s="8"/>
      <c r="C1499" s="8"/>
      <c r="D1499" s="8"/>
      <c r="E1499" s="8"/>
      <c r="F1499" s="8"/>
      <c r="G1499" s="8"/>
      <c r="H1499" s="8"/>
      <c r="I1499" s="8"/>
    </row>
    <row r="1500" customFormat="false" ht="15.75" hidden="false" customHeight="false" outlineLevel="0" collapsed="false">
      <c r="A1500" s="8"/>
      <c r="B1500" s="8"/>
      <c r="C1500" s="8"/>
      <c r="D1500" s="8"/>
      <c r="E1500" s="8"/>
      <c r="F1500" s="8"/>
      <c r="G1500" s="8"/>
      <c r="H1500" s="8"/>
      <c r="I1500" s="8"/>
    </row>
    <row r="1501" customFormat="false" ht="15.75" hidden="false" customHeight="false" outlineLevel="0" collapsed="false">
      <c r="A1501" s="8"/>
      <c r="B1501" s="8"/>
      <c r="C1501" s="8"/>
      <c r="D1501" s="8"/>
      <c r="E1501" s="8"/>
      <c r="F1501" s="8"/>
      <c r="G1501" s="8"/>
      <c r="H1501" s="8"/>
      <c r="I1501" s="8"/>
    </row>
    <row r="1502" customFormat="false" ht="15.75" hidden="false" customHeight="false" outlineLevel="0" collapsed="false">
      <c r="A1502" s="8"/>
      <c r="B1502" s="8"/>
      <c r="C1502" s="8"/>
      <c r="D1502" s="8"/>
      <c r="E1502" s="8"/>
      <c r="F1502" s="8"/>
      <c r="G1502" s="8"/>
      <c r="H1502" s="8"/>
      <c r="I1502" s="8"/>
    </row>
    <row r="1503" customFormat="false" ht="15.75" hidden="false" customHeight="false" outlineLevel="0" collapsed="false">
      <c r="A1503" s="8"/>
      <c r="B1503" s="8"/>
      <c r="C1503" s="8"/>
      <c r="D1503" s="8"/>
      <c r="E1503" s="8"/>
      <c r="F1503" s="8"/>
      <c r="G1503" s="8"/>
      <c r="H1503" s="8"/>
      <c r="I1503" s="8"/>
    </row>
    <row r="1504" customFormat="false" ht="15.75" hidden="false" customHeight="false" outlineLevel="0" collapsed="false">
      <c r="A1504" s="8"/>
      <c r="B1504" s="8"/>
      <c r="C1504" s="8"/>
      <c r="D1504" s="8"/>
      <c r="E1504" s="8"/>
      <c r="F1504" s="8"/>
      <c r="G1504" s="8"/>
      <c r="H1504" s="8"/>
      <c r="I1504" s="8"/>
    </row>
    <row r="1505" customFormat="false" ht="15.75" hidden="false" customHeight="false" outlineLevel="0" collapsed="false">
      <c r="A1505" s="8"/>
      <c r="B1505" s="8"/>
      <c r="C1505" s="8"/>
      <c r="D1505" s="8"/>
      <c r="E1505" s="8"/>
      <c r="F1505" s="8"/>
      <c r="G1505" s="8"/>
      <c r="H1505" s="8"/>
      <c r="I1505" s="8"/>
    </row>
    <row r="1506" customFormat="false" ht="15.75" hidden="false" customHeight="false" outlineLevel="0" collapsed="false">
      <c r="A1506" s="8"/>
      <c r="B1506" s="8"/>
      <c r="C1506" s="8"/>
      <c r="D1506" s="8"/>
      <c r="E1506" s="8"/>
      <c r="F1506" s="8"/>
      <c r="G1506" s="8"/>
      <c r="H1506" s="8"/>
      <c r="I1506" s="8"/>
    </row>
    <row r="1507" customFormat="false" ht="15.75" hidden="false" customHeight="false" outlineLevel="0" collapsed="false">
      <c r="A1507" s="8"/>
      <c r="B1507" s="8"/>
      <c r="C1507" s="8"/>
      <c r="D1507" s="8"/>
      <c r="E1507" s="8"/>
      <c r="F1507" s="8"/>
      <c r="G1507" s="8"/>
      <c r="H1507" s="8"/>
      <c r="I1507" s="8"/>
    </row>
    <row r="1508" customFormat="false" ht="15.75" hidden="false" customHeight="false" outlineLevel="0" collapsed="false">
      <c r="A1508" s="8"/>
      <c r="B1508" s="8"/>
      <c r="C1508" s="8"/>
      <c r="D1508" s="8"/>
      <c r="E1508" s="8"/>
      <c r="F1508" s="8"/>
      <c r="G1508" s="8"/>
      <c r="H1508" s="8"/>
      <c r="I1508" s="8"/>
    </row>
    <row r="1509" customFormat="false" ht="15.75" hidden="false" customHeight="false" outlineLevel="0" collapsed="false">
      <c r="A1509" s="8"/>
      <c r="B1509" s="8"/>
      <c r="C1509" s="8"/>
      <c r="D1509" s="8"/>
      <c r="E1509" s="8"/>
      <c r="F1509" s="8"/>
      <c r="G1509" s="8"/>
      <c r="H1509" s="8"/>
      <c r="I1509" s="8"/>
    </row>
    <row r="1510" customFormat="false" ht="15.75" hidden="false" customHeight="false" outlineLevel="0" collapsed="false">
      <c r="A1510" s="8"/>
      <c r="B1510" s="8"/>
      <c r="C1510" s="8"/>
      <c r="D1510" s="8"/>
      <c r="E1510" s="8"/>
      <c r="F1510" s="8"/>
      <c r="G1510" s="8"/>
      <c r="H1510" s="8"/>
      <c r="I1510" s="8"/>
    </row>
    <row r="1511" customFormat="false" ht="15.75" hidden="false" customHeight="false" outlineLevel="0" collapsed="false">
      <c r="A1511" s="8"/>
      <c r="B1511" s="8"/>
      <c r="C1511" s="8"/>
      <c r="D1511" s="8"/>
      <c r="E1511" s="8"/>
      <c r="F1511" s="8"/>
      <c r="G1511" s="8"/>
      <c r="H1511" s="8"/>
      <c r="I1511" s="8"/>
    </row>
    <row r="1512" customFormat="false" ht="15.75" hidden="false" customHeight="false" outlineLevel="0" collapsed="false">
      <c r="A1512" s="8"/>
      <c r="B1512" s="8"/>
      <c r="C1512" s="8"/>
      <c r="D1512" s="8"/>
      <c r="E1512" s="8"/>
      <c r="F1512" s="8"/>
      <c r="G1512" s="8"/>
      <c r="H1512" s="8"/>
      <c r="I1512" s="8"/>
    </row>
    <row r="1513" customFormat="false" ht="15.75" hidden="false" customHeight="false" outlineLevel="0" collapsed="false">
      <c r="A1513" s="8"/>
      <c r="B1513" s="8"/>
      <c r="C1513" s="8"/>
      <c r="D1513" s="8"/>
      <c r="E1513" s="8"/>
      <c r="F1513" s="8"/>
      <c r="G1513" s="8"/>
      <c r="H1513" s="8"/>
      <c r="I1513" s="8"/>
    </row>
    <row r="1514" customFormat="false" ht="15.75" hidden="false" customHeight="false" outlineLevel="0" collapsed="false">
      <c r="A1514" s="8"/>
      <c r="B1514" s="8"/>
      <c r="C1514" s="8"/>
      <c r="D1514" s="8"/>
      <c r="E1514" s="8"/>
      <c r="F1514" s="8"/>
      <c r="G1514" s="8"/>
      <c r="H1514" s="8"/>
      <c r="I1514" s="8"/>
    </row>
    <row r="1515" customFormat="false" ht="15.75" hidden="false" customHeight="false" outlineLevel="0" collapsed="false">
      <c r="A1515" s="8"/>
      <c r="B1515" s="8"/>
      <c r="C1515" s="8"/>
      <c r="D1515" s="8"/>
      <c r="E1515" s="8"/>
      <c r="F1515" s="8"/>
      <c r="G1515" s="8"/>
      <c r="H1515" s="8"/>
      <c r="I1515" s="8"/>
    </row>
    <row r="1516" customFormat="false" ht="15.75" hidden="false" customHeight="false" outlineLevel="0" collapsed="false">
      <c r="A1516" s="8"/>
      <c r="B1516" s="8"/>
      <c r="C1516" s="8"/>
      <c r="D1516" s="8"/>
      <c r="E1516" s="8"/>
      <c r="F1516" s="8"/>
      <c r="G1516" s="8"/>
      <c r="H1516" s="8"/>
      <c r="I1516" s="8"/>
    </row>
    <row r="1517" customFormat="false" ht="15.75" hidden="false" customHeight="false" outlineLevel="0" collapsed="false">
      <c r="A1517" s="8"/>
      <c r="B1517" s="8"/>
      <c r="C1517" s="8"/>
      <c r="D1517" s="8"/>
      <c r="E1517" s="8"/>
      <c r="F1517" s="8"/>
      <c r="G1517" s="8"/>
      <c r="H1517" s="8"/>
      <c r="I1517" s="8"/>
    </row>
    <row r="1518" customFormat="false" ht="15.75" hidden="false" customHeight="false" outlineLevel="0" collapsed="false">
      <c r="A1518" s="8"/>
      <c r="B1518" s="8"/>
      <c r="C1518" s="8"/>
      <c r="D1518" s="8"/>
      <c r="E1518" s="8"/>
      <c r="F1518" s="8"/>
      <c r="G1518" s="8"/>
      <c r="H1518" s="8"/>
      <c r="I1518" s="8"/>
    </row>
    <row r="1519" customFormat="false" ht="15.75" hidden="false" customHeight="false" outlineLevel="0" collapsed="false">
      <c r="A1519" s="8"/>
      <c r="B1519" s="8"/>
      <c r="C1519" s="8"/>
      <c r="D1519" s="8"/>
      <c r="E1519" s="8"/>
      <c r="F1519" s="8"/>
      <c r="G1519" s="8"/>
      <c r="H1519" s="8"/>
      <c r="I1519" s="8"/>
    </row>
    <row r="1520" customFormat="false" ht="15.75" hidden="false" customHeight="false" outlineLevel="0" collapsed="false">
      <c r="A1520" s="8"/>
      <c r="B1520" s="8"/>
      <c r="C1520" s="8"/>
      <c r="D1520" s="8"/>
      <c r="E1520" s="8"/>
      <c r="F1520" s="8"/>
      <c r="G1520" s="8"/>
      <c r="H1520" s="8"/>
      <c r="I1520" s="8"/>
    </row>
    <row r="1521" customFormat="false" ht="15.75" hidden="false" customHeight="false" outlineLevel="0" collapsed="false">
      <c r="A1521" s="8"/>
      <c r="B1521" s="8"/>
      <c r="C1521" s="8"/>
      <c r="D1521" s="8"/>
      <c r="E1521" s="8"/>
      <c r="F1521" s="8"/>
      <c r="G1521" s="8"/>
      <c r="H1521" s="8"/>
      <c r="I1521" s="8"/>
    </row>
    <row r="1522" customFormat="false" ht="15.75" hidden="false" customHeight="false" outlineLevel="0" collapsed="false">
      <c r="A1522" s="8"/>
      <c r="B1522" s="8"/>
      <c r="C1522" s="8"/>
      <c r="D1522" s="8"/>
      <c r="E1522" s="8"/>
      <c r="F1522" s="8"/>
      <c r="G1522" s="8"/>
      <c r="H1522" s="8"/>
      <c r="I1522" s="8"/>
    </row>
    <row r="1523" customFormat="false" ht="15.75" hidden="false" customHeight="false" outlineLevel="0" collapsed="false">
      <c r="A1523" s="8"/>
      <c r="B1523" s="8"/>
      <c r="C1523" s="8"/>
      <c r="D1523" s="8"/>
      <c r="E1523" s="8"/>
      <c r="F1523" s="8"/>
      <c r="G1523" s="8"/>
      <c r="H1523" s="8"/>
      <c r="I1523" s="8"/>
    </row>
    <row r="1524" customFormat="false" ht="15.75" hidden="false" customHeight="false" outlineLevel="0" collapsed="false">
      <c r="A1524" s="8"/>
      <c r="B1524" s="8"/>
      <c r="C1524" s="8"/>
      <c r="D1524" s="8"/>
      <c r="E1524" s="8"/>
      <c r="F1524" s="8"/>
      <c r="G1524" s="8"/>
      <c r="H1524" s="8"/>
      <c r="I1524" s="8"/>
    </row>
    <row r="1525" customFormat="false" ht="15.75" hidden="false" customHeight="false" outlineLevel="0" collapsed="false">
      <c r="A1525" s="8"/>
      <c r="B1525" s="8"/>
      <c r="C1525" s="8"/>
      <c r="D1525" s="8"/>
      <c r="E1525" s="8"/>
      <c r="F1525" s="8"/>
      <c r="G1525" s="8"/>
      <c r="H1525" s="8"/>
      <c r="I1525" s="8"/>
    </row>
    <row r="1526" customFormat="false" ht="15.75" hidden="false" customHeight="false" outlineLevel="0" collapsed="false">
      <c r="A1526" s="8"/>
      <c r="B1526" s="8"/>
      <c r="C1526" s="8"/>
      <c r="D1526" s="8"/>
      <c r="E1526" s="8"/>
      <c r="F1526" s="8"/>
      <c r="G1526" s="8"/>
      <c r="H1526" s="8"/>
      <c r="I1526" s="8"/>
    </row>
    <row r="1527" customFormat="false" ht="15.75" hidden="false" customHeight="false" outlineLevel="0" collapsed="false">
      <c r="A1527" s="8"/>
      <c r="B1527" s="8"/>
      <c r="C1527" s="8"/>
      <c r="D1527" s="8"/>
      <c r="E1527" s="8"/>
      <c r="F1527" s="8"/>
      <c r="G1527" s="8"/>
      <c r="H1527" s="8"/>
      <c r="I1527" s="8"/>
    </row>
    <row r="1528" customFormat="false" ht="15.75" hidden="false" customHeight="false" outlineLevel="0" collapsed="false">
      <c r="A1528" s="8"/>
      <c r="B1528" s="8"/>
      <c r="C1528" s="8"/>
      <c r="D1528" s="8"/>
      <c r="E1528" s="8"/>
      <c r="F1528" s="8"/>
      <c r="G1528" s="8"/>
      <c r="H1528" s="8"/>
      <c r="I1528" s="8"/>
    </row>
    <row r="1529" customFormat="false" ht="15.75" hidden="false" customHeight="false" outlineLevel="0" collapsed="false">
      <c r="A1529" s="8"/>
      <c r="B1529" s="8"/>
      <c r="C1529" s="8"/>
      <c r="D1529" s="8"/>
      <c r="E1529" s="8"/>
      <c r="F1529" s="8"/>
      <c r="G1529" s="8"/>
      <c r="H1529" s="8"/>
      <c r="I1529" s="8"/>
    </row>
    <row r="1530" customFormat="false" ht="15.75" hidden="false" customHeight="false" outlineLevel="0" collapsed="false">
      <c r="A1530" s="8"/>
      <c r="B1530" s="8"/>
      <c r="C1530" s="8"/>
      <c r="D1530" s="8"/>
      <c r="E1530" s="8"/>
      <c r="F1530" s="8"/>
      <c r="G1530" s="8"/>
      <c r="H1530" s="8"/>
      <c r="I1530" s="8"/>
    </row>
    <row r="1531" customFormat="false" ht="15.75" hidden="false" customHeight="false" outlineLevel="0" collapsed="false">
      <c r="A1531" s="8"/>
      <c r="B1531" s="8"/>
      <c r="C1531" s="8"/>
      <c r="D1531" s="8"/>
      <c r="E1531" s="8"/>
      <c r="F1531" s="8"/>
      <c r="G1531" s="8"/>
      <c r="H1531" s="8"/>
      <c r="I1531" s="8"/>
    </row>
    <row r="1532" customFormat="false" ht="15.75" hidden="false" customHeight="false" outlineLevel="0" collapsed="false">
      <c r="A1532" s="8"/>
      <c r="B1532" s="8"/>
      <c r="C1532" s="8"/>
      <c r="D1532" s="8"/>
      <c r="E1532" s="8"/>
      <c r="F1532" s="8"/>
      <c r="G1532" s="8"/>
      <c r="H1532" s="8"/>
      <c r="I1532" s="8"/>
    </row>
    <row r="1533" customFormat="false" ht="15.75" hidden="false" customHeight="false" outlineLevel="0" collapsed="false">
      <c r="A1533" s="8"/>
      <c r="B1533" s="8"/>
      <c r="C1533" s="8"/>
      <c r="D1533" s="8"/>
      <c r="E1533" s="8"/>
      <c r="F1533" s="8"/>
      <c r="G1533" s="8"/>
      <c r="H1533" s="8"/>
      <c r="I1533" s="8"/>
    </row>
    <row r="1534" customFormat="false" ht="15.75" hidden="false" customHeight="false" outlineLevel="0" collapsed="false">
      <c r="A1534" s="8"/>
      <c r="B1534" s="8"/>
      <c r="C1534" s="8"/>
      <c r="D1534" s="8"/>
      <c r="E1534" s="8"/>
      <c r="F1534" s="8"/>
      <c r="G1534" s="8"/>
      <c r="H1534" s="8"/>
      <c r="I1534" s="8"/>
    </row>
    <row r="1535" customFormat="false" ht="15.75" hidden="false" customHeight="false" outlineLevel="0" collapsed="false">
      <c r="A1535" s="8"/>
      <c r="B1535" s="8"/>
      <c r="C1535" s="8"/>
      <c r="D1535" s="8"/>
      <c r="E1535" s="8"/>
      <c r="F1535" s="8"/>
      <c r="G1535" s="8"/>
      <c r="H1535" s="8"/>
      <c r="I1535" s="8"/>
    </row>
    <row r="1536" customFormat="false" ht="15.75" hidden="false" customHeight="false" outlineLevel="0" collapsed="false">
      <c r="A1536" s="8"/>
      <c r="B1536" s="8"/>
      <c r="C1536" s="8"/>
      <c r="D1536" s="8"/>
      <c r="E1536" s="8"/>
      <c r="F1536" s="8"/>
      <c r="G1536" s="8"/>
      <c r="H1536" s="8"/>
      <c r="I1536" s="8"/>
    </row>
    <row r="1537" customFormat="false" ht="15.75" hidden="false" customHeight="false" outlineLevel="0" collapsed="false">
      <c r="A1537" s="8"/>
      <c r="B1537" s="8"/>
      <c r="C1537" s="8"/>
      <c r="D1537" s="8"/>
      <c r="E1537" s="8"/>
      <c r="F1537" s="8"/>
      <c r="G1537" s="8"/>
      <c r="H1537" s="8"/>
      <c r="I1537" s="8"/>
    </row>
    <row r="1538" customFormat="false" ht="15.75" hidden="false" customHeight="false" outlineLevel="0" collapsed="false">
      <c r="A1538" s="8"/>
      <c r="B1538" s="8"/>
      <c r="C1538" s="8"/>
      <c r="D1538" s="8"/>
      <c r="E1538" s="8"/>
      <c r="F1538" s="8"/>
      <c r="G1538" s="8"/>
      <c r="H1538" s="8"/>
      <c r="I1538" s="8"/>
    </row>
    <row r="1539" customFormat="false" ht="15.75" hidden="false" customHeight="false" outlineLevel="0" collapsed="false">
      <c r="A1539" s="8"/>
      <c r="B1539" s="8"/>
      <c r="C1539" s="8"/>
      <c r="D1539" s="8"/>
      <c r="E1539" s="8"/>
      <c r="F1539" s="8"/>
      <c r="G1539" s="8"/>
      <c r="H1539" s="8"/>
      <c r="I1539" s="8"/>
    </row>
    <row r="1540" customFormat="false" ht="15.75" hidden="false" customHeight="false" outlineLevel="0" collapsed="false">
      <c r="A1540" s="8"/>
      <c r="B1540" s="8"/>
      <c r="C1540" s="8"/>
      <c r="D1540" s="8"/>
      <c r="E1540" s="8"/>
      <c r="F1540" s="8"/>
      <c r="G1540" s="8"/>
      <c r="H1540" s="8"/>
      <c r="I1540" s="8"/>
    </row>
    <row r="1541" customFormat="false" ht="15.75" hidden="false" customHeight="false" outlineLevel="0" collapsed="false">
      <c r="A1541" s="8"/>
      <c r="B1541" s="8"/>
      <c r="C1541" s="8"/>
      <c r="D1541" s="8"/>
      <c r="E1541" s="8"/>
      <c r="F1541" s="8"/>
      <c r="G1541" s="8"/>
      <c r="H1541" s="8"/>
      <c r="I1541" s="8"/>
    </row>
    <row r="1542" customFormat="false" ht="15.75" hidden="false" customHeight="false" outlineLevel="0" collapsed="false">
      <c r="A1542" s="8"/>
      <c r="B1542" s="8"/>
      <c r="C1542" s="8"/>
      <c r="D1542" s="8"/>
      <c r="E1542" s="8"/>
      <c r="F1542" s="8"/>
      <c r="G1542" s="8"/>
      <c r="H1542" s="8"/>
      <c r="I1542" s="8"/>
    </row>
    <row r="1543" customFormat="false" ht="15.75" hidden="false" customHeight="false" outlineLevel="0" collapsed="false">
      <c r="A1543" s="8"/>
      <c r="B1543" s="8"/>
      <c r="C1543" s="8"/>
      <c r="D1543" s="8"/>
      <c r="E1543" s="8"/>
      <c r="F1543" s="8"/>
      <c r="G1543" s="8"/>
      <c r="H1543" s="8"/>
      <c r="I1543" s="8"/>
    </row>
    <row r="1544" customFormat="false" ht="15.75" hidden="false" customHeight="false" outlineLevel="0" collapsed="false">
      <c r="A1544" s="8"/>
      <c r="B1544" s="8"/>
      <c r="C1544" s="8"/>
      <c r="D1544" s="8"/>
      <c r="E1544" s="8"/>
      <c r="F1544" s="8"/>
      <c r="G1544" s="8"/>
      <c r="H1544" s="8"/>
      <c r="I1544" s="8"/>
    </row>
    <row r="1545" customFormat="false" ht="15.75" hidden="false" customHeight="false" outlineLevel="0" collapsed="false">
      <c r="A1545" s="8"/>
      <c r="B1545" s="8"/>
      <c r="C1545" s="8"/>
      <c r="D1545" s="8"/>
      <c r="E1545" s="8"/>
      <c r="F1545" s="8"/>
      <c r="G1545" s="8"/>
      <c r="H1545" s="8"/>
      <c r="I1545" s="8"/>
    </row>
    <row r="1546" customFormat="false" ht="15.75" hidden="false" customHeight="false" outlineLevel="0" collapsed="false">
      <c r="A1546" s="8"/>
      <c r="B1546" s="8"/>
      <c r="C1546" s="8"/>
      <c r="D1546" s="8"/>
      <c r="E1546" s="8"/>
      <c r="F1546" s="8"/>
      <c r="G1546" s="8"/>
      <c r="H1546" s="8"/>
      <c r="I1546" s="8"/>
    </row>
    <row r="1547" customFormat="false" ht="15.75" hidden="false" customHeight="false" outlineLevel="0" collapsed="false">
      <c r="A1547" s="8"/>
      <c r="B1547" s="8"/>
      <c r="C1547" s="8"/>
      <c r="D1547" s="8"/>
      <c r="E1547" s="8"/>
      <c r="F1547" s="8"/>
      <c r="G1547" s="8"/>
      <c r="H1547" s="8"/>
      <c r="I1547" s="8"/>
    </row>
    <row r="1548" customFormat="false" ht="15.75" hidden="false" customHeight="false" outlineLevel="0" collapsed="false">
      <c r="A1548" s="8"/>
      <c r="B1548" s="8"/>
      <c r="C1548" s="8"/>
      <c r="D1548" s="8"/>
      <c r="E1548" s="8"/>
      <c r="F1548" s="8"/>
      <c r="G1548" s="8"/>
      <c r="H1548" s="8"/>
      <c r="I1548" s="8"/>
    </row>
    <row r="1549" customFormat="false" ht="15.75" hidden="false" customHeight="false" outlineLevel="0" collapsed="false">
      <c r="A1549" s="8"/>
      <c r="B1549" s="8"/>
      <c r="C1549" s="8"/>
      <c r="D1549" s="8"/>
      <c r="E1549" s="8"/>
      <c r="F1549" s="8"/>
      <c r="G1549" s="8"/>
      <c r="H1549" s="8"/>
      <c r="I1549" s="8"/>
    </row>
    <row r="1550" customFormat="false" ht="15.75" hidden="false" customHeight="false" outlineLevel="0" collapsed="false">
      <c r="A1550" s="8"/>
      <c r="B1550" s="8"/>
      <c r="C1550" s="8"/>
      <c r="D1550" s="8"/>
      <c r="E1550" s="8"/>
      <c r="F1550" s="8"/>
      <c r="G1550" s="8"/>
      <c r="H1550" s="8"/>
      <c r="I1550" s="8"/>
    </row>
    <row r="1551" customFormat="false" ht="15.75" hidden="false" customHeight="false" outlineLevel="0" collapsed="false">
      <c r="A1551" s="8"/>
      <c r="B1551" s="8"/>
      <c r="C1551" s="8"/>
      <c r="D1551" s="8"/>
      <c r="E1551" s="8"/>
      <c r="F1551" s="8"/>
      <c r="G1551" s="8"/>
      <c r="H1551" s="8"/>
      <c r="I1551" s="8"/>
    </row>
    <row r="1552" customFormat="false" ht="15.75" hidden="false" customHeight="false" outlineLevel="0" collapsed="false">
      <c r="A1552" s="8"/>
      <c r="B1552" s="8"/>
      <c r="C1552" s="8"/>
      <c r="D1552" s="8"/>
      <c r="E1552" s="8"/>
      <c r="F1552" s="8"/>
      <c r="G1552" s="8"/>
      <c r="H1552" s="8"/>
      <c r="I1552" s="8"/>
    </row>
    <row r="1553" customFormat="false" ht="15.75" hidden="false" customHeight="false" outlineLevel="0" collapsed="false">
      <c r="A1553" s="8"/>
      <c r="B1553" s="8"/>
      <c r="C1553" s="8"/>
      <c r="D1553" s="8"/>
      <c r="E1553" s="8"/>
      <c r="F1553" s="8"/>
      <c r="G1553" s="8"/>
      <c r="H1553" s="8"/>
      <c r="I1553" s="8"/>
    </row>
    <row r="1554" customFormat="false" ht="15.75" hidden="false" customHeight="false" outlineLevel="0" collapsed="false">
      <c r="A1554" s="8"/>
      <c r="B1554" s="8"/>
      <c r="C1554" s="8"/>
      <c r="D1554" s="8"/>
      <c r="E1554" s="8"/>
      <c r="F1554" s="8"/>
      <c r="G1554" s="8"/>
      <c r="H1554" s="8"/>
      <c r="I1554" s="8"/>
    </row>
    <row r="1555" customFormat="false" ht="15.75" hidden="false" customHeight="false" outlineLevel="0" collapsed="false">
      <c r="A1555" s="8"/>
      <c r="B1555" s="8"/>
      <c r="C1555" s="8"/>
      <c r="D1555" s="8"/>
      <c r="E1555" s="8"/>
      <c r="F1555" s="8"/>
      <c r="G1555" s="8"/>
      <c r="H1555" s="8"/>
      <c r="I1555" s="8"/>
    </row>
    <row r="1556" customFormat="false" ht="15.75" hidden="false" customHeight="false" outlineLevel="0" collapsed="false">
      <c r="A1556" s="8"/>
      <c r="B1556" s="8"/>
      <c r="C1556" s="8"/>
      <c r="D1556" s="8"/>
      <c r="E1556" s="8"/>
      <c r="F1556" s="8"/>
      <c r="G1556" s="8"/>
      <c r="H1556" s="8"/>
      <c r="I1556" s="8"/>
    </row>
    <row r="1557" customFormat="false" ht="15.75" hidden="false" customHeight="false" outlineLevel="0" collapsed="false">
      <c r="A1557" s="8"/>
      <c r="B1557" s="8"/>
      <c r="C1557" s="8"/>
      <c r="D1557" s="8"/>
      <c r="E1557" s="8"/>
      <c r="F1557" s="8"/>
      <c r="G1557" s="8"/>
      <c r="H1557" s="8"/>
      <c r="I1557" s="8"/>
    </row>
    <row r="1558" customFormat="false" ht="15.75" hidden="false" customHeight="false" outlineLevel="0" collapsed="false">
      <c r="A1558" s="8"/>
      <c r="B1558" s="8"/>
      <c r="C1558" s="8"/>
      <c r="D1558" s="8"/>
      <c r="E1558" s="8"/>
      <c r="F1558" s="8"/>
      <c r="G1558" s="8"/>
      <c r="H1558" s="8"/>
      <c r="I1558" s="8"/>
    </row>
    <row r="1559" customFormat="false" ht="15.75" hidden="false" customHeight="false" outlineLevel="0" collapsed="false">
      <c r="A1559" s="8"/>
      <c r="B1559" s="8"/>
      <c r="C1559" s="8"/>
      <c r="D1559" s="8"/>
      <c r="E1559" s="8"/>
      <c r="F1559" s="8"/>
      <c r="G1559" s="8"/>
      <c r="H1559" s="8"/>
      <c r="I1559" s="8"/>
    </row>
    <row r="1560" customFormat="false" ht="15.75" hidden="false" customHeight="false" outlineLevel="0" collapsed="false">
      <c r="A1560" s="8"/>
      <c r="B1560" s="8"/>
      <c r="C1560" s="8"/>
      <c r="D1560" s="8"/>
      <c r="E1560" s="8"/>
      <c r="F1560" s="8"/>
      <c r="G1560" s="8"/>
      <c r="H1560" s="8"/>
      <c r="I1560" s="8"/>
    </row>
    <row r="1561" customFormat="false" ht="15.75" hidden="false" customHeight="false" outlineLevel="0" collapsed="false">
      <c r="A1561" s="8"/>
      <c r="B1561" s="8"/>
      <c r="C1561" s="8"/>
      <c r="D1561" s="8"/>
      <c r="E1561" s="8"/>
      <c r="F1561" s="8"/>
      <c r="G1561" s="8"/>
      <c r="H1561" s="8"/>
      <c r="I1561" s="8"/>
    </row>
    <row r="1562" customFormat="false" ht="15.75" hidden="false" customHeight="false" outlineLevel="0" collapsed="false">
      <c r="A1562" s="8"/>
      <c r="B1562" s="8"/>
      <c r="C1562" s="8"/>
      <c r="D1562" s="8"/>
      <c r="E1562" s="8"/>
      <c r="F1562" s="8"/>
      <c r="G1562" s="8"/>
      <c r="H1562" s="8"/>
      <c r="I1562" s="8"/>
    </row>
    <row r="1563" customFormat="false" ht="15.75" hidden="false" customHeight="false" outlineLevel="0" collapsed="false">
      <c r="A1563" s="8"/>
      <c r="B1563" s="8"/>
      <c r="C1563" s="8"/>
      <c r="D1563" s="8"/>
      <c r="E1563" s="8"/>
      <c r="F1563" s="8"/>
      <c r="G1563" s="8"/>
      <c r="H1563" s="8"/>
      <c r="I1563" s="8"/>
    </row>
    <row r="1564" customFormat="false" ht="15.75" hidden="false" customHeight="false" outlineLevel="0" collapsed="false">
      <c r="A1564" s="8"/>
      <c r="B1564" s="8"/>
      <c r="C1564" s="8"/>
      <c r="D1564" s="8"/>
      <c r="E1564" s="8"/>
      <c r="F1564" s="8"/>
      <c r="G1564" s="8"/>
      <c r="H1564" s="8"/>
      <c r="I1564" s="8"/>
    </row>
    <row r="1565" customFormat="false" ht="15.75" hidden="false" customHeight="false" outlineLevel="0" collapsed="false">
      <c r="A1565" s="8"/>
      <c r="B1565" s="8"/>
      <c r="C1565" s="8"/>
      <c r="D1565" s="8"/>
      <c r="E1565" s="8"/>
      <c r="F1565" s="8"/>
      <c r="G1565" s="8"/>
      <c r="H1565" s="8"/>
      <c r="I1565" s="8"/>
    </row>
    <row r="1566" customFormat="false" ht="15.75" hidden="false" customHeight="false" outlineLevel="0" collapsed="false">
      <c r="A1566" s="8"/>
      <c r="B1566" s="8"/>
      <c r="C1566" s="8"/>
      <c r="D1566" s="8"/>
      <c r="E1566" s="8"/>
      <c r="F1566" s="8"/>
      <c r="G1566" s="8"/>
      <c r="H1566" s="8"/>
      <c r="I1566" s="8"/>
    </row>
    <row r="1567" customFormat="false" ht="15.75" hidden="false" customHeight="false" outlineLevel="0" collapsed="false">
      <c r="A1567" s="8"/>
      <c r="B1567" s="8"/>
      <c r="C1567" s="8"/>
      <c r="D1567" s="8"/>
      <c r="E1567" s="8"/>
      <c r="F1567" s="8"/>
      <c r="G1567" s="8"/>
      <c r="H1567" s="8"/>
      <c r="I1567" s="8"/>
    </row>
    <row r="1568" customFormat="false" ht="15.75" hidden="false" customHeight="false" outlineLevel="0" collapsed="false">
      <c r="A1568" s="8"/>
      <c r="B1568" s="8"/>
      <c r="C1568" s="8"/>
      <c r="D1568" s="8"/>
      <c r="E1568" s="8"/>
      <c r="F1568" s="8"/>
      <c r="G1568" s="8"/>
      <c r="H1568" s="8"/>
      <c r="I1568" s="8"/>
    </row>
    <row r="1569" customFormat="false" ht="15.75" hidden="false" customHeight="false" outlineLevel="0" collapsed="false">
      <c r="A1569" s="8"/>
      <c r="B1569" s="8"/>
      <c r="C1569" s="8"/>
      <c r="D1569" s="8"/>
      <c r="E1569" s="8"/>
      <c r="F1569" s="8"/>
      <c r="G1569" s="8"/>
      <c r="H1569" s="8"/>
      <c r="I1569" s="8"/>
    </row>
    <row r="1570" customFormat="false" ht="15.75" hidden="false" customHeight="false" outlineLevel="0" collapsed="false">
      <c r="A1570" s="8"/>
      <c r="B1570" s="8"/>
      <c r="C1570" s="8"/>
      <c r="D1570" s="8"/>
      <c r="E1570" s="8"/>
      <c r="F1570" s="8"/>
      <c r="G1570" s="8"/>
      <c r="H1570" s="8"/>
      <c r="I1570" s="8"/>
    </row>
    <row r="1571" customFormat="false" ht="15.75" hidden="false" customHeight="false" outlineLevel="0" collapsed="false">
      <c r="A1571" s="8"/>
      <c r="B1571" s="8"/>
      <c r="C1571" s="8"/>
      <c r="D1571" s="8"/>
      <c r="E1571" s="8"/>
      <c r="F1571" s="8"/>
      <c r="G1571" s="8"/>
      <c r="H1571" s="8"/>
      <c r="I1571" s="8"/>
    </row>
    <row r="1572" customFormat="false" ht="15.75" hidden="false" customHeight="false" outlineLevel="0" collapsed="false">
      <c r="A1572" s="8"/>
      <c r="B1572" s="8"/>
      <c r="C1572" s="8"/>
      <c r="D1572" s="8"/>
      <c r="E1572" s="8"/>
      <c r="F1572" s="8"/>
      <c r="G1572" s="8"/>
      <c r="H1572" s="8"/>
      <c r="I1572" s="8"/>
    </row>
    <row r="1573" customFormat="false" ht="15.75" hidden="false" customHeight="false" outlineLevel="0" collapsed="false">
      <c r="A1573" s="8"/>
      <c r="B1573" s="8"/>
      <c r="C1573" s="8"/>
      <c r="D1573" s="8"/>
      <c r="E1573" s="8"/>
      <c r="F1573" s="8"/>
      <c r="G1573" s="8"/>
      <c r="H1573" s="8"/>
      <c r="I1573" s="8"/>
    </row>
    <row r="1574" customFormat="false" ht="15.75" hidden="false" customHeight="false" outlineLevel="0" collapsed="false">
      <c r="A1574" s="8"/>
      <c r="B1574" s="8"/>
      <c r="C1574" s="8"/>
      <c r="D1574" s="8"/>
      <c r="E1574" s="8"/>
      <c r="F1574" s="8"/>
      <c r="G1574" s="8"/>
      <c r="H1574" s="8"/>
      <c r="I1574" s="8"/>
    </row>
    <row r="1575" customFormat="false" ht="15.75" hidden="false" customHeight="false" outlineLevel="0" collapsed="false">
      <c r="A1575" s="8"/>
      <c r="B1575" s="8"/>
      <c r="C1575" s="8"/>
      <c r="D1575" s="8"/>
      <c r="E1575" s="8"/>
      <c r="F1575" s="8"/>
      <c r="G1575" s="8"/>
      <c r="H1575" s="8"/>
      <c r="I1575" s="8"/>
    </row>
    <row r="1576" customFormat="false" ht="15.75" hidden="false" customHeight="false" outlineLevel="0" collapsed="false">
      <c r="A1576" s="8"/>
      <c r="B1576" s="8"/>
      <c r="C1576" s="8"/>
      <c r="D1576" s="8"/>
      <c r="E1576" s="8"/>
      <c r="F1576" s="8"/>
      <c r="G1576" s="8"/>
      <c r="H1576" s="8"/>
      <c r="I1576" s="8"/>
    </row>
    <row r="1577" customFormat="false" ht="15.75" hidden="false" customHeight="false" outlineLevel="0" collapsed="false">
      <c r="A1577" s="8"/>
      <c r="B1577" s="8"/>
      <c r="C1577" s="8"/>
      <c r="D1577" s="8"/>
      <c r="E1577" s="8"/>
      <c r="F1577" s="8"/>
      <c r="G1577" s="8"/>
      <c r="H1577" s="8"/>
      <c r="I1577" s="8"/>
    </row>
    <row r="1578" customFormat="false" ht="15.75" hidden="false" customHeight="false" outlineLevel="0" collapsed="false">
      <c r="A1578" s="8"/>
      <c r="B1578" s="8"/>
      <c r="C1578" s="8"/>
      <c r="D1578" s="8"/>
      <c r="E1578" s="8"/>
      <c r="F1578" s="8"/>
      <c r="G1578" s="8"/>
      <c r="H1578" s="8"/>
      <c r="I1578" s="8"/>
    </row>
    <row r="1579" customFormat="false" ht="15.75" hidden="false" customHeight="false" outlineLevel="0" collapsed="false">
      <c r="A1579" s="8"/>
      <c r="B1579" s="8"/>
      <c r="C1579" s="8"/>
      <c r="D1579" s="8"/>
      <c r="E1579" s="8"/>
      <c r="F1579" s="8"/>
      <c r="G1579" s="8"/>
      <c r="H1579" s="8"/>
      <c r="I1579" s="8"/>
    </row>
    <row r="1580" customFormat="false" ht="15.75" hidden="false" customHeight="false" outlineLevel="0" collapsed="false">
      <c r="A1580" s="8"/>
      <c r="B1580" s="8"/>
      <c r="C1580" s="8"/>
      <c r="D1580" s="8"/>
      <c r="E1580" s="8"/>
      <c r="F1580" s="8"/>
      <c r="G1580" s="8"/>
      <c r="H1580" s="8"/>
      <c r="I1580" s="8"/>
    </row>
    <row r="1581" customFormat="false" ht="15.75" hidden="false" customHeight="false" outlineLevel="0" collapsed="false">
      <c r="A1581" s="8"/>
      <c r="B1581" s="8"/>
      <c r="C1581" s="8"/>
      <c r="D1581" s="8"/>
      <c r="E1581" s="8"/>
      <c r="F1581" s="8"/>
      <c r="G1581" s="8"/>
      <c r="H1581" s="8"/>
      <c r="I1581" s="8"/>
    </row>
    <row r="1582" customFormat="false" ht="15.75" hidden="false" customHeight="false" outlineLevel="0" collapsed="false">
      <c r="A1582" s="8"/>
      <c r="B1582" s="8"/>
      <c r="C1582" s="8"/>
      <c r="D1582" s="8"/>
      <c r="E1582" s="8"/>
      <c r="F1582" s="8"/>
      <c r="G1582" s="8"/>
      <c r="H1582" s="8"/>
      <c r="I1582" s="8"/>
    </row>
    <row r="1583" customFormat="false" ht="15.75" hidden="false" customHeight="false" outlineLevel="0" collapsed="false">
      <c r="A1583" s="8"/>
      <c r="B1583" s="8"/>
      <c r="C1583" s="8"/>
      <c r="D1583" s="8"/>
      <c r="E1583" s="8"/>
      <c r="F1583" s="8"/>
      <c r="G1583" s="8"/>
      <c r="H1583" s="8"/>
      <c r="I1583" s="8"/>
    </row>
    <row r="1584" customFormat="false" ht="15.75" hidden="false" customHeight="false" outlineLevel="0" collapsed="false">
      <c r="A1584" s="8"/>
      <c r="B1584" s="8"/>
      <c r="C1584" s="8"/>
      <c r="D1584" s="8"/>
      <c r="E1584" s="8"/>
      <c r="F1584" s="8"/>
      <c r="G1584" s="8"/>
      <c r="H1584" s="8"/>
      <c r="I1584" s="8"/>
    </row>
    <row r="1585" customFormat="false" ht="15.75" hidden="false" customHeight="false" outlineLevel="0" collapsed="false">
      <c r="A1585" s="8"/>
      <c r="B1585" s="8"/>
      <c r="C1585" s="8"/>
      <c r="D1585" s="8"/>
      <c r="E1585" s="8"/>
      <c r="F1585" s="8"/>
      <c r="G1585" s="8"/>
      <c r="H1585" s="8"/>
      <c r="I1585" s="8"/>
    </row>
    <row r="1586" customFormat="false" ht="15.75" hidden="false" customHeight="false" outlineLevel="0" collapsed="false">
      <c r="A1586" s="8"/>
      <c r="B1586" s="8"/>
      <c r="C1586" s="8"/>
      <c r="D1586" s="8"/>
      <c r="E1586" s="8"/>
      <c r="F1586" s="8"/>
      <c r="G1586" s="8"/>
      <c r="H1586" s="8"/>
      <c r="I1586" s="8"/>
    </row>
    <row r="1587" customFormat="false" ht="15.75" hidden="false" customHeight="false" outlineLevel="0" collapsed="false">
      <c r="A1587" s="8"/>
      <c r="B1587" s="8"/>
      <c r="C1587" s="8"/>
      <c r="D1587" s="8"/>
      <c r="E1587" s="8"/>
      <c r="F1587" s="8"/>
      <c r="G1587" s="8"/>
      <c r="H1587" s="8"/>
      <c r="I1587" s="8"/>
    </row>
    <row r="1588" customFormat="false" ht="15.75" hidden="false" customHeight="false" outlineLevel="0" collapsed="false">
      <c r="A1588" s="8"/>
      <c r="B1588" s="8"/>
      <c r="C1588" s="8"/>
      <c r="D1588" s="8"/>
      <c r="E1588" s="8"/>
      <c r="F1588" s="8"/>
      <c r="G1588" s="8"/>
      <c r="H1588" s="8"/>
      <c r="I1588" s="8"/>
    </row>
    <row r="1589" customFormat="false" ht="15.75" hidden="false" customHeight="false" outlineLevel="0" collapsed="false">
      <c r="A1589" s="8"/>
      <c r="B1589" s="8"/>
      <c r="C1589" s="8"/>
      <c r="D1589" s="8"/>
      <c r="E1589" s="8"/>
      <c r="F1589" s="8"/>
      <c r="G1589" s="8"/>
      <c r="H1589" s="8"/>
      <c r="I1589" s="8"/>
    </row>
    <row r="1590" customFormat="false" ht="15.75" hidden="false" customHeight="false" outlineLevel="0" collapsed="false">
      <c r="A1590" s="8"/>
      <c r="B1590" s="8"/>
      <c r="C1590" s="8"/>
      <c r="D1590" s="8"/>
      <c r="E1590" s="8"/>
      <c r="F1590" s="8"/>
      <c r="G1590" s="8"/>
      <c r="H1590" s="8"/>
      <c r="I1590" s="8"/>
    </row>
    <row r="1591" customFormat="false" ht="15.75" hidden="false" customHeight="false" outlineLevel="0" collapsed="false">
      <c r="A1591" s="8"/>
      <c r="B1591" s="8"/>
      <c r="C1591" s="8"/>
      <c r="D1591" s="8"/>
      <c r="E1591" s="8"/>
      <c r="F1591" s="8"/>
      <c r="G1591" s="8"/>
      <c r="H1591" s="8"/>
      <c r="I1591" s="8"/>
    </row>
    <row r="1592" customFormat="false" ht="15.75" hidden="false" customHeight="false" outlineLevel="0" collapsed="false">
      <c r="A1592" s="8"/>
      <c r="B1592" s="8"/>
      <c r="C1592" s="8"/>
      <c r="D1592" s="8"/>
      <c r="E1592" s="8"/>
      <c r="F1592" s="8"/>
      <c r="G1592" s="8"/>
      <c r="H1592" s="8"/>
      <c r="I1592" s="8"/>
    </row>
    <row r="1593" customFormat="false" ht="15.75" hidden="false" customHeight="false" outlineLevel="0" collapsed="false">
      <c r="A1593" s="8"/>
      <c r="B1593" s="8"/>
      <c r="C1593" s="8"/>
      <c r="D1593" s="8"/>
      <c r="E1593" s="8"/>
      <c r="F1593" s="8"/>
      <c r="G1593" s="8"/>
      <c r="H1593" s="8"/>
      <c r="I1593" s="8"/>
    </row>
    <row r="1594" customFormat="false" ht="15.75" hidden="false" customHeight="false" outlineLevel="0" collapsed="false">
      <c r="A1594" s="8"/>
      <c r="B1594" s="8"/>
      <c r="C1594" s="8"/>
      <c r="D1594" s="8"/>
      <c r="E1594" s="8"/>
      <c r="F1594" s="8"/>
      <c r="G1594" s="8"/>
      <c r="H1594" s="8"/>
      <c r="I1594" s="8"/>
    </row>
    <row r="1595" customFormat="false" ht="15.75" hidden="false" customHeight="false" outlineLevel="0" collapsed="false">
      <c r="A1595" s="8"/>
      <c r="B1595" s="8"/>
      <c r="C1595" s="8"/>
      <c r="D1595" s="8"/>
      <c r="E1595" s="8"/>
      <c r="F1595" s="8"/>
      <c r="G1595" s="8"/>
      <c r="H1595" s="8"/>
      <c r="I1595" s="8"/>
    </row>
    <row r="1596" customFormat="false" ht="15.75" hidden="false" customHeight="false" outlineLevel="0" collapsed="false">
      <c r="A1596" s="8"/>
      <c r="B1596" s="8"/>
      <c r="C1596" s="8"/>
      <c r="D1596" s="8"/>
      <c r="E1596" s="8"/>
      <c r="F1596" s="8"/>
      <c r="G1596" s="8"/>
      <c r="H1596" s="8"/>
      <c r="I1596" s="8"/>
    </row>
    <row r="1597" customFormat="false" ht="15.75" hidden="false" customHeight="false" outlineLevel="0" collapsed="false">
      <c r="A1597" s="8"/>
      <c r="B1597" s="8"/>
      <c r="C1597" s="8"/>
      <c r="D1597" s="8"/>
      <c r="E1597" s="8"/>
      <c r="F1597" s="8"/>
      <c r="G1597" s="8"/>
      <c r="H1597" s="8"/>
      <c r="I1597" s="8"/>
    </row>
    <row r="1598" customFormat="false" ht="15.75" hidden="false" customHeight="false" outlineLevel="0" collapsed="false">
      <c r="A1598" s="8"/>
      <c r="B1598" s="8"/>
      <c r="C1598" s="8"/>
      <c r="D1598" s="8"/>
      <c r="E1598" s="8"/>
      <c r="F1598" s="8"/>
      <c r="G1598" s="8"/>
      <c r="H1598" s="8"/>
      <c r="I1598" s="8"/>
    </row>
    <row r="1599" customFormat="false" ht="15.75" hidden="false" customHeight="false" outlineLevel="0" collapsed="false">
      <c r="A1599" s="8"/>
      <c r="B1599" s="8"/>
      <c r="C1599" s="8"/>
      <c r="D1599" s="8"/>
      <c r="E1599" s="8"/>
      <c r="F1599" s="8"/>
      <c r="G1599" s="8"/>
      <c r="H1599" s="8"/>
      <c r="I1599" s="8"/>
    </row>
    <row r="1600" customFormat="false" ht="15.75" hidden="false" customHeight="false" outlineLevel="0" collapsed="false">
      <c r="A1600" s="8"/>
      <c r="B1600" s="8"/>
      <c r="C1600" s="8"/>
      <c r="D1600" s="8"/>
      <c r="E1600" s="8"/>
      <c r="F1600" s="8"/>
      <c r="G1600" s="8"/>
      <c r="H1600" s="8"/>
      <c r="I1600" s="8"/>
    </row>
    <row r="1601" customFormat="false" ht="15.75" hidden="false" customHeight="false" outlineLevel="0" collapsed="false">
      <c r="A1601" s="8"/>
      <c r="B1601" s="8"/>
      <c r="C1601" s="8"/>
      <c r="D1601" s="8"/>
      <c r="E1601" s="8"/>
      <c r="F1601" s="8"/>
      <c r="G1601" s="8"/>
      <c r="H1601" s="8"/>
      <c r="I1601" s="8"/>
    </row>
  </sheetData>
  <conditionalFormatting sqref="D2:D1475">
    <cfRule type="colorScale" priority="2">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5 C207:C210 C212:C215 C217:C220 C222:C225 C227:C230 C232:C235 C237:C240 C242:C245 C247:C250 C252:C255 C257:C260 C262:C265 C267:C270 C272:C275 C277:C280 C282:C285 C287:C290 C292:C295 C297:C300 C302:C305 C307:C310 C312:C315 C317:C320 C322:C325 C327:C330 C332:C335 C337:C340 C342:C345 C347:C350 C352:C355 C357:C360 C362:C365 C367:C370 C372:C375 C377:C380 C382:C385 C387:C390 C392:C395 C397:C400 C402:C405 C407:C410 C412:C415 C417:C420 C422:C425 C427:C430 C432:C435 C437:C440 C442:C445 C447:C450 C452:C455 C457:C460 C462:C465 C467:C470 C472:C475 C477:C480 C482:C485 C487:C490 C492:C495 C497:C500 C502:C505 C507:C510 C512:C515 C517:C520 C522:C525 C527:C530 C532:C535 C537:C540 C542:C545 C547:C550 C552:C555 C557:C560 C562:C565 C567:C570 C572:C575 C577:C580 C582:C585 C587:C590 C592:C595 C597:C600 C602:C605 C607:C610 C612:C615 C617:C620 C622:C625 C627:C630 C632:C635 C637:C640 C642:C645 C647:C650 C652:C655 C657:C660 C662:C665 C667:C670 C672:C675 C677:C680 C682:C685 C687:C690 C692:C695 C697:C700 C702:C705 C707:C710 C712:C715 C717:C720 C722:C725 C727:C730 C732:C735 C737:C740 C742:C745 C747:C750 C752:C755 C757:C760 C762:C765 C767:C770 C772:C775 C777:C780 C782:C785 C787:C790 C792:C795 C797:C800 C802:C805 C807:C810 C812:C815 C817:C820 C822:C825 C827:C830 C832:C835 C837:C840 C842:C845 C847:C850 C852:C855 C857:C860 C862:C865 C867:C870 C872:C875 C877:C880 C882:C885 C887:C890 C892:C895 C897:C900 C902:C905 C907:C910 C912:C915 C917:C920 C922:C925 C927:C930 C932:C935 C937:C940 C942:C945 C947:C950 C952:C955 C957:C960 C962:C965 C967:C970 C972:C975 C977:C980 C982:C985 C987:C990" type="list">
      <formula1>"5W1H,Base,CoT,tldr,Heading,Jeremy,Begoña,Alba,Naiara"</formula1>
      <formula2>0</formula2>
    </dataValidation>
    <dataValidation allowBlank="true" errorStyle="stop" operator="between" showDropDown="false" showErrorMessage="true" showInputMessage="false"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5 E207:I210 E212:I215 E217:I220 E222:I225 E227:I230 E232:I235 E237:I240 E242:I245 E247:I250 E252:I255 E257:I260 E262:I265 E267:I270 E272:I275 E277:I280 E282:I285 E287:I290 E292:I295 E297:I300 E302:I305 E307:I310 E312:I315 E317:I320 E322:I325 E327:I330 E332:I335 E337:I340 E342:I345 E347:I350 E352:I355 E357:I360 E362:I365 E367:I370 E372:I375 E377:I380 E382:I385 E387:I390 E392:I395 E397:I400 E402:I405 E407:I410 E412:I415 E417:I420 E422:I425 E427:I430 E432:I435 E437:I440 E442:I445 E447:I450 E452:I455 E457:I460 E462:I465 E467:I470 E472:I475 E477:I480 E482:I485 E487:I490 E492:I495 E497:I500 E502:I505 E507:I510 E512:I515 E517:I520 E522:I525 E527:I530 E532:I535 E537:I540 E542:I545 E547:I550 E552:I555 E557:I560 E562:I565 E567:I570 E572:I575 E577:I580 E582:I585 E587:I590 E592:I595 E597:I600 E602:I605 E607:I610 E612:I615 E617:I620 E622:I625 E627:I630 E632:I635 E637:I640 E642:I645 E647:I650 E652:I655 E657:I660 E662:I665 E667:I670 E672:I675 E677:I680 E682:I685 E687:I690 E692:I695 E697:I700 E702:I705 E707:I710 E712:I715 E717:I720 E722:I725 E727:I730 E732:I735 E737:I740 E742:I745 E747:I750 E752:I755 E757:I760 E762:I765 E767:I770 E772:I775 E777:I780 E782:I785 E787:I790 E792:I795 E797:I800 E802:I805 E807:I810 E812:I815 E817:I820 E822:I825 E827:I830 E832:I835 E837:I840 E842:I845 E847:I850 E852:I855 E857:I860 E862:I865 E867:I870 E872:I875 E877:I880 E882:I885 E887:I890 E892:I895 E897:I900 E902:I905 E907:I910 E912:I915 E917:I920 E922:I925 E927:I930 E932:I935 E937:I940 E942:I945 E947:I950 E952:I955 E957:I960 E962:I965 E967:I970 E972:I975 E977:I980 E982:I985 E987:I990" type="list">
      <formula1>"1,2,3,4,5"</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52.13"/>
  </cols>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8" t="s">
        <v>17</v>
      </c>
      <c r="B1" s="8" t="n">
        <v>1</v>
      </c>
    </row>
    <row r="2" customFormat="false" ht="15.75" hidden="false" customHeight="false" outlineLevel="0" collapsed="false">
      <c r="A2" s="8" t="s">
        <v>21</v>
      </c>
      <c r="B2" s="8" t="n">
        <v>2</v>
      </c>
    </row>
    <row r="3" customFormat="false" ht="15.75" hidden="false" customHeight="false" outlineLevel="0" collapsed="false">
      <c r="A3" s="8" t="s">
        <v>22</v>
      </c>
      <c r="B3" s="8" t="n">
        <v>3</v>
      </c>
    </row>
    <row r="4" customFormat="false" ht="15.75" hidden="false" customHeight="false" outlineLevel="0" collapsed="false">
      <c r="A4" s="8" t="s">
        <v>23</v>
      </c>
      <c r="B4" s="8" t="n">
        <v>4</v>
      </c>
    </row>
    <row r="5" customFormat="false" ht="15.75" hidden="false" customHeight="false" outlineLevel="0" collapsed="false">
      <c r="A5" s="8" t="s">
        <v>18</v>
      </c>
      <c r="B5" s="8" t="n">
        <v>10</v>
      </c>
    </row>
    <row r="6" customFormat="false" ht="15.75" hidden="false" customHeight="false" outlineLevel="0" collapsed="false">
      <c r="A6" s="8" t="s">
        <v>19</v>
      </c>
      <c r="B6" s="8" t="n">
        <v>11</v>
      </c>
    </row>
    <row r="7" customFormat="false" ht="15.75" hidden="false" customHeight="false" outlineLevel="0" collapsed="false">
      <c r="A7" s="8" t="s">
        <v>8</v>
      </c>
      <c r="B7" s="8" t="n">
        <v>12</v>
      </c>
    </row>
    <row r="8" customFormat="false" ht="15.75" hidden="false" customHeight="false" outlineLevel="0" collapsed="false">
      <c r="A8" s="8" t="s">
        <v>20</v>
      </c>
      <c r="B8" s="8" t="n">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2025-02-10T11:10:44Z</dcterms:modified>
  <cp:revision>1</cp:revision>
  <dc:subject/>
  <dc:title/>
</cp:coreProperties>
</file>